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ccondreay\Downloads\"/>
    </mc:Choice>
  </mc:AlternateContent>
  <xr:revisionPtr revIDLastSave="0" documentId="8_{D2377F74-9260-46B1-A90B-315373347205}" xr6:coauthVersionLast="47" xr6:coauthVersionMax="47" xr10:uidLastSave="{00000000-0000-0000-0000-000000000000}"/>
  <bookViews>
    <workbookView xWindow="-120" yWindow="-120" windowWidth="29040" windowHeight="15840"/>
  </bookViews>
  <sheets>
    <sheet name="grants-gov-opp-search--20230113" sheetId="1" r:id="rId1"/>
  </sheets>
  <calcPr calcId="0" concurrentCalc="0"/>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alcChain>
</file>

<file path=xl/sharedStrings.xml><?xml version="1.0" encoding="utf-8"?>
<sst xmlns="http://schemas.openxmlformats.org/spreadsheetml/2006/main" count="2697" uniqueCount="515">
  <si>
    <t>OPPORTUNITY NUMBER</t>
  </si>
  <si>
    <t>OPPORTUNITY TITLE</t>
  </si>
  <si>
    <t>AGENCY CODE</t>
  </si>
  <si>
    <t>AGENCY NAME</t>
  </si>
  <si>
    <t>ESTIMATED FUNDING</t>
  </si>
  <si>
    <t>EXPECTED NUMBER OF AWARDS</t>
  </si>
  <si>
    <t>GRANTOR CONTACT</t>
  </si>
  <si>
    <t>AGENCY CONTACT PHONE</t>
  </si>
  <si>
    <t>AGENCY CONTACT EMAIL</t>
  </si>
  <si>
    <t>ESTIMATED POST DATE</t>
  </si>
  <si>
    <t>ESTIMATED APPLICATION DUE DATE</t>
  </si>
  <si>
    <t>POSTED DATE</t>
  </si>
  <si>
    <t>CLOSE DATE</t>
  </si>
  <si>
    <t>LAST UPDATED DATE/TIME</t>
  </si>
  <si>
    <t>VERSION</t>
  </si>
  <si>
    <t>OPPORTUNITY STATUS</t>
  </si>
  <si>
    <t>Centers of Excellence in Regulatory Science and Innovation (CERSI)</t>
  </si>
  <si>
    <t>HHS-FDA</t>
  </si>
  <si>
    <t>Food and Drug Administration</t>
  </si>
  <si>
    <t>Shashi Malhotra
Grants Management Specialist
Phone 2404027592</t>
  </si>
  <si>
    <t>shashi.malhotra@fda.hhs.gov</t>
  </si>
  <si>
    <t>Synopsis 1</t>
  </si>
  <si>
    <t>Closed</t>
  </si>
  <si>
    <t>OMHHE Educational Funding Opportunity: Expanding education on skin lightening products (U01) Clinical Trials Not Allowed</t>
  </si>
  <si>
    <t>Synopsis 2</t>
  </si>
  <si>
    <t>Archived</t>
  </si>
  <si>
    <t>Academic Development of a Training Program for Good Laboratory Practices in High Containment Environments (U24) Clinical Trials Not Allowed</t>
  </si>
  <si>
    <t>Clinical Studies of Orphan Products Addressing Unmet Needs of Rare Diseases (R01) Clinical Trials Required</t>
  </si>
  <si>
    <t>Synopsis 4</t>
  </si>
  <si>
    <t>Cooperative Agreement to Support an Evidence-based Clinical Practice Guideline for the Prescribing of Benzodiazepines</t>
  </si>
  <si>
    <t>Cooperative Agreement to Support an Evidence-based Clinical Practice Guideline for the Treatment of Obstetrics Pain</t>
  </si>
  <si>
    <t>Funding Opportunity Title Innovation Award: Minority Health and Health Equity (U01) Clinical Trials Optional</t>
  </si>
  <si>
    <t>Shashi Malhotra
Grants Management Specialist
Phone 240-402-7592</t>
  </si>
  <si>
    <t>Shashi.Malhotra@fda.hhs.gov</t>
  </si>
  <si>
    <t>OMHHE Educational Funding Opportunity: Expanding education on skin lightening products (U01) Clinical Trials Optional</t>
  </si>
  <si>
    <t>Shashi Malhotra
Office of Acquisitions &amp; Grants Services (OAGS)
Food and Drug Administration
Telephone: 240-402-7592 
Email: Shashi.Malhotra@fda.hhs.gov</t>
  </si>
  <si>
    <t>Synopsis 3</t>
  </si>
  <si>
    <t>Biosimilar User Fee Act (BsUFA) Research Grant (U01) Clinical Trials Optional</t>
  </si>
  <si>
    <t>Renewal- Local Food Producer Outreach, Education, and Training to Enhance Food Safety and FDA Food Safety Modernization Act (FSMA) Compliance (U01) Clinical Trail Not Allowed</t>
  </si>
  <si>
    <t>Kiara Farmer
Grants Management Specialist
Phone 2404023099</t>
  </si>
  <si>
    <t>kiara.farmer@fda.hhs.gov</t>
  </si>
  <si>
    <t>Renewal - Native American Tribes Outreach, Education, and Training to Enhance Food Safety and FSMA Compliance (U01) Clinical Trial Not Allowed</t>
  </si>
  <si>
    <t>Retail Food Safety Regulatory Association Collaboration (U18) [Clinical Trial Not Allowed]</t>
  </si>
  <si>
    <t>Gordana Zuber
Grant Management Specialist
Phone 301-348-1747</t>
  </si>
  <si>
    <t>gordana.zuber@fda.hhs.gov</t>
  </si>
  <si>
    <t>Analgesic, Anesthetic and Addiction Clinical Trial Translations, Innovations, Opportunities, and Networks and Pediatric Anesthesia Safety Initiative (ACTTION/PASI) (U01) Clinical Trial Not Allowed)</t>
  </si>
  <si>
    <t>Revision Applications - Manufactured Food Flexible Funding Model Compliance and Enforcement Expansion Supplement (U18) [Clinical Trials Not Allowed]</t>
  </si>
  <si>
    <t>Federal and State Integration Activities to Advance Cooperation and Regulatory Standards Among Animal Food Safety Regulatory Programs (U2F) Clinical Trials Not Allowed</t>
  </si>
  <si>
    <t>Revision Applications - Development and Maintenance of the Animal Feed Regulatory Program Standards  Flexible Funding Model Compliance and Enforcement Expansion Supplement (U18) [Clinical Trials Not Allowed]</t>
  </si>
  <si>
    <t>Innovative ways to provide education on antimicrobial stewardship practices in animals.</t>
  </si>
  <si>
    <t>Rene A Vasquez
Grants Management Se
Phone 301-796-3546</t>
  </si>
  <si>
    <t>rene.vasquez@fda.hhs.gov</t>
  </si>
  <si>
    <t>In Vitro Based Approaches to Evaluate the Bioequivalence of Generic Rectal and Vaginal Products</t>
  </si>
  <si>
    <t>Development of advanced analytical methods for the characterization of complex generics</t>
  </si>
  <si>
    <t>Cutaneous pharamcokinetic-based approaches to establish bioequivalence of topically applied drug products</t>
  </si>
  <si>
    <t>PBPK modeling to support assessment of bioequivalence of locally acting drugs in the gastrointestinal tract</t>
  </si>
  <si>
    <t>Physiologically Based Pharmacokinetic Model for Nose-to-Brain Drug Delivery (U01) Clinical Trial Optional</t>
  </si>
  <si>
    <t>Investigating the in vivo behavior and in vitro characteristics purportedly gastro-retentive extended release formulation to enhance the regulatory standard of such products</t>
  </si>
  <si>
    <t>In Vitro Approaches to Evaluate and Compare the Adhesion Performance of Transdermal and Topical Delivery Systems (TDS) (U01) Clinical Trial Required</t>
  </si>
  <si>
    <t>Deconstruction of data and standards to support harmonization and interoperability with real world data for clinical research and regulatory submissions. (U01 Clinical Trial Not Allowed)</t>
  </si>
  <si>
    <t>Building an Integrated Information Technology Infrastructure for State Regulatory Programs (U2F) [Clinical Trial Not Allowed]</t>
  </si>
  <si>
    <t>Research to support the development of alternatives to antimicrobials for use in food-producing animals</t>
  </si>
  <si>
    <t>Rene A Vasquez
Grants Management Specialist
Phone 301-796-3546</t>
  </si>
  <si>
    <t>Conformance with the Egg Regulatory Program Standards (U2F) [Clinical Trial Not Allowed]</t>
  </si>
  <si>
    <t>Renewal - Cooperative Agreement to Support the Joint Institute for Food Safety and Applied Nutrition, JIFSAN (U01) Clinical Trial Not Allowed</t>
  </si>
  <si>
    <t>Innovation Award: COVID-19 and Health Equity (U01) Clinical Trials Optional</t>
  </si>
  <si>
    <t>PBPK Models to Aid the Development of Generic Dermatological Products</t>
  </si>
  <si>
    <t>Shashi Malhotra
Grants Management Specialist</t>
  </si>
  <si>
    <t>PBPK Models of Oral Absorption to Simulate the Results of Bioequivalence Studies</t>
  </si>
  <si>
    <t>Shashi.malhotra@fda.hhs.gov</t>
  </si>
  <si>
    <t>Implementation of the National Evaluation System for Health Technology (NEST) Coordinating Center (CC)</t>
  </si>
  <si>
    <t>Kiara Fowler
Grants Management Specialist</t>
  </si>
  <si>
    <t>kiara.fowler@fda.hhs.gov</t>
  </si>
  <si>
    <t>Incorporating cost effectiveness &amp; societal outcomes into FDA opioids model (U01)</t>
  </si>
  <si>
    <t>Development of methods for evaluating the impact of small design differences in the user interface of drug-device combination products on generic substitutability</t>
  </si>
  <si>
    <t>Exploring the use of Real-World Data to Generate Real-World Evidence in Regulatory Decision-Making (U01) Clinical Trials Optional</t>
  </si>
  <si>
    <t>Shashi Malhotra
Grants Management Officer
Phone 301-796-8020</t>
  </si>
  <si>
    <t>Drug Development Science Support (U01)</t>
  </si>
  <si>
    <t>CBER FY20 FOA for AAV vector manufacturing for diseases affecting very small populations (R01) Clinical Trial Not Allowed</t>
  </si>
  <si>
    <t>Gordana Zuber
Grants Management Specialist</t>
  </si>
  <si>
    <t>NARMS Cooperative Agreement Program to Strengthen Antibiotic Resistance Surveillance in Retail Food Specimens (U01) Clinical Trials Not Allowed</t>
  </si>
  <si>
    <t>Rene Vasquez
Grants Management Specialist</t>
  </si>
  <si>
    <t>Smoking Machine Adaptor Design Project for ENDS, Cigars, and Heated Tobacco Products</t>
  </si>
  <si>
    <t>Development and Maintenance of the Animal Feed Regulatory Program Standards with Optional Coordinated Preventive Control Regulatory Activities and Capacity Building (U18) Clinical Trial Not Allowed</t>
  </si>
  <si>
    <t>Gordana Zuber
Grants Management Officer</t>
  </si>
  <si>
    <t>Development of a model selection method for population pharmacokinetics analysis by deep-learning based reinforcement learning</t>
  </si>
  <si>
    <t>Expanding the Opioids System Model to more comprehensively incorporate fentanyl, stimulants use, polysubstance use and associated outcomes.</t>
  </si>
  <si>
    <t>Enhancing Innovations in Advanced Manufacturing Technologies for Vaccines against Influenza and Emerging Infectious Diseases</t>
  </si>
  <si>
    <t>AAV Vector manufacturing for diseases affecting very small populations</t>
  </si>
  <si>
    <t>SmartTots (Strategies for Mitigating Anesthesia-Related neuroToxicity in Tots) Public-Private Partnership</t>
  </si>
  <si>
    <t>Dermal Physiologically-Based Pharmacokinetic (PBPK) Models Accounting for the Absorption and Evaporation of Vehicle/Co-Solvent Following the Application of Generic Dermatological Products</t>
  </si>
  <si>
    <t>Drug Development Tools Research Grants (U01 Clinical Trial Optional)</t>
  </si>
  <si>
    <t>Minor Use Minor Species Development of Drugs (R01) Clinical Trials Not Allowed</t>
  </si>
  <si>
    <t>An evidence-based clinical practice guideline for dental pain (surgical and non-surgical)</t>
  </si>
  <si>
    <t>FDA's National Curriculum Standard  Development and Training Delivery and Development (ORA/OTED) (U18) Clinical Trial Not Allowed</t>
  </si>
  <si>
    <t>Integrated Pathogen Reduction Technologies for whole blood and blood components for transfusion (R01) Clinical Trial Not Allowed</t>
  </si>
  <si>
    <t>Retail Food Safety Association Collaboration (U18) Clinical Trial Not Allowed</t>
  </si>
  <si>
    <t>Analgesic, Anesthetic and Addiction Clinical Trials Innovations, Opportunities, and Networks (ACTTION)</t>
  </si>
  <si>
    <t>Quantify the expression of metabolizing enzymes and transporter proteins in lung, eye and skin tissue in relevant animal models and humans</t>
  </si>
  <si>
    <t>CFD Models to aid the development of generic inhalation products</t>
  </si>
  <si>
    <t>Manufactured Food Regulatory Program Alliance</t>
  </si>
  <si>
    <t>Gordana.Zuber@fda.hhs.gov</t>
  </si>
  <si>
    <t>Advance conformance with the Voluntary  National Retail Food Regulatory Program Standards (VNRFRPS)</t>
  </si>
  <si>
    <t>Impulse Oscillometry Endpoint Sensitivity to Regional Lung Function Changes using Computational Fluid Dynamics (CFD)</t>
  </si>
  <si>
    <t>Integrated Pathogen Reduction Technologies for  whole blood and blood components for transfusion (R01) Clinical Trials Not Allowed</t>
  </si>
  <si>
    <t>Pediatric and Perinatal COVID-19 Registry (U18) Clinical Trials Optional</t>
  </si>
  <si>
    <t>SmartTots (Strategies for Mitigating Anesthesia-Related neuroToxicity in Tots) Public-Private Partnership (PPP) under PASI (Pediatric Anesthesia Safety Initiative) (U01) Clinical Trials Not Allowed</t>
  </si>
  <si>
    <t>Collaboration in Regulatory Systems Strengthening and Standardization Activities to Increase Global Access to Safe and Effective Biological Products (U01) Clinical Trials Not Allowed</t>
  </si>
  <si>
    <t>AAV Vector manufacturing for diseases affecting very small populations (R01) Clinical Trials Not Allowed</t>
  </si>
  <si>
    <t>Strategies that Support Global Food Safety (U01) Clinical Trial Not Allowed</t>
  </si>
  <si>
    <t>Kiara Fowler
Grants Management Specialist
Phone 2404023099</t>
  </si>
  <si>
    <t>Analgesic, Anesthetic and Addiction Clinical Trial Translations, Innovations, Opportunities, and Networks (ACTTION) (U01) Clinical Trials Not Allowed</t>
  </si>
  <si>
    <t>Enhancing Innovations in Advanced Manufacturing Technologies for Vaccines against Influenza and Emerging Infectious Diseases (R01) Clinical Trials Not Allowed</t>
  </si>
  <si>
    <t>Gordana Zuber
Grant Management Specialist
Phone: 301-348/1747</t>
  </si>
  <si>
    <t>Expanding the opioids system modeling efforts to more comprehensively address fentanyl, stimulants use, polysubstance use and associated outcomes.(U01) Clinical Trials Not Allowed</t>
  </si>
  <si>
    <t>Data Standards for Tobacco Research and Scientific Review Program (U24) Clinical Trial Not Allowed</t>
  </si>
  <si>
    <t>Impulse Oscillometry Endpoint Sensitivity to Regional Lung Function Changes using Computational Fluid Dynamics (CFD) (U01) Clinical Trial Required</t>
  </si>
  <si>
    <t>Renewal : UCSF-Stanford Center of Excellence in Regulatory Science and Innovation (U01) Clinical Trials Optional</t>
  </si>
  <si>
    <t>Alliance to Support Integrated Food Safety System (IFSS) Activities (U2F) Clinical Trials Not Allowed</t>
  </si>
  <si>
    <t>Synopsis 5</t>
  </si>
  <si>
    <t>Dermal Physiologically-based Pharmacokinetic (PBPK) Models Accounting for the Absorption and Evaporation of Vehicle/Co-solvent following the Application of Generic Dermatological Products (U01)</t>
  </si>
  <si>
    <t>Training Alliance to Enhance Produce Safety and FDA Food Safety Modernization Act Compliance (U2F) Clinical Trial Not Allowed</t>
  </si>
  <si>
    <t>Advancing Conformance with the Voluntary National Retail Food Regulatory Program Standards (VNRFRPS) by State, Local, Tribal, and Territorial (SLTT) Retail Food Regulatory Agencies (U2F) Clinical Trials Not Allowed</t>
  </si>
  <si>
    <t>Renewal - Elucidating the Sensorial and Functional Characteristics of Compositionally Different and Differently Aged Topical Formulations (U01) Clinical Trial Required</t>
  </si>
  <si>
    <t>National Food and Nutrient Analysis Program (U01) Clinical Trial Not Applicable</t>
  </si>
  <si>
    <t>Quantify the expression of metabolizing enzymes and transporter proteins in lung, eye and skin tissue in relevant animal models and humans (U01) Clinical Trial Not Allowed</t>
  </si>
  <si>
    <t>Development of Advanced Analytical Methods for the Characterization of Iron Carbohydrate Complex - Ferric Derisomaltose (U01) Clinical Trials Not Allowed</t>
  </si>
  <si>
    <t>Computational Fluid Dynamics (CFD) Models to Aid the Development of Generic Inhalation Products (U01) Clinical Trials Optional</t>
  </si>
  <si>
    <t>Physiologically Based Pharmacokinetic (PBPK) Models of Oral Absorption to Simulate the Results of Bioequivalence Studies (U01) Clinical Trials Optional</t>
  </si>
  <si>
    <t>Development of a model selection method for population pharmacokinetics analysis by deep-learning based reinforcement learning (U01) Clinical Trials Not Allowed</t>
  </si>
  <si>
    <t>Renewal - Research, Education, and Outreach on Botanical Natural Products (U01) Clinical Trial Not Allowed</t>
  </si>
  <si>
    <t>Renewal - Strengthen and Promote the Role of Local Health Departments in Retail Food Safety Regulation (U50 Clinical Trial Not Allowed</t>
  </si>
  <si>
    <t>Development of Methods to Evaluate the Impact of Design Differences to the User Interface of Generic Drug-Device Combination Products in Comparison to their Reference Listed Drugs (U01) Clinical Trials Optional</t>
  </si>
  <si>
    <t>Physiologically-based pharmacokinetic (PBPK) models to aid the development of generic dermatological products (U01) Clinical Trials Optional</t>
  </si>
  <si>
    <t>Renewal - Cooperative Agreement to Support Shellfish Assistance Project (U01) Clinical Trial Not Allowed</t>
  </si>
  <si>
    <t>Renewal - Federal and University Partnership to Improve the Safety of Seafood from the Gulf of Mexico (U19) Clinical Trials Not Allowed</t>
  </si>
  <si>
    <t>Continuation of the National Evaluation System for Health Technology (NEST) Coordinating Center (CC) - (U01) Clinical Trial Optional</t>
  </si>
  <si>
    <t>Development of Standard Core Clinical Outcomes Assessments (COAs) and Endpoints (UG3/UH3 Clinical Trial Optional)</t>
  </si>
  <si>
    <t>Renewal-Harmonization of Technical Requirements for Pharmaceuticals for Human Use (U01) Clinical Trials Not Allowed</t>
  </si>
  <si>
    <t>Smoking Machine Adaptor Design Project for ENDS, Cigars, and Heated Tobacco Products (UC2) Clinical Trials Not Allowed</t>
  </si>
  <si>
    <t>Drug Development Science Support (U01) Clinical Trials Optional</t>
  </si>
  <si>
    <t>Cooperative Agreement to Support an Evidence-based Clinical Practice Guideline for the Treatment of Acute Dental Pain (U01) Clinical Trials Not Allowed</t>
  </si>
  <si>
    <t>Cooperative Agreement to Support FDA Land and Water Initiative (U01) Clinical Trial Not Allowed</t>
  </si>
  <si>
    <t>Incorporating cost effectiveness &amp; societal outcomes into FDA opioids model (U01) Clinical Trials Not Allowed</t>
  </si>
  <si>
    <t>FDA's National Curriculum Standard  Development and Training Delivery and Development (U18) Clinical Trial Not Allowed</t>
  </si>
  <si>
    <t>Daniel Lukash
Grants Management Specialist
Phone 240-402-7596</t>
  </si>
  <si>
    <t>daniel.lukash@fda.hhs.gov</t>
  </si>
  <si>
    <t>Laboratory Flexible Funding Model (LFFM) (U19) Clinical Trials Not Allowed</t>
  </si>
  <si>
    <t>Cooperative Agreement for Data Collection on Antimicrobial Use in Dogs and Cats (UO1) Clinical Trials Not Allowed</t>
  </si>
  <si>
    <t>Advancing Conformance with the Voluntary National Retail Food Regulatory Program Standards (VNRFRPS) (U18) Clinical Trials Not Allowed</t>
  </si>
  <si>
    <t>Conduct Studies to Establish More Targeted Durations of Use for Certain Approved Antimicrobial New Animal Drugs in Food Animals (U01) Clinical Trials Optional</t>
  </si>
  <si>
    <t>Building an Integrated Laboratory System to Advance the Safety of Human and Animal Food (U18) Clinical Trial Not Allowed</t>
  </si>
  <si>
    <t>Renewal - Integrated Food Safety System Online Research and Collaboration Development (U18) Clinical Trials Not Allowed</t>
  </si>
  <si>
    <t>Novel Approaches to Advance Coordinated Registry Networks (CRNs) (U01 Clinical Trial Optional)</t>
  </si>
  <si>
    <t>Renewal - Investigation of impact of manufacturing difference and formulation variation on drug release for Levonorgestrel Intrauterine System (U01) Clinical Trials Not Allowed</t>
  </si>
  <si>
    <t>Enhancing Regulatory Science for Advancing Pharmaceutical Quality and Manufacturing (U01) Clinical Trials Optional</t>
  </si>
  <si>
    <t>Center for Collaborative Research on Complex Generics (U18) Clinical Trials Optional</t>
  </si>
  <si>
    <t>Transferring Harmonized Laboratory Data from Healthcare Institutions to Registries Using FHIR Protocol (U01) Clinical Trials Not Allowed</t>
  </si>
  <si>
    <t>Physiologically-based pharmacokinetic/pharmacodynamic model extrapolation to human from rabbit for ophthalmic drug products (U01) Clinical Trials Not Allowed</t>
  </si>
  <si>
    <t>Bioequivalence of Topical Products: Elucidating Fundamental Principles of Dermal Pharmacokinetics for Microdialysis or Microperfusion Techniques (U01) Clinical Trials Not Allowed</t>
  </si>
  <si>
    <t>Native American Tribes Outreach, Education, and Training to Enhance Food Safety and FSMA Compliance (U01) Clinical Trial Not Allowed</t>
  </si>
  <si>
    <t>Local Food Producer Outreach, Education, and Training to Enhance Food Safety and FDA Food Safety Modernization Act (FSMA) Compliance (U01) Clinical Trial Not Allowed</t>
  </si>
  <si>
    <t>Heart Failure Collaboratory (R18) Clinical Trials Optional</t>
  </si>
  <si>
    <t>FDA Support for Conferences and Scientific Meetings (R13 Clinical Trial Not Allowed)</t>
  </si>
  <si>
    <t>Drug Development Tools Research Grants (U01 Clinical Trial Not Allowed)</t>
  </si>
  <si>
    <t>Shashi Malhotra
Office of Acquisitions &amp; Grants Services (OAGS)
Food and Drug Administration
Telephone: 240-402-7592 
Email: shashi.malhotra@fda.hhs.gov</t>
  </si>
  <si>
    <t>Rare Disease Clinical Outcome Assessment Consortium (U01 Clinical Trial Not Allowed)</t>
  </si>
  <si>
    <t>Cigar Tobacco Reference Products Program (UC2) Clinical Trials Not Allowed</t>
  </si>
  <si>
    <t>Renewal Application: Critical Path Public Private Partnerships (U18) Clinical Trials Optional</t>
  </si>
  <si>
    <t>Implementation of U.S. Food Safety Modernization Act - Identifying, Researching, and Implementing Alternative Methods to Expand the Reach across the Global Supply Chain (U01) - Clinical Trials Not Allowed</t>
  </si>
  <si>
    <t>Information Sharing System for State-Regulated Drug Compounding Activities (U01) Clinical Trial Not Allowed</t>
  </si>
  <si>
    <t>Cooperative Agreement to Support Regulatory Research Related to the 2018 Prescription Drug User Fee Act and the 21st Century Cures Act (U01) Clinical Trials Not Allowed</t>
  </si>
  <si>
    <t>National Project to Support and Promote Consistent Implementation of the Standards for the Growing, Harvesting, Packing, and Holding of Produce for Human Consumption (U18)</t>
  </si>
  <si>
    <t>Renewal Application: Kidney Health Initiative (R18) Clinical Trials Optional</t>
  </si>
  <si>
    <t>Convener and organizer of activities and engagements focused on the development of medical products and related processes, surveillance, and policies relevant to ongoing public health activities. (U01) Clinical Trial Not Allowed</t>
  </si>
  <si>
    <t>Renewal Application: Increasing the Quality and Efficiency of Clinical Trials (U18) Clinical Trial Required</t>
  </si>
  <si>
    <t>Conduct Studies to Establish More Targeted Durations of Use for Certain Approved Antimicrobial New Animal Drugs in Food Animals (U01 Clinical Trial Required)</t>
  </si>
  <si>
    <t>Rene A Vasquez
Grants Management Specialist
Email: rene.vasquez@fda.hhs.gov</t>
  </si>
  <si>
    <t>Synopsis 7</t>
  </si>
  <si>
    <t>Cooperative Agreement to Support the World Trade Organization's (WTO) Standards and Trade Development Facility (STDF) (U01 Clinical Trial Not Allowed)</t>
  </si>
  <si>
    <t>Maintenance and Enhancement of ISO/IEC 17025 Accreditation and Whole Genome Sequencing for State Food Testing Laboratories (U18 Clinical Trial Not Allowed)</t>
  </si>
  <si>
    <t>Implementation of the Animal Feed Regulatory Program Standards (U18 Clinical Trial Not Allowed)</t>
  </si>
  <si>
    <t>Gordana Zuber
Grant Management Specialist</t>
  </si>
  <si>
    <t>Advancing Manufacturing Processing and Control Strategies for Drug Substances and Drug Products (U01)- Clinical Trial Optional</t>
  </si>
  <si>
    <t>Development, Implementation, and Management of a Funding System to support the Grade â€œAâ€ Milk Safety Program and National Shellfish Sanitation Program (U18)</t>
  </si>
  <si>
    <t>Advancing Post-Market Surveillance of High-Risk Facilities and Products through Signal detection, Data analysis, and the Review of the State of Quality (U01) Clinical Trial Optional</t>
  </si>
  <si>
    <t>Cooperative Agreement to Support the Illinois Institute of Technology's Institute for Food Safety and Health (U19 Clinical Trial Optional)</t>
  </si>
  <si>
    <t>Enhancing Regulatory Science for the Risk Based Quality Assessment of Complex Products (U01) - Clinical Trials Optional</t>
  </si>
  <si>
    <t>Bioequivalence of Topical Products: Evaluating the Cutaneous Pharmacokinetics of Topical Drug Products Using Pharmacokinetic Tomography (U01 Clinical Trial Not Allowed)</t>
  </si>
  <si>
    <t>Bioequivalence of Topical Products: Elucidating the Sensorial and Functional Characteristics of Compositionally Different Topical Formulations (U01 Clinical Trial Required)</t>
  </si>
  <si>
    <t>Bioequivalence of Topical Products: Bioequivalence Considerations for Ungual, Scalp, Vaginal, Anal or Rectal Dosage Forms (U01 Clinical Trial Not Allowed)</t>
  </si>
  <si>
    <t>Patient Reported Outcomes Tool Development for Use in Non-Cystic Fibrosis Bronchiectasis Clinical Trials (U01- Clinical Trial Required)  Activity Code</t>
  </si>
  <si>
    <t>Validating Human Stem Cell Cardiomyocyte Technology for Better Predictive Assessment of Drug-Induced Cardiac Toxicity (U01 Clinical Trial Not Allowed)</t>
  </si>
  <si>
    <t>Clinical Studies of Orphan Products Addressing Unmet Needs of Rare Diseases (R01)</t>
  </si>
  <si>
    <t>Natural History Studies Addressing Unmet Needs of Rare Diseases: Orphan Products Research Project Grant (R01)</t>
  </si>
  <si>
    <t>State and Territory Produce Safety Implementation Program Expansion for Entrance into Competition B of PAR-16-137 (U18)</t>
  </si>
  <si>
    <t>Request for Information (RFI): FDA Standard Core Clinical Outcome Assessments and Endpoints</t>
  </si>
  <si>
    <t>Minor Use Minor Species Development of Drugs (R01)</t>
  </si>
  <si>
    <t>Rene Vasquez
Grants Management Specialist
Phone 301-796-3546</t>
  </si>
  <si>
    <t xml:space="preserve">Development of a virtual bioequivalence trial simulation platform that integrates population pharmacokinetic modeling algorithms into physiologically-based pharmacokinetic models (U01) </t>
  </si>
  <si>
    <t>Cooperative Agreement to Support Regulatory Research Related to the 2018 Prescription Drug User Fee Act and the 21st Century Cures Act (U19)</t>
  </si>
  <si>
    <t xml:space="preserve">Strengthen Regulatory Systems to Ensure the Safety and Quality of Food and Medical Products (U01) </t>
  </si>
  <si>
    <t>Enhancing Innovations in Emerging Technologies for Advanced Manufacturing of Complex Biologic Products (R01)</t>
  </si>
  <si>
    <t>Bryce Jones
Grants Management Specialist
Phone 240-402-2111</t>
  </si>
  <si>
    <t>bryce.jones@fda.hhs.gov</t>
  </si>
  <si>
    <t>Cooperative Agreement to Support the Food and Agriculture Organization (FAO) (U01)</t>
  </si>
  <si>
    <t>Exploration of HL7 FHIR Standards for Clinical Research and Post-market Surveillance (U24)</t>
  </si>
  <si>
    <t>Renewal Applications: Centers of Excellence in Regulatory Science and Innovation (U01)</t>
  </si>
  <si>
    <t>Bioequivalence of Topical Products: Evaluating the Cutaneous Pharmacokinetics of Topical Drug Products Using Non-Invasive Techniques (U01)</t>
  </si>
  <si>
    <t>Assuring Radiation Protection (U18)</t>
  </si>
  <si>
    <t>Three-Dimensional Approach for Modeling Nasal Mucociliary Clearance via Computational Fluid Dynamics (CFD) (U01)</t>
  </si>
  <si>
    <t xml:space="preserve">Computational fluid dynamics (CFD) and discrete element modeling (DEM) approach for predictions of dry powder inhaler (DPI) drug delivery (U01) </t>
  </si>
  <si>
    <t>Bioequivalence of Topical Products: Elucidating the Thermodynamic and Functional Characteristics  of Compositionally Different Topical Formulations (U01)</t>
  </si>
  <si>
    <t>Characterize skin physiology parameters utilized in dermal physiologically-based pharmacokinetic model development across different skin disease states (U01)</t>
  </si>
  <si>
    <t>Formulation drug product quality attributes in dermal physiologically-based pharmacokinetic models for topical dermatological drug products and transdermal delivery systems (U01)</t>
  </si>
  <si>
    <t>Shashi Malhotra
Grants Management Specialist
Phone 240402375952</t>
  </si>
  <si>
    <t>Shashi.Malthora@fda.hhs.gov</t>
  </si>
  <si>
    <t>Cooperative Agreement to Support the Western Center for Food Safety (U19)</t>
  </si>
  <si>
    <t>FDA Drug Residue Prevention Program (U18)</t>
  </si>
  <si>
    <t>Data Standards for Clinical Research and Drug Development (U24)</t>
  </si>
  <si>
    <t>National Laboratory Curriculum Framework Development</t>
  </si>
  <si>
    <t>Pediatric Device Consortia Grants Program (P50)</t>
  </si>
  <si>
    <t>Flexible Funding Model - Infrastructure Development and Maintenance for State Manufactured Food Regulatory Programs (U18)</t>
  </si>
  <si>
    <t>Building Research Capacity in Global Tobacco Product Regulation Program (U18)</t>
  </si>
  <si>
    <t>Global Pediatric Clinical Trials Network</t>
  </si>
  <si>
    <t>Academic Development of a Training Program for Good Laboratory Practices in High Containment Environments (U24)</t>
  </si>
  <si>
    <t>Creation and Implementation of the National Evaluation System for Health Technology (NEST) Coordinating Center (CC)</t>
  </si>
  <si>
    <t xml:space="preserve">Food Safety Preventive Controls and Produce Safety Standards: Building Competency in Latin America in Support of the U.S. Food Safety Modernization Act </t>
  </si>
  <si>
    <t>Developing Biomarkers for Trastuzumab-induced Cardiotoxicity</t>
  </si>
  <si>
    <t>Shashi Malhotra
Grants Management Specialist
Phone( 240)402-7592</t>
  </si>
  <si>
    <t xml:space="preserve">National Laboratory Curriculum Framework Development  </t>
  </si>
  <si>
    <t>Allison Mandel
Grants Specialist
Phone 240-402-7602</t>
  </si>
  <si>
    <t>allison.mandel@fda.hhs.gov</t>
  </si>
  <si>
    <t>Identification of Target Peptide Sequences for Zika IgM Diagnostic Device</t>
  </si>
  <si>
    <t xml:space="preserve">Advancing Conformance with the Voluntary National Retail Food Regulatory Program Standards (VNRFRPS) (U18) </t>
  </si>
  <si>
    <t>Conformance with the Manufactured Food Regulatory Program Standards (MFRPS) (U18)</t>
  </si>
  <si>
    <t>Maintenance and Enhancement of ISO/IEC 17025 Accreditation and Whole Genome Sequencing for State Food Testing Laboratories</t>
  </si>
  <si>
    <t>Kiara Fowler
Grants Specialist
Phone 240-402-3099</t>
  </si>
  <si>
    <t>Kiara.Fowler@fda.hhs.gov</t>
  </si>
  <si>
    <t>Search and Rescue peer-to-peer opioids prescriber education campaign</t>
  </si>
  <si>
    <t>Cooperative Agreement to Support the Joint Institute for Food Safety and Applied Nutrition, JIFSAN (U19)</t>
  </si>
  <si>
    <t>Manufacturing Sector Research Initiative</t>
  </si>
  <si>
    <t>State/Territory Produce Safety Implementation Cooperative Agreement Program Expansion (U18)</t>
  </si>
  <si>
    <t>CVM Vet-LIRN Veterinary Diagnostic Laboratory Program  (U18)</t>
  </si>
  <si>
    <t>Rene.Vasquez@fda.hhs.gov</t>
  </si>
  <si>
    <t>Expanded Access to Investigational Therapies (R01)</t>
  </si>
  <si>
    <t>FDA Scientific Conference Grant Program (R13)</t>
  </si>
  <si>
    <t>Kiara Fowler
Grants Management Specialist
Phone 240-402-3099</t>
  </si>
  <si>
    <t>Evaluating predictive methods and product performance in Healthy Adults for Pediatric Patients, Case Study: Furosemide (U01)</t>
  </si>
  <si>
    <t>Collaboration in Regulatory Systems Strengthening and Standardization Activities to Increase Access to Safe and Effective Biological Products - (U01)</t>
  </si>
  <si>
    <t>National Curriculum Standard Development for Integrated Food Safety System Regulators (U18)</t>
  </si>
  <si>
    <t>Collaborating Centers of Excellence in Regulatory Science and Innovation (U01)</t>
  </si>
  <si>
    <t>Eric Bozoian
Grants Management Specialist
Phone 2404027623</t>
  </si>
  <si>
    <t>eric.bozoian@fda.hhs.gov</t>
  </si>
  <si>
    <t>Analgesic, Anesthetic and Addiction Clinical Trial Translations, Innovations, Opportunities, and Networks (ACTTION) (U01)</t>
  </si>
  <si>
    <t>Pediatric Anesthesia Safety Initiative (PASI) (U01)</t>
  </si>
  <si>
    <t>Natural History Studies for Rare Disease Product Development: Orphan Products Research Project Grant (R01)</t>
  </si>
  <si>
    <t>Food Protection Task Force (FPTF) and Integrated Food Safety System (IFSS) Project  Grant Program (R18)</t>
  </si>
  <si>
    <t>Martin Bernard
Grants Management Specialist
Martin.Bernard@fda.hhs.gov</t>
  </si>
  <si>
    <t>Martin.Bernard@fda.hhs.gov</t>
  </si>
  <si>
    <t>Manufactured Food Regulatory Program Alliance (U18)</t>
  </si>
  <si>
    <t>Allison Mandel
Grants Management Specialist
Allison.Mandel@fda.hhs.gov</t>
  </si>
  <si>
    <t>Allison.Mandel@fda.hhs.gov</t>
  </si>
  <si>
    <t>Egg Safety Regulatory Program Standards Development (U18)</t>
  </si>
  <si>
    <t>Allison Mandel
Grant Management Specialist
Allison.Mandel@fda.hhs.gov</t>
  </si>
  <si>
    <t>National Research Project to Assess State Agricultural Laws, Regulations, and Resources Related to Food for Animals (U01)</t>
  </si>
  <si>
    <t xml:space="preserve">Allison Mandel
Grants Management Specialist
</t>
  </si>
  <si>
    <t>Limited Competition for Revision Applications for National Research Project to Assess State Agricultural Laws, Regulations and Resources Related to Produce Safety (U01)</t>
  </si>
  <si>
    <t>Lisa Ko
Grants Management Officer</t>
  </si>
  <si>
    <t>lisa.ko@fda.hhs.gov</t>
  </si>
  <si>
    <t>Strengthening Partnerships with State Legislatures to Promote the Safety of FDA Regulated Products and Advance Public Health (U18)</t>
  </si>
  <si>
    <t>Martin Bernard
Grants Specialist
Martin.Bernard@fda.hhs.gov</t>
  </si>
  <si>
    <t>Strengthen and Promote the Role of Local Health Departments in Retail Food Safety Regulation (U50)</t>
  </si>
  <si>
    <t>Evaluation of Aberrant Observations and Their Impact on Bioequivalence Assessment (U01)</t>
  </si>
  <si>
    <t>Refine, Complete, and Publish Data Standards for Animal Efficacy Studies and Natural History Studies for Animal Rule Applications (U01)</t>
  </si>
  <si>
    <t>Bioequivalence of Topical Products: Comparing Dermal Pharmacokinetics by Microdialysis or Microperfusion Techniques (U01)</t>
  </si>
  <si>
    <t>Bioequivalence of Topical Products: Comparing Epidermal Pharmacokinetics by Spectroscopic Imaging Techniques (U01)</t>
  </si>
  <si>
    <t>Study of Fluid Amounts Taken with Oral Drug Products (U01)</t>
  </si>
  <si>
    <t>Integrating Supersaturation-precipitation Mechanisms in Mechanistic Oral Absorption Models for Predicting In- vivo Performance of Associated Formulations  (U01)</t>
  </si>
  <si>
    <t>Use of Imaging and Digital Image Analysis Software/s to Evaluate Transdermal Irritation and Non - inferiority of Generic Transdermal Products (U01)</t>
  </si>
  <si>
    <t>Therapeutic Areas for Data Standards Development (U01)</t>
  </si>
  <si>
    <t>Generic Drug Substitution in Special Populations (U01)</t>
  </si>
  <si>
    <t xml:space="preserve">Development, Implementation, and Management of a Funding System to  Advance Conformance with the Voluntary National Retail Food Regulatory Program Standards (VNRFRPS) (U18) </t>
  </si>
  <si>
    <t>Strategies that Support Global Food Safety (U01)</t>
  </si>
  <si>
    <t>Implementing Population Pharmacokinetic Modeling Algorithm in Physiologically-based Pharmacokinetic Models to Allow Parameter Estimation at Individual Data Level (U01)</t>
  </si>
  <si>
    <t>Assessment of Intersubject Variability in Small Airway Delivery with Oral Inhalation Drug Products  (U01)</t>
  </si>
  <si>
    <t>Investigation of Peptide-Polymer Interaction in Poly(lactide-co-glycolide) Microspheres (U01)</t>
  </si>
  <si>
    <t>Architectural review of the BRIDG model (U01)</t>
  </si>
  <si>
    <t>Eric.Bozoian@fda.hhs.gov</t>
  </si>
  <si>
    <t>State and Territory Cooperative Agreement to Enhance Produce Safety in Preparation of Implementation of FDA's Rule: Standards for the Growing, Harvesting, Packing, &amp; Holding of Produce for Human Consumption  (U18)</t>
  </si>
  <si>
    <t xml:space="preserve">Dan Lukash
Grants Management Officer
</t>
  </si>
  <si>
    <t>Antimicrobial Use  &amp; Resistance Data Collection (U01)</t>
  </si>
  <si>
    <t>Vet-LIRN Cooperative Agreement Program to Develop and Validate Testing Methods for Food Irradiation Specific Markers in Animal Feeds and Treats (U18)</t>
  </si>
  <si>
    <t>Implementation of the Animal Feed Regulatory Program Standards   (AFRPS) (U18)</t>
  </si>
  <si>
    <t>Development, Implementation, and Management of a Funding System to support the Grade â€œAâ€ Milk Safety Program and Molluscan Shellfish Program (U18)</t>
  </si>
  <si>
    <t>Developing a Food Protection Rapid Response Team (RRT) (U18)</t>
  </si>
  <si>
    <t>FDA Drug Residue Cooperative Agreement Program (U18)</t>
  </si>
  <si>
    <t>Federal and University Partnership to Improve the Safety of Seafood from the Gulf of Mexico (U19)</t>
  </si>
  <si>
    <t>Research, Education, and Outreach on Botanical Natural Products (U01)</t>
  </si>
  <si>
    <t>NARMS Cooperative Agreement Program to Enhance and Strengthen Antibiotic Resistance Surveillance in Retail Food Specimens (U01)</t>
  </si>
  <si>
    <t>Cooperative Agreement to Support Shellfish Safety Assistance Project (U01)</t>
  </si>
  <si>
    <t>Native American Tribes Outreach, Education, and Training to Enhance Food Safety and FSMA Compliance (U01)</t>
  </si>
  <si>
    <t xml:space="preserve">National Training, Education, Extension, Outreach, and Technical Assistance Competitive Grants Program: Regional Center Grants to Enhance Food Safety  </t>
  </si>
  <si>
    <t>Martin Bernard
Grants Management Specialist</t>
  </si>
  <si>
    <t>Building towards Statistically-Based Pharmaceutical Quality Standards (U01)</t>
  </si>
  <si>
    <t xml:space="preserve">Lisa Ko
Grants Management Specialist
</t>
  </si>
  <si>
    <t>Evaluating Quality Metrics for Risk-Based Surveillance of Drug Manufacturing Operations and Facilities (U01)</t>
  </si>
  <si>
    <t>Cooperative Agreement for Research, Education, and Outreach in support of the FDA Food Safety Modernization Act</t>
  </si>
  <si>
    <t xml:space="preserve">Martin Bernard
Grants Management Specialist
</t>
  </si>
  <si>
    <t>Disease Natural History Database Development - (U24)</t>
  </si>
  <si>
    <t xml:space="preserve">Vieda Hubbard
Grants Management Specialist
</t>
  </si>
  <si>
    <t>vieda.hubbard@fda.hhs.gov</t>
  </si>
  <si>
    <t>Expanding FDA's Produce Safety and Instructor Skills Training under the Food Safety Modernization Act</t>
  </si>
  <si>
    <t>Expanding Course Offerings for State and Local Regulators in the Integrated Food Safety System (U18)</t>
  </si>
  <si>
    <t xml:space="preserve">FDAâ€™s Education and Outreach Program Targeting School-Aged Children (U48)  </t>
  </si>
  <si>
    <t>Oluyemisi Akinneye
Grants Management Specialist
Phone 240-402-7560</t>
  </si>
  <si>
    <t>Oluyemisi.Akinneye@fda.gov</t>
  </si>
  <si>
    <t>ISO/IEC 17025:2005 Accreditation for State Food Testing Laboratories (U18)</t>
  </si>
  <si>
    <t>Oluyemisi.Akinneye@fda.hhs.gov</t>
  </si>
  <si>
    <t>Strengthening the Operating Framework and Furthering the Objectives of Coalition For Accelerating Standards And Therapies (CFAST) Initiative (U24)</t>
  </si>
  <si>
    <t>Vieda Hubbard
Grants Management Specialist
Phone 240-402-7588</t>
  </si>
  <si>
    <t>Smokeless Tobacco Reference Products (UC2)</t>
  </si>
  <si>
    <t>Molecular Characterization of Multiple Myeloma Ethnic Disparity</t>
  </si>
  <si>
    <t>Harmonization of Technical Requirements for Pharmaceuticals for Human Use (U01)</t>
  </si>
  <si>
    <t>Program Expansion for Fostering Cooperation and Strengthening Medical Product Regulatory Systems in the Americas  to add a Medical Device Module for Secure Regulatory Information Exchange (U01)</t>
  </si>
  <si>
    <t>Kimberly Pendleton Chew
Chief Grants Management Officer</t>
  </si>
  <si>
    <t>kimberly.pendleton@fda.hhs.gov</t>
  </si>
  <si>
    <t>Food Protection Rapid Response Team (RRT) (U18)</t>
  </si>
  <si>
    <t>Implementation of the Animal Feed Regulatory Program Standards (AFRPS) (U18)</t>
  </si>
  <si>
    <t>Limited Competition: Advancing Conformance with the Voluntary National Retail Food Regulatory Program Standards (VNRFRPS) (U18)</t>
  </si>
  <si>
    <t>Integrated Food Safety System Online Collaboration Development (U18)</t>
  </si>
  <si>
    <t xml:space="preserve">Integrated Food Defense </t>
  </si>
  <si>
    <t>Daniel Lukash
Grants Management Specialist
Phone 240/402-7596</t>
  </si>
  <si>
    <t>Development and Application of Case Control Analysis for Generic Drugs (U01)</t>
  </si>
  <si>
    <t>Data Concepts and Terminology Standards for the Support of Human Drug Development and Evaluation</t>
  </si>
  <si>
    <t>Development, Implementation, and Management of a Funding System to  Advance Conformance with the Voluntary National Retail Food Regulatory Program Standards (VNRFRPS) (U18)</t>
  </si>
  <si>
    <t>Lisa Ko
Grants Management Specialist</t>
  </si>
  <si>
    <t>FDA FERN Cooperative Agreement Continuation Program (U18)</t>
  </si>
  <si>
    <t xml:space="preserve">Enhancing Regulatory Science for the Risk Based Assessment of Emerging Manufacturing Technologies (U01) </t>
  </si>
  <si>
    <t>Post-market Surveillance of Generic Modified Release Products (U01)</t>
  </si>
  <si>
    <t>IMEDS- Methods Research Agenda</t>
  </si>
  <si>
    <t>Limited Competition for Renewal Applications: Collaborating Centers of Excellence in Regulatory Science and Innovation (U01)</t>
  </si>
  <si>
    <t>Vieda.Hubbard@fda.hhs.gov</t>
  </si>
  <si>
    <t>Educating Groups Influencing Generic Drug Use (U01)</t>
  </si>
  <si>
    <t>Limited Competition for Revision Applications for Pharmacometric Modeling and Simulation for Generic Drugs Evaluation (U01)</t>
  </si>
  <si>
    <t>Limited Competition for Revision Applications for Evaluation of Formulation Effects of Metered Dose Inhalers on Pharmacokinetics (U01)</t>
  </si>
  <si>
    <t>Minor Use Minor Species Development of Drugs; Research Project Grant (R01)</t>
  </si>
  <si>
    <t>Oluyemisi (Yemisi) Akinneye
Grants Management Specialist
Phone 240-402-7560</t>
  </si>
  <si>
    <t>Partnership to Develop the Branded Food Products Database for Public Health</t>
  </si>
  <si>
    <t>Pharmacometric Modeling and Simulation for Long Acting Injectable Products (U01)</t>
  </si>
  <si>
    <t>Dissolution Methods for Long-acting Periodontal Drug Products (U01)</t>
  </si>
  <si>
    <t>Dissolution Methods for Long-acting Levonorgestrel Intrauterine System  (U01)</t>
  </si>
  <si>
    <t xml:space="preserve">Grants to Enhance Food Safety: National Training, Education, Extension, Outreach, and Technical Assistance Competitive Grants Program (U18) </t>
  </si>
  <si>
    <t xml:space="preserve">Kimberly Pendleton
Chief Grants Management Officer
</t>
  </si>
  <si>
    <t>Kimberly.Pendleton@fda.hhs.gov</t>
  </si>
  <si>
    <t>Clinical Studies of Safety and Effectiveness of Orphan Products Research Project Grant (R01)</t>
  </si>
  <si>
    <t>Dan Lukash
Grants Management Specialist
Phone 240-402-7596</t>
  </si>
  <si>
    <t>National Research Project to Assess State Agricultural Laws, Regulations, and Resources Related to Produce Safety (U01)</t>
  </si>
  <si>
    <t>oluyemisi.akinneye@fda.gov</t>
  </si>
  <si>
    <t>Cooperative Agreement to Support the World Trade Organization's (WTO) Standards and Trade Development Facility (STDF)</t>
  </si>
  <si>
    <t>Fostering Cooperation and Strengthening Medical Product Regulatory Systems in the Americas</t>
  </si>
  <si>
    <t>Critical Path Public Private Partnerships</t>
  </si>
  <si>
    <t>Evaluating Predictive Methods and Product Performance in Healthy Adults for Pediatric Patients, Case Study: Furosemide (U01)</t>
  </si>
  <si>
    <t>Kidney Health Initiative (R18)</t>
  </si>
  <si>
    <t>Predictive in vitro Methods for Characterizing Product Performance, Case Study: Furosemide (U01)</t>
  </si>
  <si>
    <t>The Use of Polyethylene Glycol in the Pediatric Population (R01)</t>
  </si>
  <si>
    <t>Increasing the Quality and Efficiency of Clinical Trials (R18)</t>
  </si>
  <si>
    <t>Development of an Integrated Mathematical Model for Comparative Characterization of Complex Molecules (U01)</t>
  </si>
  <si>
    <t>Development of Process Simulation and Modeling Tools for Integrated Pharmaceutical Manufacturing Processes (U01)</t>
  </si>
  <si>
    <t>Data Concepts and Terminology Standards for Clinical Research and Drug Development (U24)</t>
  </si>
  <si>
    <t>Gladys Melendez-Bohler
Grants Management Officer/Specialist
Phone 240-402-7565</t>
  </si>
  <si>
    <t>gladys.bohler@fda.hhs.gov</t>
  </si>
  <si>
    <t>Post-market surveillance evaluation of authorized generic drug products (U01)</t>
  </si>
  <si>
    <t>Martin Bernard
Grants Management Specialist
Phone 240-402-7564</t>
  </si>
  <si>
    <t>Pharmacokinetic/Pharmacodynamic (PK/PD) Studies of Methylphenidate Extended Release Products in Attention Deficit Hyperactivity Disorder (ADHD) Patients (U01)</t>
  </si>
  <si>
    <t>Effect of Therapeutic Class on Generic Drug Substitutions (U01)</t>
  </si>
  <si>
    <t>Retrospective Analysis on the Impact of Generic Immunosuppressants on Acute Rejection and Long Term Graft Survivals (U01)</t>
  </si>
  <si>
    <t>Development of realistic in vitro studies to assess robustness of dose counters/indicators in metered dose inhalers  (U01)</t>
  </si>
  <si>
    <t>Prospective Studies on the Impact of Generic Immunosuppressants on Acute Rejection and Long Term Graft survivals  (U01)</t>
  </si>
  <si>
    <t>Evalution of Iron Species in Healthy Subjects treated with Generic and Reference Sodium Ferric Gluconate</t>
  </si>
  <si>
    <t>Pharmacokinetic and Pharmacodynamic (PK-PD) Studies of Cardiovascular Drugs (U01)</t>
  </si>
  <si>
    <t>The Effect of Different Preparation Methods on the In Vitro and In Vivo Performance of Solid Dispersion Formulations (U01)</t>
  </si>
  <si>
    <t>Dissolution Methods for Semisolid Ocular Drug Products</t>
  </si>
  <si>
    <t>Gladys Melendez-Bohler
Grants Management Specialist
Phone 301-827-7175</t>
  </si>
  <si>
    <t>Dissolution Methods for Suspension and Emulsion Ocular Drug Products</t>
  </si>
  <si>
    <t>Development of Clinically Relevant in Vitro Performance Test for Generic OIDPs: Physiologically Relevant Models for Aerodynamic Particle Size Distribution Analysis</t>
  </si>
  <si>
    <t>Convener of Discussions on Medical Policy Issues Impacting Drug Development</t>
  </si>
  <si>
    <t xml:space="preserve">Evaluation of in vitro release methods for liposomal drug products </t>
  </si>
  <si>
    <t>Gladys Melendez-Bohler
Grants Management Specialist
Phone 240-402-7565</t>
  </si>
  <si>
    <t>Dissolution Methods for Microsphere and Implant Drug Products</t>
  </si>
  <si>
    <t>Characterization of Critical Quality Attributes for Semisolid Topical Drug Products</t>
  </si>
  <si>
    <t>Physiologically Based Absorption and Pharmacokinetic Modeling and Simulation for Non-gastrointestinally Absorbed Drug Products In Humans</t>
  </si>
  <si>
    <t>Pharmacometric Modeling and Simulation for Generic Drugs Evaluation</t>
  </si>
  <si>
    <t>Cigarette Tobacco Reference Products Program (UC2)</t>
  </si>
  <si>
    <t>Cooperative Agreement to Support the Food and Agriculture Organization (U01)</t>
  </si>
  <si>
    <t>Gladys Melendez-Bohler
Grants Management Officer/Specialist
Phone 301-827-7175</t>
  </si>
  <si>
    <t>Predictive Methods for Characterizing Product Performance in Pediatric Patients, Case Study: Furosemide</t>
  </si>
  <si>
    <t>Oluyemisi (Yemisi) Akinneye
Grants Management Specialist
Phone 3018270079</t>
  </si>
  <si>
    <t>Cooperative Agreement to Support the North Carolina State University, Prestage  Department of Poultry Science and the Piedmont Research Station (U01)</t>
  </si>
  <si>
    <t>Daniel Lukash
Grants Management Specialist
Phone 301-827-6771</t>
  </si>
  <si>
    <t>Vet-LIRN Cooperative Agreement Program to Expand and Validate Testing Methods for Food Contaminants in Animal Diagnostic Specimens (U18)</t>
  </si>
  <si>
    <t>Advancing Medical Device Postmarket Surveillance Infrastructure and  Epidemiologic Methodologies  through Multi-stakeholder Partnership (U01)</t>
  </si>
  <si>
    <t>Lisa.Ko@fda.hhs.gov</t>
  </si>
  <si>
    <t>National Consumer Food Safety Education Conference (U13)</t>
  </si>
  <si>
    <t>Martin Bernard
Grants Specialist
Phone 301-443-5869</t>
  </si>
  <si>
    <t>Vieda Hubbard
Grants Management Specialist
Phone 301-827-7177</t>
  </si>
  <si>
    <t>Systematic Evaluation of Excipient Effects on the Efficacy of Metered Dose Inhaler Products (U01)</t>
  </si>
  <si>
    <t>In vitro release tests for transdermal drug delivery systems (U01)</t>
  </si>
  <si>
    <t>Development of in vivo predictive dissolution method for orally inhaled drug products</t>
  </si>
  <si>
    <t>In vitro release tests for topical dermatological products (U01)</t>
  </si>
  <si>
    <t>Food Protection Task Force Conference (R13)</t>
  </si>
  <si>
    <t>Martin Bernard
Contracts
Phone 301-443-5869</t>
  </si>
  <si>
    <t>Enhancing post-market surveillance through developing registries for medical device epidemiology (U01)</t>
  </si>
  <si>
    <t xml:space="preserve">In vitro-In vivo Correlations of Ocular Implants </t>
  </si>
  <si>
    <t>Jennerfer Torres-Hernandez
Grants Management Specialist
Phone 301-827-9607</t>
  </si>
  <si>
    <t>Jennerfer.Torres-Hernandez@fda.hhs.gov</t>
  </si>
  <si>
    <t xml:space="preserve">In vitro-In vivo Correlations of Parenteral Microsphere Drug Products </t>
  </si>
  <si>
    <t>Evaluation of Dissolution Methods for Complex Parenteral Dosage Forms (U01)</t>
  </si>
  <si>
    <t>Development of Bio-relevant In-vitro Assay to Determine Labile Iron in the Parenteral Iron Complex Product (U01)</t>
  </si>
  <si>
    <t>Collection of Dose Adjustment and Therapeutic Monitoring Data to Aid Narrow Therapeutic Index Drug Classification (U01)</t>
  </si>
  <si>
    <t>Bioequivalence of Generic Bupropion (U01)</t>
  </si>
  <si>
    <t xml:space="preserve">Food Protection Rapid Response Team </t>
  </si>
  <si>
    <t xml:space="preserve">Conformance with the Manufactured Food Regulatory Program Standards (MFRPS) (U18)   </t>
  </si>
  <si>
    <t>Oluyemisi Akinneye
Grants Management Specialist</t>
  </si>
  <si>
    <t>Postmarketing Surveillance of Generic Drug Usage and Substitution Patterns  (U01)</t>
  </si>
  <si>
    <t xml:space="preserve">Limited Competition: Training for examination, inspection, and investigation of food manufacturing, processing, packing, holding, distribution, and importation, including retail food establishments (U18)  </t>
  </si>
  <si>
    <t>Pediatric Device Consortia Grant Program (P50)</t>
  </si>
  <si>
    <t>Vieda HUBBARD
Grants Management Specialist
Phone 301-827-7177</t>
  </si>
  <si>
    <t>2013 Assuring Radiation Protection</t>
  </si>
  <si>
    <t>Vieda HUBBARD
Grants Management Specialist</t>
  </si>
  <si>
    <t>Building the Capacity of State, Local, Territorial, and Tribal Food Regulatory Agencies to Undertake Examinations, Inspections, and Investigations and other Related Food Safety Activities Under Section 702 of the FD</t>
  </si>
  <si>
    <t>Dan Lukash
Grants Management Specialist
Phone 301-827-6771</t>
  </si>
  <si>
    <t>Building the Capacity of Food Safety Entities to Protect Public Health in Response to a Notification under Section 1008 of the Federal Food, Drug, and Cosmetic Act or a Recall of Foods (U18)</t>
  </si>
  <si>
    <t>Building an Integrated Laboratory System to Advance the Safety of Food and Animal Feed (U18)</t>
  </si>
  <si>
    <t>CVM Vet-LRN Veterinary Diagnostic Laboratory Program - (U18)</t>
  </si>
  <si>
    <t>Yemisi Akinneye
Grants Management Specialist
Phone 240-402-7560</t>
  </si>
  <si>
    <t xml:space="preserve">Enhancing post-market surveillance through developing registries for medical device epidemiology (U01) </t>
  </si>
  <si>
    <t>FDA FERN Microbiological Cooperative Agreement Continuation Program (U18)</t>
  </si>
  <si>
    <t>Gladys Melendez Bohler
Grants Management Specialist/Officer
Phone 301-827-7175</t>
  </si>
  <si>
    <t>CDER Strategic Communication Outreach</t>
  </si>
  <si>
    <t>Gladys Melendez Bohler
Grants Management Specialist/Officer
Phone 301-827-7168</t>
  </si>
  <si>
    <t>Food Protection Rapid Response Teams (U18)</t>
  </si>
  <si>
    <t>Food Protection Rapid Response Team and Program Infrastructure Improvement Implementation Project (U18)</t>
  </si>
  <si>
    <t>Predictive Lung Deposition Models for Safety and Efficacy of Orally Inhaled Drug Products (U01)</t>
  </si>
  <si>
    <t>Effect of Physicochemical Properties of Ophthalmic Formulations on Ocular Bioavailability (U01)</t>
  </si>
  <si>
    <t>Pharmacokinetics Studies of Tacrolimus in Transplant Patients (U01)</t>
  </si>
  <si>
    <t>Developing Innovative Methodologies and Device-Specific Infrastructure through the Medical Device Epidemiology Network: Applications for Medical Countermeasure-Associated Devices (U01)</t>
  </si>
  <si>
    <t>Misuse and Abuse of DEA Schedule II-V Opioid Analgesic Drugs: Researching Strategies to Ensure Safe Use and Reduce Preventable Harm (U01)</t>
  </si>
  <si>
    <t>Stephanie D. Bogan
Grants Management Specialist</t>
  </si>
  <si>
    <t>stephanie.bogan@fda.hhs.gov</t>
  </si>
  <si>
    <t>The Tobacco Regulation Awareness, Communication, and Education Program (U1A)</t>
  </si>
  <si>
    <t>Innovative Food Defense Program (R18)</t>
  </si>
  <si>
    <t>Jennerfer Torres-Hernandez
Grants Management Specialist</t>
  </si>
  <si>
    <t xml:space="preserve">Jennerfer.Torres-Hernandez@fda.hhs.gov </t>
  </si>
  <si>
    <t>Minor Use Minor Species Development Drugs</t>
  </si>
  <si>
    <t>Oluyemisi (Yemisi) Akinneye
Grants Management Specialist
Phone 301-827-0079</t>
  </si>
  <si>
    <t>Oluyemisi Akinneye
Grants Management Specialist
Phone 301 827-0079</t>
  </si>
  <si>
    <t>FDA Small Scientific Conference Grant Program (R13)</t>
  </si>
  <si>
    <t>Quality by Design for Orally Inhaled Drugs: Chemistry, Manufacturing, and Controls (U01)</t>
  </si>
  <si>
    <t xml:space="preserve">Stephanie Bogan
Grants Management Specialist
</t>
  </si>
  <si>
    <t>Assisting the Integrated Food Safety System's National Food/Feed Training Program (U54)</t>
  </si>
  <si>
    <t>gladys melendez
Grants Management Officer/Specialist
Phone 301-827-7175</t>
  </si>
  <si>
    <t>gmbohler@fda.hhs.gov</t>
  </si>
  <si>
    <t>Evaluation of Salmonella in Symptomatic and Asymptomatic Pets: Study for the Vet-LRN Program (U18)</t>
  </si>
  <si>
    <t>Vieda Hubbard
Grants Management Specialist
Telephone: (301) 827-7177</t>
  </si>
  <si>
    <t xml:space="preserve">Vieda.Hubbard@fda.hhs.gov </t>
  </si>
  <si>
    <t>Novel Interventions and Collaborations to Improving the Safe Use of Medications  (U01)</t>
  </si>
  <si>
    <t>Stephanie Bogan
Grants Management Specialist</t>
  </si>
  <si>
    <t>Alliance for Advancing a National Integrated Food Safety System (U18)</t>
  </si>
  <si>
    <t>Stephanie Bogan
Grants Management Specialist
Phone 301-827-6802</t>
  </si>
  <si>
    <t>Collaboration in Regulatory Science and Capacity to Advance Global Access to Safe Vaccines and Biological (U01)</t>
  </si>
  <si>
    <t>Advancing Regulatory Science Through Development of Innovative Methodologies in the area of Antimicrobial Development (U01)</t>
  </si>
  <si>
    <t>Gladys Melendez
Grants Management Specialist
Phone 301-827-7168</t>
  </si>
  <si>
    <t>Gladys Bohler
Grants Management Officer Specialist
Phone 301-827-7175</t>
  </si>
  <si>
    <t>Innovation in Development and Qualification of Alternative Testing Methodologies for Reproductive Toxicology (U01)</t>
  </si>
  <si>
    <t>Gladys M. Bohler
Grants Management Officer/Specialist
Phone 301-827-7175</t>
  </si>
  <si>
    <t>Advancing Regulatory Science through Novel Biomarker Research and Science-Based Technologies</t>
  </si>
  <si>
    <t>gladys Bohler
Grants Management Officer/Specialist
Phone 301-827-7175</t>
  </si>
  <si>
    <t>Data Concepts and Terminology Standards for Clinical Research and Drug Development (R24)</t>
  </si>
  <si>
    <t>Analgesic Clinical Trials Innovations, Opportunities, and Networks (ACTION)</t>
  </si>
  <si>
    <t>University of Mississippi National Center for Natural Products Research (U01)</t>
  </si>
  <si>
    <t>Pediatric Anesthesia Safety Initiative (PASI)</t>
  </si>
  <si>
    <t>Vieda Hubbard
Grants Management Specialist
5630 Fishers Lane
Rockville, MD 20857
Phone 301-827-7177</t>
  </si>
  <si>
    <t>Clinical Studies of Safety and Effectiveness of Orphan Products; Research Project Grant (R01)</t>
  </si>
  <si>
    <t>Marc Pitts
Senior Grants Management Spec
Phone 301-827-7162</t>
  </si>
  <si>
    <t>Marc.Pitts@FDA.HHS.GOV</t>
  </si>
  <si>
    <t>Synopsis 12</t>
  </si>
  <si>
    <t>Scientific Priorities to Improve the Diagnosis, Treatment and Prevention of Tuberculosis and other Tropical Diseases.</t>
  </si>
  <si>
    <t>Feed Safety and BSE/Ruminant Feed Ban Support Project (U18)</t>
  </si>
  <si>
    <t xml:space="preserve">MARTIN BERNARD
CONTRACT SPECIALIST
301-443-5869
</t>
  </si>
  <si>
    <t>MARTIN.BERNARD@FDA.HHS.GOV</t>
  </si>
  <si>
    <t>Food Safety and Security Monitoring Project (U18), FERN Chemical Laboratories</t>
  </si>
  <si>
    <t>Martin Bernard 
Contract Specialist
301-443-5869</t>
  </si>
  <si>
    <t>Synopsis 8</t>
  </si>
  <si>
    <t>Food Safety and Security Monitoring Project (U18), FERN Radiological Health Laboratories</t>
  </si>
  <si>
    <t xml:space="preserve">Martin Bernard 
Contract Specialist
301-443-5869
</t>
  </si>
  <si>
    <t xml:space="preserve">Vieda Hubbard
Grants Management Specialist
Office of Acquisitions &amp; Grants Services, FDA
5630 Fishers Lane, Room 1079
Rockville, MD 20857
Phone: (301) 827-7177 
Fax:     (301) 827-7039
Email:  Vieda.Hubbard@fda.hhs.gov 
</t>
  </si>
  <si>
    <t>Synopsis 6</t>
  </si>
  <si>
    <t>Convener of Active Medical Product Surveillance Discussions (U13)</t>
  </si>
  <si>
    <t>Marc Pitts
Electronic Research Liaison
Phone 301-827-7162</t>
  </si>
  <si>
    <t>MARC.PITTS@FDA.HHS.GOV</t>
  </si>
  <si>
    <t>Innovative Food Defense Projects (R18)</t>
  </si>
  <si>
    <t xml:space="preserve">Gladys M. Bohler 
Grants Management Officer/ 
Grants Management Specialist 
Food and Drug Administration, 
301-827-7175  
301-827-7039 FAX 
E-mail: gladys.bohler@fda.hhs.gov 
</t>
  </si>
  <si>
    <t>E-mail: gladys.bohler@fda.hhs.gov</t>
  </si>
  <si>
    <t>Synopsis 10</t>
  </si>
  <si>
    <t>Marc Pitts
Electron Research Administration Liaison
Phone 301-827-7162</t>
  </si>
  <si>
    <t>Food Protection Rapid Response Team and Program Infrastructure Improvement Prototype Project (U18)</t>
  </si>
  <si>
    <t>Martin Beard
Contract Specialist
Phone 301-443-5869</t>
  </si>
  <si>
    <t>Marc Pitts
FDA - Electronic Integration Liaison
Phone: 301-827-7162</t>
  </si>
  <si>
    <t>marc.pitts@fda.hhs.gov</t>
  </si>
  <si>
    <t xml:space="preserve">Lisa Ko
Grants Management Specialist
Office of Acquisitions &amp; Grants Services, FDA
5630 Fishers Lane, Room 1096
Rockville, MD 20857
Email:  lisa.ko@fda.hhs.gov 
</t>
  </si>
  <si>
    <t xml:space="preserve">lisa.ko@fda.hhs.gov </t>
  </si>
  <si>
    <t>Synopsis 9</t>
  </si>
  <si>
    <t>FDA SMALL SCIENTIFIC CONFERENCE PROGRAM (R13/U13)</t>
  </si>
  <si>
    <t>Marc Pitts
Senior Grants Management Specialist
Phone 301-827-7162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</si>
</sst>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14" fontId="0" fillId="0" borderId="0" xfId="0" applyNumberFormat="1"/>
    <xf numFmtId="2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4"/>
  <sheetViews>
    <sheetView tabSelected="1" workbookViewId="0"/>
  </sheetViews>
  <sheetFormatPr defaultRowHeight="15" x14ac:dyDescent="0.25"/>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tr">
        <f>HYPERLINK("https://www.grants.gov/view-opportunity.html?oppId=339588","RFA-FD-23-004")</f>
        <v>RFA-FD-23-004</v>
      </c>
      <c r="B2" t="s">
        <v>16</v>
      </c>
      <c r="C2" t="s">
        <v>17</v>
      </c>
      <c r="D2" t="s">
        <v>18</v>
      </c>
      <c r="E2">
        <v>5000000</v>
      </c>
      <c r="F2">
        <v>5</v>
      </c>
      <c r="G2" s="1" t="s">
        <v>19</v>
      </c>
      <c r="I2" t="s">
        <v>20</v>
      </c>
      <c r="L2" s="2">
        <v>44846</v>
      </c>
      <c r="M2" s="2">
        <v>44917</v>
      </c>
      <c r="N2" s="3">
        <v>44896.503483796296</v>
      </c>
      <c r="O2" t="s">
        <v>21</v>
      </c>
      <c r="P2" t="s">
        <v>22</v>
      </c>
    </row>
    <row r="3" spans="1:16" x14ac:dyDescent="0.25">
      <c r="A3" t="str">
        <f>HYPERLINK("https://www.grants.gov/view-opportunity.html?oppId=341831","RFA-FD-23-005")</f>
        <v>RFA-FD-23-005</v>
      </c>
      <c r="B3" t="s">
        <v>23</v>
      </c>
      <c r="C3" t="s">
        <v>17</v>
      </c>
      <c r="D3" t="s">
        <v>18</v>
      </c>
      <c r="F3">
        <v>2</v>
      </c>
      <c r="G3" s="1" t="s">
        <v>19</v>
      </c>
      <c r="I3" t="s">
        <v>20</v>
      </c>
      <c r="L3" s="2">
        <v>44838</v>
      </c>
      <c r="M3" s="2">
        <v>44900</v>
      </c>
      <c r="N3" s="3">
        <v>44896.501400462963</v>
      </c>
      <c r="O3" t="s">
        <v>24</v>
      </c>
      <c r="P3" t="s">
        <v>25</v>
      </c>
    </row>
    <row r="4" spans="1:16" x14ac:dyDescent="0.25">
      <c r="A4" t="str">
        <f>HYPERLINK("https://www.grants.gov/view-opportunity.html?oppId=334156","RFA-FD-23-002")</f>
        <v>RFA-FD-23-002</v>
      </c>
      <c r="B4" t="s">
        <v>26</v>
      </c>
      <c r="C4" t="s">
        <v>17</v>
      </c>
      <c r="D4" t="s">
        <v>18</v>
      </c>
      <c r="E4">
        <v>2400000</v>
      </c>
      <c r="F4">
        <v>1</v>
      </c>
      <c r="G4" s="1" t="s">
        <v>19</v>
      </c>
      <c r="I4" t="s">
        <v>20</v>
      </c>
      <c r="L4" s="2">
        <v>44775</v>
      </c>
      <c r="M4" s="2">
        <v>44837</v>
      </c>
      <c r="N4" s="3">
        <v>44775.650023148148</v>
      </c>
      <c r="O4" t="s">
        <v>21</v>
      </c>
      <c r="P4" t="s">
        <v>25</v>
      </c>
    </row>
    <row r="5" spans="1:16" x14ac:dyDescent="0.25">
      <c r="A5" t="str">
        <f>HYPERLINK("https://www.grants.gov/view-opportunity.html?oppId=341725","RFA-FD-23-001")</f>
        <v>RFA-FD-23-001</v>
      </c>
      <c r="B5" t="s">
        <v>27</v>
      </c>
      <c r="C5" t="s">
        <v>17</v>
      </c>
      <c r="D5" t="s">
        <v>18</v>
      </c>
      <c r="F5">
        <v>20</v>
      </c>
      <c r="G5" s="1" t="s">
        <v>19</v>
      </c>
      <c r="I5" t="s">
        <v>20</v>
      </c>
      <c r="L5" s="2">
        <v>44747</v>
      </c>
      <c r="M5" s="2">
        <v>44869</v>
      </c>
      <c r="N5" s="3">
        <v>44868.396562499998</v>
      </c>
      <c r="O5" t="s">
        <v>28</v>
      </c>
      <c r="P5" t="s">
        <v>25</v>
      </c>
    </row>
    <row r="6" spans="1:16" x14ac:dyDescent="0.25">
      <c r="A6" t="str">
        <f>HYPERLINK("https://www.grants.gov/view-opportunity.html?oppId=340581","RFA-FD-22-027")</f>
        <v>RFA-FD-22-027</v>
      </c>
      <c r="B6" t="s">
        <v>29</v>
      </c>
      <c r="C6" t="s">
        <v>17</v>
      </c>
      <c r="D6" t="s">
        <v>18</v>
      </c>
      <c r="F6">
        <v>1</v>
      </c>
      <c r="G6" s="1" t="s">
        <v>19</v>
      </c>
      <c r="I6" t="s">
        <v>20</v>
      </c>
      <c r="L6" s="2">
        <v>44713</v>
      </c>
      <c r="M6" s="2">
        <v>44776</v>
      </c>
      <c r="N6" s="3">
        <v>44713.413900462961</v>
      </c>
      <c r="O6" t="s">
        <v>21</v>
      </c>
      <c r="P6" t="s">
        <v>25</v>
      </c>
    </row>
    <row r="7" spans="1:16" x14ac:dyDescent="0.25">
      <c r="A7" t="str">
        <f>HYPERLINK("https://www.grants.gov/view-opportunity.html?oppId=340616","RFA-FD-22-028")</f>
        <v>RFA-FD-22-028</v>
      </c>
      <c r="B7" t="s">
        <v>30</v>
      </c>
      <c r="C7" t="s">
        <v>17</v>
      </c>
      <c r="D7" t="s">
        <v>18</v>
      </c>
      <c r="F7">
        <v>1</v>
      </c>
      <c r="G7" s="1" t="s">
        <v>19</v>
      </c>
      <c r="I7" t="s">
        <v>20</v>
      </c>
      <c r="L7" s="2">
        <v>44713</v>
      </c>
      <c r="M7" s="2">
        <v>44776</v>
      </c>
      <c r="N7" s="3">
        <v>44727.325868055559</v>
      </c>
      <c r="O7" t="s">
        <v>24</v>
      </c>
      <c r="P7" t="s">
        <v>25</v>
      </c>
    </row>
    <row r="8" spans="1:16" x14ac:dyDescent="0.25">
      <c r="A8" t="str">
        <f>HYPERLINK("https://www.grants.gov/view-opportunity.html?oppId=339064","RFA-FD-22-005")</f>
        <v>RFA-FD-22-005</v>
      </c>
      <c r="B8" t="s">
        <v>31</v>
      </c>
      <c r="C8" t="s">
        <v>17</v>
      </c>
      <c r="D8" t="s">
        <v>18</v>
      </c>
      <c r="E8">
        <v>3000000</v>
      </c>
      <c r="F8">
        <v>6</v>
      </c>
      <c r="G8" s="1" t="s">
        <v>32</v>
      </c>
      <c r="I8" t="s">
        <v>33</v>
      </c>
      <c r="L8" s="2">
        <v>44651</v>
      </c>
      <c r="M8" s="2">
        <v>44718</v>
      </c>
      <c r="N8" s="3">
        <v>44651.461469907408</v>
      </c>
      <c r="O8" t="s">
        <v>21</v>
      </c>
      <c r="P8" t="s">
        <v>25</v>
      </c>
    </row>
    <row r="9" spans="1:16" x14ac:dyDescent="0.25">
      <c r="A9" t="str">
        <f>HYPERLINK("https://www.grants.gov/view-opportunity.html?oppId=339056","RFA-FD-22-020")</f>
        <v>RFA-FD-22-020</v>
      </c>
      <c r="B9" t="s">
        <v>34</v>
      </c>
      <c r="C9" t="s">
        <v>17</v>
      </c>
      <c r="D9" t="s">
        <v>18</v>
      </c>
      <c r="E9">
        <v>500000</v>
      </c>
      <c r="F9">
        <v>2</v>
      </c>
      <c r="G9" s="1" t="s">
        <v>35</v>
      </c>
      <c r="I9" t="s">
        <v>33</v>
      </c>
      <c r="L9" s="2">
        <v>44651</v>
      </c>
      <c r="M9" s="2">
        <v>44764</v>
      </c>
      <c r="N9" s="3">
        <v>44740.612824074073</v>
      </c>
      <c r="O9" t="s">
        <v>36</v>
      </c>
      <c r="P9" t="s">
        <v>25</v>
      </c>
    </row>
    <row r="10" spans="1:16" x14ac:dyDescent="0.25">
      <c r="A10" t="str">
        <f>HYPERLINK("https://www.grants.gov/view-opportunity.html?oppId=338326","RFA-FD-22-026")</f>
        <v>RFA-FD-22-026</v>
      </c>
      <c r="B10" t="s">
        <v>37</v>
      </c>
      <c r="C10" t="s">
        <v>17</v>
      </c>
      <c r="D10" t="s">
        <v>18</v>
      </c>
      <c r="F10">
        <v>5</v>
      </c>
      <c r="G10" s="1" t="s">
        <v>19</v>
      </c>
      <c r="I10" t="s">
        <v>20</v>
      </c>
      <c r="L10" s="2">
        <v>44624</v>
      </c>
      <c r="M10" s="2">
        <v>44690</v>
      </c>
      <c r="N10" s="3">
        <v>44624.445185185185</v>
      </c>
      <c r="O10" t="s">
        <v>21</v>
      </c>
      <c r="P10" t="s">
        <v>25</v>
      </c>
    </row>
    <row r="11" spans="1:16" x14ac:dyDescent="0.25">
      <c r="A11" t="str">
        <f>HYPERLINK("https://www.grants.gov/view-opportunity.html?oppId=338388","RFA-FD-22-024")</f>
        <v>RFA-FD-22-024</v>
      </c>
      <c r="B11" t="s">
        <v>38</v>
      </c>
      <c r="C11" t="s">
        <v>17</v>
      </c>
      <c r="D11" t="s">
        <v>18</v>
      </c>
      <c r="E11">
        <v>1000000</v>
      </c>
      <c r="F11">
        <v>1</v>
      </c>
      <c r="G11" s="1" t="s">
        <v>39</v>
      </c>
      <c r="I11" t="s">
        <v>40</v>
      </c>
      <c r="L11" s="2">
        <v>44620</v>
      </c>
      <c r="M11" s="2">
        <v>44680</v>
      </c>
      <c r="N11" s="3">
        <v>44620.612129629626</v>
      </c>
      <c r="O11" t="s">
        <v>21</v>
      </c>
      <c r="P11" t="s">
        <v>25</v>
      </c>
    </row>
    <row r="12" spans="1:16" x14ac:dyDescent="0.25">
      <c r="A12" t="str">
        <f>HYPERLINK("https://www.grants.gov/view-opportunity.html?oppId=338389","RFA-FD-22-025")</f>
        <v>RFA-FD-22-025</v>
      </c>
      <c r="B12" t="s">
        <v>41</v>
      </c>
      <c r="C12" t="s">
        <v>17</v>
      </c>
      <c r="D12" t="s">
        <v>18</v>
      </c>
      <c r="E12">
        <v>500000</v>
      </c>
      <c r="F12">
        <v>1</v>
      </c>
      <c r="G12" s="1" t="s">
        <v>39</v>
      </c>
      <c r="I12" t="s">
        <v>40</v>
      </c>
      <c r="L12" s="2">
        <v>44620</v>
      </c>
      <c r="M12" s="2">
        <v>44680</v>
      </c>
      <c r="N12" s="3">
        <v>44620.615601851852</v>
      </c>
      <c r="O12" t="s">
        <v>21</v>
      </c>
      <c r="P12" t="s">
        <v>25</v>
      </c>
    </row>
    <row r="13" spans="1:16" x14ac:dyDescent="0.25">
      <c r="A13" t="str">
        <f>HYPERLINK("https://www.grants.gov/view-opportunity.html?oppId=338100","RFA-FD-22-008")</f>
        <v>RFA-FD-22-008</v>
      </c>
      <c r="B13" t="s">
        <v>42</v>
      </c>
      <c r="C13" t="s">
        <v>17</v>
      </c>
      <c r="D13" t="s">
        <v>18</v>
      </c>
      <c r="E13">
        <v>4000000</v>
      </c>
      <c r="F13">
        <v>5</v>
      </c>
      <c r="G13" s="1" t="s">
        <v>43</v>
      </c>
      <c r="I13" t="s">
        <v>44</v>
      </c>
      <c r="L13" s="2">
        <v>44607</v>
      </c>
      <c r="M13" s="2">
        <v>44673</v>
      </c>
      <c r="N13" s="3">
        <v>44607.639062499999</v>
      </c>
      <c r="O13" t="s">
        <v>24</v>
      </c>
      <c r="P13" t="s">
        <v>25</v>
      </c>
    </row>
    <row r="14" spans="1:16" x14ac:dyDescent="0.25">
      <c r="A14" t="str">
        <f>HYPERLINK("https://www.grants.gov/view-opportunity.html?oppId=334157","RFA-FD-22-023")</f>
        <v>RFA-FD-22-023</v>
      </c>
      <c r="B14" t="s">
        <v>45</v>
      </c>
      <c r="C14" t="s">
        <v>17</v>
      </c>
      <c r="D14" t="s">
        <v>18</v>
      </c>
      <c r="F14">
        <v>1</v>
      </c>
      <c r="G14" s="1" t="s">
        <v>19</v>
      </c>
      <c r="I14" t="s">
        <v>20</v>
      </c>
      <c r="L14" s="2">
        <v>44599</v>
      </c>
      <c r="M14" s="2">
        <v>44662</v>
      </c>
      <c r="N14" s="3">
        <v>44599.447997685187</v>
      </c>
      <c r="O14" t="s">
        <v>21</v>
      </c>
      <c r="P14" t="s">
        <v>25</v>
      </c>
    </row>
    <row r="15" spans="1:16" x14ac:dyDescent="0.25">
      <c r="A15" t="str">
        <f>HYPERLINK("https://www.grants.gov/view-opportunity.html?oppId=337577","RFA-FD-22-019")</f>
        <v>RFA-FD-22-019</v>
      </c>
      <c r="B15" t="s">
        <v>46</v>
      </c>
      <c r="C15" t="s">
        <v>17</v>
      </c>
      <c r="D15" t="s">
        <v>18</v>
      </c>
      <c r="E15">
        <v>1500000</v>
      </c>
      <c r="F15">
        <v>15</v>
      </c>
      <c r="G15" s="1" t="s">
        <v>43</v>
      </c>
      <c r="I15" t="s">
        <v>44</v>
      </c>
      <c r="L15" s="2">
        <v>44587</v>
      </c>
      <c r="M15" s="2">
        <v>44655</v>
      </c>
      <c r="N15" s="3">
        <v>44587.660717592589</v>
      </c>
      <c r="O15" t="s">
        <v>21</v>
      </c>
      <c r="P15" t="s">
        <v>25</v>
      </c>
    </row>
    <row r="16" spans="1:16" x14ac:dyDescent="0.25">
      <c r="A16" t="str">
        <f>HYPERLINK("https://www.grants.gov/view-opportunity.html?oppId=337515","RFA-FD-22-009")</f>
        <v>RFA-FD-22-009</v>
      </c>
      <c r="B16" t="s">
        <v>47</v>
      </c>
      <c r="C16" t="s">
        <v>17</v>
      </c>
      <c r="D16" t="s">
        <v>18</v>
      </c>
      <c r="E16">
        <v>350000</v>
      </c>
      <c r="F16">
        <v>1</v>
      </c>
      <c r="G16" s="1" t="s">
        <v>43</v>
      </c>
      <c r="I16" t="s">
        <v>44</v>
      </c>
      <c r="L16" s="2">
        <v>44587</v>
      </c>
      <c r="M16" s="2">
        <v>44655</v>
      </c>
      <c r="N16" s="3">
        <v>44587.602384259262</v>
      </c>
      <c r="O16" t="s">
        <v>24</v>
      </c>
      <c r="P16" t="s">
        <v>25</v>
      </c>
    </row>
    <row r="17" spans="1:16" x14ac:dyDescent="0.25">
      <c r="A17" t="str">
        <f>HYPERLINK("https://www.grants.gov/view-opportunity.html?oppId=337517","RFA-FD-22-010")</f>
        <v>RFA-FD-22-010</v>
      </c>
      <c r="B17" t="s">
        <v>48</v>
      </c>
      <c r="C17" t="s">
        <v>17</v>
      </c>
      <c r="D17" t="s">
        <v>18</v>
      </c>
      <c r="E17">
        <v>1500000</v>
      </c>
      <c r="F17">
        <v>15</v>
      </c>
      <c r="G17" s="1" t="s">
        <v>43</v>
      </c>
      <c r="I17" t="s">
        <v>44</v>
      </c>
      <c r="L17" s="2">
        <v>44587</v>
      </c>
      <c r="M17" s="2">
        <v>44655</v>
      </c>
      <c r="N17" s="3">
        <v>44587.604467592595</v>
      </c>
      <c r="O17" t="s">
        <v>24</v>
      </c>
      <c r="P17" t="s">
        <v>25</v>
      </c>
    </row>
    <row r="18" spans="1:16" x14ac:dyDescent="0.25">
      <c r="A18" t="str">
        <f>HYPERLINK("https://www.grants.gov/view-opportunity.html?oppId=336242","PAR-22-108")</f>
        <v>PAR-22-108</v>
      </c>
      <c r="B18" t="s">
        <v>49</v>
      </c>
      <c r="C18" t="s">
        <v>17</v>
      </c>
      <c r="D18" t="s">
        <v>18</v>
      </c>
      <c r="E18">
        <v>300000</v>
      </c>
      <c r="F18">
        <v>3</v>
      </c>
      <c r="G18" s="1" t="s">
        <v>50</v>
      </c>
      <c r="I18" t="s">
        <v>51</v>
      </c>
      <c r="L18" s="2">
        <v>44575</v>
      </c>
      <c r="M18" s="2">
        <v>44742</v>
      </c>
      <c r="N18" s="3">
        <v>44707.610023148147</v>
      </c>
      <c r="O18" t="s">
        <v>28</v>
      </c>
      <c r="P18" t="s">
        <v>22</v>
      </c>
    </row>
    <row r="19" spans="1:16" x14ac:dyDescent="0.25">
      <c r="A19" t="str">
        <f>HYPERLINK("https://www.grants.gov/view-opportunity.html?oppId=336279","RFA-FD-22-014")</f>
        <v>RFA-FD-22-014</v>
      </c>
      <c r="B19" t="s">
        <v>52</v>
      </c>
      <c r="C19" t="s">
        <v>17</v>
      </c>
      <c r="D19" t="s">
        <v>18</v>
      </c>
      <c r="E19">
        <v>1000000</v>
      </c>
      <c r="G19" s="1" t="s">
        <v>19</v>
      </c>
      <c r="I19" t="s">
        <v>20</v>
      </c>
      <c r="L19" s="2">
        <v>44574</v>
      </c>
      <c r="M19" s="2">
        <v>44651</v>
      </c>
      <c r="N19" s="3">
        <v>44624.447962962964</v>
      </c>
      <c r="O19" t="s">
        <v>24</v>
      </c>
      <c r="P19" t="s">
        <v>25</v>
      </c>
    </row>
    <row r="20" spans="1:16" x14ac:dyDescent="0.25">
      <c r="A20" t="str">
        <f>HYPERLINK("https://www.grants.gov/view-opportunity.html?oppId=336282","RFA-FD-22-013")</f>
        <v>RFA-FD-22-013</v>
      </c>
      <c r="B20" t="s">
        <v>53</v>
      </c>
      <c r="C20" t="s">
        <v>17</v>
      </c>
      <c r="D20" t="s">
        <v>18</v>
      </c>
      <c r="E20">
        <v>300000</v>
      </c>
      <c r="G20" s="1" t="s">
        <v>19</v>
      </c>
      <c r="I20" t="s">
        <v>20</v>
      </c>
      <c r="L20" s="2">
        <v>44573</v>
      </c>
      <c r="M20" s="2">
        <v>44627</v>
      </c>
      <c r="N20" s="3">
        <v>44573.357083333336</v>
      </c>
      <c r="O20" t="s">
        <v>21</v>
      </c>
      <c r="P20" t="s">
        <v>25</v>
      </c>
    </row>
    <row r="21" spans="1:16" x14ac:dyDescent="0.25">
      <c r="A21" t="str">
        <f>HYPERLINK("https://www.grants.gov/view-opportunity.html?oppId=336278","RFA-FD-22-017")</f>
        <v>RFA-FD-22-017</v>
      </c>
      <c r="B21" t="s">
        <v>54</v>
      </c>
      <c r="C21" t="s">
        <v>17</v>
      </c>
      <c r="D21" t="s">
        <v>18</v>
      </c>
      <c r="E21">
        <v>1000000</v>
      </c>
      <c r="F21">
        <v>2</v>
      </c>
      <c r="G21" s="1" t="s">
        <v>19</v>
      </c>
      <c r="I21" t="s">
        <v>20</v>
      </c>
      <c r="L21" s="2">
        <v>44573</v>
      </c>
      <c r="M21" s="2">
        <v>44651</v>
      </c>
      <c r="N21" s="3">
        <v>44573.355694444443</v>
      </c>
      <c r="O21" t="s">
        <v>21</v>
      </c>
      <c r="P21" t="s">
        <v>25</v>
      </c>
    </row>
    <row r="22" spans="1:16" x14ac:dyDescent="0.25">
      <c r="A22" t="str">
        <f>HYPERLINK("https://www.grants.gov/view-opportunity.html?oppId=336281","RFA-FD-22-012")</f>
        <v>RFA-FD-22-012</v>
      </c>
      <c r="B22" t="s">
        <v>55</v>
      </c>
      <c r="C22" t="s">
        <v>17</v>
      </c>
      <c r="D22" t="s">
        <v>18</v>
      </c>
      <c r="E22">
        <v>500000</v>
      </c>
      <c r="F22">
        <v>2</v>
      </c>
      <c r="G22" s="1" t="s">
        <v>19</v>
      </c>
      <c r="I22" t="s">
        <v>20</v>
      </c>
      <c r="L22" s="2">
        <v>44573</v>
      </c>
      <c r="M22" s="2">
        <v>44651</v>
      </c>
      <c r="N22" s="3">
        <v>44573.356388888889</v>
      </c>
      <c r="O22" t="s">
        <v>21</v>
      </c>
      <c r="P22" t="s">
        <v>25</v>
      </c>
    </row>
    <row r="23" spans="1:16" x14ac:dyDescent="0.25">
      <c r="A23" t="str">
        <f>HYPERLINK("https://www.grants.gov/view-opportunity.html?oppId=336327","RFA-FD-22-016")</f>
        <v>RFA-FD-22-016</v>
      </c>
      <c r="B23" t="s">
        <v>56</v>
      </c>
      <c r="C23" t="s">
        <v>17</v>
      </c>
      <c r="D23" t="s">
        <v>18</v>
      </c>
      <c r="E23">
        <v>600000</v>
      </c>
      <c r="F23">
        <v>1</v>
      </c>
      <c r="G23" s="1" t="s">
        <v>19</v>
      </c>
      <c r="I23" t="s">
        <v>20</v>
      </c>
      <c r="L23" s="2">
        <v>44573</v>
      </c>
      <c r="M23" s="2">
        <v>44651</v>
      </c>
      <c r="N23" s="3">
        <v>44573.356388888889</v>
      </c>
      <c r="O23" t="s">
        <v>21</v>
      </c>
      <c r="P23" t="s">
        <v>25</v>
      </c>
    </row>
    <row r="24" spans="1:16" x14ac:dyDescent="0.25">
      <c r="A24" t="str">
        <f>HYPERLINK("https://www.grants.gov/view-opportunity.html?oppId=336280","RFA-FD-22-018")</f>
        <v>RFA-FD-22-018</v>
      </c>
      <c r="B24" t="s">
        <v>57</v>
      </c>
      <c r="C24" t="s">
        <v>17</v>
      </c>
      <c r="D24" t="s">
        <v>18</v>
      </c>
      <c r="E24">
        <v>1000000</v>
      </c>
      <c r="F24">
        <v>1</v>
      </c>
      <c r="G24" s="1" t="s">
        <v>19</v>
      </c>
      <c r="I24" t="s">
        <v>20</v>
      </c>
      <c r="L24" s="2">
        <v>44573</v>
      </c>
      <c r="M24" s="2">
        <v>44651</v>
      </c>
      <c r="N24" s="3">
        <v>44573.355000000003</v>
      </c>
      <c r="O24" t="s">
        <v>21</v>
      </c>
      <c r="P24" t="s">
        <v>25</v>
      </c>
    </row>
    <row r="25" spans="1:16" x14ac:dyDescent="0.25">
      <c r="A25" t="str">
        <f>HYPERLINK("https://www.grants.gov/view-opportunity.html?oppId=336296","RFA-FD-22-015")</f>
        <v>RFA-FD-22-015</v>
      </c>
      <c r="B25" t="s">
        <v>58</v>
      </c>
      <c r="C25" t="s">
        <v>17</v>
      </c>
      <c r="D25" t="s">
        <v>18</v>
      </c>
      <c r="E25">
        <v>1000000</v>
      </c>
      <c r="F25">
        <v>1</v>
      </c>
      <c r="G25" s="1" t="s">
        <v>19</v>
      </c>
      <c r="I25" t="s">
        <v>20</v>
      </c>
      <c r="L25" s="2">
        <v>44573</v>
      </c>
      <c r="M25" s="2">
        <v>44651</v>
      </c>
      <c r="N25" s="3">
        <v>44573.355000000003</v>
      </c>
      <c r="O25" t="s">
        <v>21</v>
      </c>
      <c r="P25" t="s">
        <v>25</v>
      </c>
    </row>
    <row r="26" spans="1:16" x14ac:dyDescent="0.25">
      <c r="A26" t="str">
        <f>HYPERLINK("https://www.grants.gov/view-opportunity.html?oppId=336599","RFA-FD-22-022")</f>
        <v>RFA-FD-22-022</v>
      </c>
      <c r="B26" t="s">
        <v>59</v>
      </c>
      <c r="C26" t="s">
        <v>17</v>
      </c>
      <c r="D26" t="s">
        <v>18</v>
      </c>
      <c r="E26">
        <v>350000</v>
      </c>
      <c r="F26">
        <v>1</v>
      </c>
      <c r="G26" s="1" t="s">
        <v>19</v>
      </c>
      <c r="I26" t="s">
        <v>20</v>
      </c>
      <c r="L26" s="2">
        <v>44573</v>
      </c>
      <c r="M26" s="2">
        <v>44651</v>
      </c>
      <c r="N26" s="3">
        <v>44573.354305555556</v>
      </c>
      <c r="O26" t="s">
        <v>24</v>
      </c>
      <c r="P26" t="s">
        <v>25</v>
      </c>
    </row>
    <row r="27" spans="1:16" x14ac:dyDescent="0.25">
      <c r="A27" t="str">
        <f>HYPERLINK("https://www.grants.gov/view-opportunity.html?oppId=337323","RFA-FD-22-021")</f>
        <v>RFA-FD-22-021</v>
      </c>
      <c r="B27" t="s">
        <v>60</v>
      </c>
      <c r="C27" t="s">
        <v>17</v>
      </c>
      <c r="D27" t="s">
        <v>18</v>
      </c>
      <c r="G27" s="1" t="s">
        <v>39</v>
      </c>
      <c r="I27" t="s">
        <v>40</v>
      </c>
      <c r="L27" s="2">
        <v>44572</v>
      </c>
      <c r="M27" s="2">
        <v>44614</v>
      </c>
      <c r="N27" s="3">
        <v>44572.615405092591</v>
      </c>
      <c r="O27" t="s">
        <v>21</v>
      </c>
      <c r="P27" t="s">
        <v>25</v>
      </c>
    </row>
    <row r="28" spans="1:16" x14ac:dyDescent="0.25">
      <c r="A28" t="str">
        <f>HYPERLINK("https://www.grants.gov/view-opportunity.html?oppId=336241","PAR-22-087")</f>
        <v>PAR-22-087</v>
      </c>
      <c r="B28" t="s">
        <v>61</v>
      </c>
      <c r="C28" t="s">
        <v>17</v>
      </c>
      <c r="D28" t="s">
        <v>18</v>
      </c>
      <c r="E28">
        <v>500000</v>
      </c>
      <c r="F28">
        <v>5</v>
      </c>
      <c r="G28" s="1" t="s">
        <v>62</v>
      </c>
      <c r="I28" t="s">
        <v>51</v>
      </c>
      <c r="L28" s="2">
        <v>44564</v>
      </c>
      <c r="M28" s="2">
        <v>44653</v>
      </c>
      <c r="N28" s="3">
        <v>44707.61210648148</v>
      </c>
      <c r="O28" t="s">
        <v>28</v>
      </c>
      <c r="P28" t="s">
        <v>22</v>
      </c>
    </row>
    <row r="29" spans="1:16" x14ac:dyDescent="0.25">
      <c r="A29" t="str">
        <f>HYPERLINK("https://www.grants.gov/view-opportunity.html?oppId=336807","RFA-FD-22-006")</f>
        <v>RFA-FD-22-006</v>
      </c>
      <c r="B29" t="s">
        <v>63</v>
      </c>
      <c r="C29" t="s">
        <v>17</v>
      </c>
      <c r="D29" t="s">
        <v>18</v>
      </c>
      <c r="F29">
        <v>10</v>
      </c>
      <c r="G29" s="1" t="s">
        <v>39</v>
      </c>
      <c r="I29" t="s">
        <v>40</v>
      </c>
      <c r="L29" s="2">
        <v>44531</v>
      </c>
      <c r="M29" s="2">
        <v>44620</v>
      </c>
      <c r="N29" s="3">
        <v>44599.690358796295</v>
      </c>
      <c r="O29" t="s">
        <v>24</v>
      </c>
      <c r="P29" t="s">
        <v>25</v>
      </c>
    </row>
    <row r="30" spans="1:16" x14ac:dyDescent="0.25">
      <c r="A30" t="str">
        <f>HYPERLINK("https://www.grants.gov/view-opportunity.html?oppId=336466","RFA-FD-22-004")</f>
        <v>RFA-FD-22-004</v>
      </c>
      <c r="B30" t="s">
        <v>64</v>
      </c>
      <c r="C30" t="s">
        <v>17</v>
      </c>
      <c r="D30" t="s">
        <v>18</v>
      </c>
      <c r="E30">
        <v>7500000</v>
      </c>
      <c r="F30">
        <v>1</v>
      </c>
      <c r="G30" s="1" t="s">
        <v>39</v>
      </c>
      <c r="I30" t="s">
        <v>40</v>
      </c>
      <c r="L30" s="2">
        <v>44508</v>
      </c>
      <c r="M30" s="2">
        <v>44586</v>
      </c>
      <c r="N30" s="3">
        <v>44572.600127314814</v>
      </c>
      <c r="O30" t="s">
        <v>24</v>
      </c>
      <c r="P30" t="s">
        <v>25</v>
      </c>
    </row>
    <row r="31" spans="1:16" x14ac:dyDescent="0.25">
      <c r="A31" t="str">
        <f>HYPERLINK("https://www.grants.gov/view-opportunity.html?oppId=335893","RFA-FD-22-003")</f>
        <v>RFA-FD-22-003</v>
      </c>
      <c r="B31" t="s">
        <v>65</v>
      </c>
      <c r="C31" t="s">
        <v>17</v>
      </c>
      <c r="D31" t="s">
        <v>18</v>
      </c>
      <c r="F31">
        <v>5</v>
      </c>
      <c r="G31" s="1" t="s">
        <v>19</v>
      </c>
      <c r="I31" t="s">
        <v>20</v>
      </c>
      <c r="L31" s="2">
        <v>44466</v>
      </c>
      <c r="M31" s="2">
        <v>44529</v>
      </c>
      <c r="N31" s="3">
        <v>44466.431562500002</v>
      </c>
      <c r="O31" t="s">
        <v>21</v>
      </c>
      <c r="P31" t="s">
        <v>25</v>
      </c>
    </row>
    <row r="32" spans="1:16" x14ac:dyDescent="0.25">
      <c r="A32" t="str">
        <f>HYPERLINK("https://www.grants.gov/view-opportunity.html?oppId=327603","FOR-FD-20-014")</f>
        <v>FOR-FD-20-014</v>
      </c>
      <c r="B32" t="s">
        <v>66</v>
      </c>
      <c r="C32" t="s">
        <v>17</v>
      </c>
      <c r="D32" t="s">
        <v>18</v>
      </c>
      <c r="G32" s="1" t="s">
        <v>67</v>
      </c>
      <c r="I32" t="s">
        <v>20</v>
      </c>
      <c r="L32" s="2">
        <v>44341</v>
      </c>
      <c r="N32" s="3">
        <v>44341.609317129631</v>
      </c>
      <c r="O32" t="s">
        <v>21</v>
      </c>
      <c r="P32" t="s">
        <v>25</v>
      </c>
    </row>
    <row r="33" spans="1:16" x14ac:dyDescent="0.25">
      <c r="A33" t="str">
        <f>HYPERLINK("https://www.grants.gov/view-opportunity.html?oppId=327615","FOR-FD-20-015")</f>
        <v>FOR-FD-20-015</v>
      </c>
      <c r="B33" t="s">
        <v>68</v>
      </c>
      <c r="C33" t="s">
        <v>17</v>
      </c>
      <c r="D33" t="s">
        <v>18</v>
      </c>
      <c r="G33" s="1" t="s">
        <v>67</v>
      </c>
      <c r="I33" t="s">
        <v>69</v>
      </c>
      <c r="L33" s="2">
        <v>44341</v>
      </c>
      <c r="N33" s="3">
        <v>44341.610706018517</v>
      </c>
      <c r="O33" t="s">
        <v>21</v>
      </c>
      <c r="P33" t="s">
        <v>25</v>
      </c>
    </row>
    <row r="34" spans="1:16" x14ac:dyDescent="0.25">
      <c r="A34" t="str">
        <f>HYPERLINK("https://www.grants.gov/view-opportunity.html?oppId=327764","FOR-FD-20-018")</f>
        <v>FOR-FD-20-018</v>
      </c>
      <c r="B34" t="s">
        <v>70</v>
      </c>
      <c r="C34" t="s">
        <v>17</v>
      </c>
      <c r="D34" t="s">
        <v>18</v>
      </c>
      <c r="F34">
        <v>1</v>
      </c>
      <c r="G34" s="1" t="s">
        <v>71</v>
      </c>
      <c r="I34" t="s">
        <v>72</v>
      </c>
      <c r="L34" s="2">
        <v>44341</v>
      </c>
      <c r="N34" s="3">
        <v>44341.617650462962</v>
      </c>
      <c r="O34" t="s">
        <v>21</v>
      </c>
      <c r="P34" t="s">
        <v>25</v>
      </c>
    </row>
    <row r="35" spans="1:16" x14ac:dyDescent="0.25">
      <c r="A35" t="str">
        <f>HYPERLINK("https://www.grants.gov/view-opportunity.html?oppId=325176","FOR-FD-20-008")</f>
        <v>FOR-FD-20-008</v>
      </c>
      <c r="B35" t="s">
        <v>73</v>
      </c>
      <c r="C35" t="s">
        <v>17</v>
      </c>
      <c r="D35" t="s">
        <v>18</v>
      </c>
      <c r="F35">
        <v>1</v>
      </c>
      <c r="G35" s="1" t="s">
        <v>67</v>
      </c>
      <c r="I35" t="s">
        <v>20</v>
      </c>
      <c r="L35" s="2">
        <v>44341</v>
      </c>
      <c r="N35" s="3">
        <v>44341.599594907406</v>
      </c>
      <c r="O35" t="s">
        <v>21</v>
      </c>
      <c r="P35" t="s">
        <v>25</v>
      </c>
    </row>
    <row r="36" spans="1:16" x14ac:dyDescent="0.25">
      <c r="A36" t="str">
        <f>HYPERLINK("https://www.grants.gov/view-opportunity.html?oppId=327602","FOR-FD-20-013")</f>
        <v>FOR-FD-20-013</v>
      </c>
      <c r="B36" t="s">
        <v>74</v>
      </c>
      <c r="C36" t="s">
        <v>17</v>
      </c>
      <c r="D36" t="s">
        <v>18</v>
      </c>
      <c r="G36" s="1" t="s">
        <v>67</v>
      </c>
      <c r="I36" t="s">
        <v>20</v>
      </c>
      <c r="L36" s="2">
        <v>44341</v>
      </c>
      <c r="N36" s="3">
        <v>44341.607233796298</v>
      </c>
      <c r="O36" t="s">
        <v>21</v>
      </c>
      <c r="P36" t="s">
        <v>25</v>
      </c>
    </row>
    <row r="37" spans="1:16" x14ac:dyDescent="0.25">
      <c r="A37" t="str">
        <f>HYPERLINK("https://www.grants.gov/view-opportunity.html?oppId=324928","FOR-FD-20-007")</f>
        <v>FOR-FD-20-007</v>
      </c>
      <c r="B37" t="s">
        <v>75</v>
      </c>
      <c r="C37" t="s">
        <v>17</v>
      </c>
      <c r="D37" t="s">
        <v>18</v>
      </c>
      <c r="F37">
        <v>2</v>
      </c>
      <c r="G37" s="1" t="s">
        <v>76</v>
      </c>
      <c r="I37" t="s">
        <v>20</v>
      </c>
      <c r="L37" s="2">
        <v>44341</v>
      </c>
      <c r="N37" s="3">
        <v>44341.596817129626</v>
      </c>
      <c r="O37" t="s">
        <v>21</v>
      </c>
      <c r="P37" t="s">
        <v>25</v>
      </c>
    </row>
    <row r="38" spans="1:16" x14ac:dyDescent="0.25">
      <c r="A38" t="str">
        <f>HYPERLINK("https://www.grants.gov/view-opportunity.html?oppId=325510","FOR-FD-20-010")</f>
        <v>FOR-FD-20-010</v>
      </c>
      <c r="B38" t="s">
        <v>77</v>
      </c>
      <c r="C38" t="s">
        <v>17</v>
      </c>
      <c r="D38" t="s">
        <v>18</v>
      </c>
      <c r="F38">
        <v>5</v>
      </c>
      <c r="G38" s="1" t="s">
        <v>67</v>
      </c>
      <c r="I38" t="s">
        <v>20</v>
      </c>
      <c r="L38" s="2">
        <v>44341</v>
      </c>
      <c r="N38" s="3">
        <v>44341.602372685185</v>
      </c>
      <c r="O38" t="s">
        <v>21</v>
      </c>
      <c r="P38" t="s">
        <v>25</v>
      </c>
    </row>
    <row r="39" spans="1:16" x14ac:dyDescent="0.25">
      <c r="A39" t="str">
        <f>HYPERLINK("https://www.grants.gov/view-opportunity.html?oppId=325890","FOR-FD-20-011")</f>
        <v>FOR-FD-20-011</v>
      </c>
      <c r="B39" t="s">
        <v>78</v>
      </c>
      <c r="C39" t="s">
        <v>17</v>
      </c>
      <c r="D39" t="s">
        <v>18</v>
      </c>
      <c r="F39">
        <v>2</v>
      </c>
      <c r="G39" s="1" t="s">
        <v>79</v>
      </c>
      <c r="I39" t="s">
        <v>44</v>
      </c>
      <c r="L39" s="2">
        <v>44341</v>
      </c>
      <c r="N39" s="3">
        <v>44341.603761574072</v>
      </c>
      <c r="O39" t="s">
        <v>21</v>
      </c>
      <c r="P39" t="s">
        <v>25</v>
      </c>
    </row>
    <row r="40" spans="1:16" x14ac:dyDescent="0.25">
      <c r="A40" t="str">
        <f>HYPERLINK("https://www.grants.gov/view-opportunity.html?oppId=324297","FOR-FD-20-006")</f>
        <v>FOR-FD-20-006</v>
      </c>
      <c r="B40" t="s">
        <v>80</v>
      </c>
      <c r="C40" t="s">
        <v>17</v>
      </c>
      <c r="D40" t="s">
        <v>18</v>
      </c>
      <c r="F40">
        <v>50</v>
      </c>
      <c r="G40" s="1" t="s">
        <v>81</v>
      </c>
      <c r="I40" t="s">
        <v>51</v>
      </c>
      <c r="L40" s="2">
        <v>44341</v>
      </c>
      <c r="N40" s="3">
        <v>44341.591261574074</v>
      </c>
      <c r="O40" t="s">
        <v>21</v>
      </c>
      <c r="P40" t="s">
        <v>25</v>
      </c>
    </row>
    <row r="41" spans="1:16" x14ac:dyDescent="0.25">
      <c r="A41" t="str">
        <f>HYPERLINK("https://www.grants.gov/view-opportunity.html?oppId=325236","FOR-FD-20-009")</f>
        <v>FOR-FD-20-009</v>
      </c>
      <c r="B41" t="s">
        <v>82</v>
      </c>
      <c r="C41" t="s">
        <v>17</v>
      </c>
      <c r="D41" t="s">
        <v>18</v>
      </c>
      <c r="F41">
        <v>4</v>
      </c>
      <c r="G41" s="1" t="s">
        <v>81</v>
      </c>
      <c r="I41" t="s">
        <v>51</v>
      </c>
      <c r="L41" s="2">
        <v>44341</v>
      </c>
      <c r="N41" s="3">
        <v>44341.600983796299</v>
      </c>
      <c r="O41" t="s">
        <v>21</v>
      </c>
      <c r="P41" t="s">
        <v>25</v>
      </c>
    </row>
    <row r="42" spans="1:16" x14ac:dyDescent="0.25">
      <c r="A42" t="str">
        <f>HYPERLINK("https://www.grants.gov/view-opportunity.html?oppId=324263","FOR-FD-20-005")</f>
        <v>FOR-FD-20-005</v>
      </c>
      <c r="B42" t="s">
        <v>83</v>
      </c>
      <c r="C42" t="s">
        <v>17</v>
      </c>
      <c r="D42" t="s">
        <v>18</v>
      </c>
      <c r="G42" s="1" t="s">
        <v>84</v>
      </c>
      <c r="I42" t="s">
        <v>44</v>
      </c>
      <c r="L42" s="2">
        <v>44341</v>
      </c>
      <c r="N42" s="3">
        <v>44341.588483796295</v>
      </c>
      <c r="O42" t="s">
        <v>21</v>
      </c>
      <c r="P42" t="s">
        <v>25</v>
      </c>
    </row>
    <row r="43" spans="1:16" x14ac:dyDescent="0.25">
      <c r="A43" t="str">
        <f>HYPERLINK("https://www.grants.gov/view-opportunity.html?oppId=330293","FOR-FD-20-030")</f>
        <v>FOR-FD-20-030</v>
      </c>
      <c r="B43" t="s">
        <v>85</v>
      </c>
      <c r="C43" t="s">
        <v>17</v>
      </c>
      <c r="D43" t="s">
        <v>18</v>
      </c>
      <c r="G43" s="1" t="s">
        <v>67</v>
      </c>
      <c r="I43" t="s">
        <v>20</v>
      </c>
      <c r="L43" s="2">
        <v>44341</v>
      </c>
      <c r="N43" s="3">
        <v>44341.666261574072</v>
      </c>
      <c r="O43" t="s">
        <v>21</v>
      </c>
      <c r="P43" t="s">
        <v>25</v>
      </c>
    </row>
    <row r="44" spans="1:16" x14ac:dyDescent="0.25">
      <c r="A44" t="str">
        <f>HYPERLINK("https://www.grants.gov/view-opportunity.html?oppId=330015","FOR-FD-20-029")</f>
        <v>FOR-FD-20-029</v>
      </c>
      <c r="B44" t="s">
        <v>86</v>
      </c>
      <c r="C44" t="s">
        <v>17</v>
      </c>
      <c r="D44" t="s">
        <v>18</v>
      </c>
      <c r="G44" s="1" t="s">
        <v>67</v>
      </c>
      <c r="I44" t="s">
        <v>20</v>
      </c>
      <c r="L44" s="2">
        <v>44341</v>
      </c>
      <c r="N44" s="3">
        <v>44341.664178240739</v>
      </c>
      <c r="O44" t="s">
        <v>21</v>
      </c>
      <c r="P44" t="s">
        <v>25</v>
      </c>
    </row>
    <row r="45" spans="1:16" x14ac:dyDescent="0.25">
      <c r="A45" t="str">
        <f>HYPERLINK("https://www.grants.gov/view-opportunity.html?oppId=331720","FOR-FD-21-006")</f>
        <v>FOR-FD-21-006</v>
      </c>
      <c r="B45" t="s">
        <v>87</v>
      </c>
      <c r="C45" t="s">
        <v>17</v>
      </c>
      <c r="D45" t="s">
        <v>18</v>
      </c>
      <c r="E45">
        <v>2000000</v>
      </c>
      <c r="F45">
        <v>5</v>
      </c>
      <c r="G45" s="1" t="s">
        <v>79</v>
      </c>
      <c r="I45" t="s">
        <v>44</v>
      </c>
      <c r="L45" s="2">
        <v>44341</v>
      </c>
      <c r="N45" s="3">
        <v>44341.671817129631</v>
      </c>
      <c r="O45" t="s">
        <v>21</v>
      </c>
      <c r="P45" t="s">
        <v>25</v>
      </c>
    </row>
    <row r="46" spans="1:16" x14ac:dyDescent="0.25">
      <c r="A46" t="str">
        <f>HYPERLINK("https://www.grants.gov/view-opportunity.html?oppId=331721","FOR-FD-21-007")</f>
        <v>FOR-FD-21-007</v>
      </c>
      <c r="B46" t="s">
        <v>88</v>
      </c>
      <c r="C46" t="s">
        <v>17</v>
      </c>
      <c r="D46" t="s">
        <v>18</v>
      </c>
      <c r="E46">
        <v>3000000</v>
      </c>
      <c r="F46">
        <v>5</v>
      </c>
      <c r="G46" s="1" t="s">
        <v>79</v>
      </c>
      <c r="I46" t="s">
        <v>44</v>
      </c>
      <c r="L46" s="2">
        <v>44341</v>
      </c>
      <c r="N46" s="3">
        <v>44341.672511574077</v>
      </c>
      <c r="O46" t="s">
        <v>21</v>
      </c>
      <c r="P46" t="s">
        <v>25</v>
      </c>
    </row>
    <row r="47" spans="1:16" x14ac:dyDescent="0.25">
      <c r="A47" t="str">
        <f>HYPERLINK("https://www.grants.gov/view-opportunity.html?oppId=329611","FOR-FD-20-25")</f>
        <v>FOR-FD-20-25</v>
      </c>
      <c r="B47" t="s">
        <v>89</v>
      </c>
      <c r="C47" t="s">
        <v>17</v>
      </c>
      <c r="D47" t="s">
        <v>18</v>
      </c>
      <c r="G47" s="1" t="s">
        <v>67</v>
      </c>
      <c r="I47" t="s">
        <v>20</v>
      </c>
      <c r="L47" s="2">
        <v>44341</v>
      </c>
      <c r="N47" s="3">
        <v>44341.669039351851</v>
      </c>
      <c r="O47" t="s">
        <v>21</v>
      </c>
      <c r="P47" t="s">
        <v>25</v>
      </c>
    </row>
    <row r="48" spans="1:16" x14ac:dyDescent="0.25">
      <c r="A48" t="str">
        <f>HYPERLINK("https://www.grants.gov/view-opportunity.html?oppId=330003","FOR-FD-20-027")</f>
        <v>FOR-FD-20-027</v>
      </c>
      <c r="B48" t="s">
        <v>90</v>
      </c>
      <c r="C48" t="s">
        <v>17</v>
      </c>
      <c r="D48" t="s">
        <v>18</v>
      </c>
      <c r="G48" s="1" t="s">
        <v>67</v>
      </c>
      <c r="I48" t="s">
        <v>20</v>
      </c>
      <c r="L48" s="2">
        <v>44341</v>
      </c>
      <c r="N48" s="3">
        <v>44341.662094907406</v>
      </c>
      <c r="O48" t="s">
        <v>21</v>
      </c>
      <c r="P48" t="s">
        <v>25</v>
      </c>
    </row>
    <row r="49" spans="1:16" x14ac:dyDescent="0.25">
      <c r="A49" t="str">
        <f>HYPERLINK("https://www.grants.gov/view-opportunity.html?oppId=330294","FOR-FD-20-031")</f>
        <v>FOR-FD-20-031</v>
      </c>
      <c r="B49" t="s">
        <v>91</v>
      </c>
      <c r="C49" t="s">
        <v>17</v>
      </c>
      <c r="D49" t="s">
        <v>18</v>
      </c>
      <c r="G49" s="1" t="s">
        <v>67</v>
      </c>
      <c r="I49" t="s">
        <v>20</v>
      </c>
      <c r="L49" s="2">
        <v>44341</v>
      </c>
      <c r="N49" s="3">
        <v>44341.667650462965</v>
      </c>
      <c r="O49" t="s">
        <v>21</v>
      </c>
      <c r="P49" t="s">
        <v>25</v>
      </c>
    </row>
    <row r="50" spans="1:16" x14ac:dyDescent="0.25">
      <c r="A50" t="str">
        <f>HYPERLINK("https://www.grants.gov/view-opportunity.html?oppId=330332","FOR-FD-21-004")</f>
        <v>FOR-FD-21-004</v>
      </c>
      <c r="B50" t="s">
        <v>92</v>
      </c>
      <c r="C50" t="s">
        <v>17</v>
      </c>
      <c r="D50" t="s">
        <v>18</v>
      </c>
      <c r="F50">
        <v>6</v>
      </c>
      <c r="G50" s="1" t="s">
        <v>81</v>
      </c>
      <c r="I50" t="s">
        <v>51</v>
      </c>
      <c r="L50" s="2">
        <v>44341</v>
      </c>
      <c r="N50" s="3">
        <v>44341.671122685184</v>
      </c>
      <c r="O50" t="s">
        <v>21</v>
      </c>
      <c r="P50" t="s">
        <v>25</v>
      </c>
    </row>
    <row r="51" spans="1:16" x14ac:dyDescent="0.25">
      <c r="A51" t="str">
        <f>HYPERLINK("https://www.grants.gov/view-opportunity.html?oppId=324273","FOR-FD-20-001")</f>
        <v>FOR-FD-20-001</v>
      </c>
      <c r="B51" t="s">
        <v>93</v>
      </c>
      <c r="C51" t="s">
        <v>17</v>
      </c>
      <c r="D51" t="s">
        <v>18</v>
      </c>
      <c r="F51">
        <v>1</v>
      </c>
      <c r="G51" s="1" t="s">
        <v>67</v>
      </c>
      <c r="I51" t="s">
        <v>20</v>
      </c>
      <c r="L51" s="2">
        <v>44341</v>
      </c>
      <c r="N51" s="3">
        <v>44341.579456018517</v>
      </c>
      <c r="O51" t="s">
        <v>21</v>
      </c>
      <c r="P51" t="s">
        <v>25</v>
      </c>
    </row>
    <row r="52" spans="1:16" x14ac:dyDescent="0.25">
      <c r="A52" t="str">
        <f>HYPERLINK("https://www.grants.gov/view-opportunity.html?oppId=324255","FOR-FD-20-002")</f>
        <v>FOR-FD-20-002</v>
      </c>
      <c r="B52" t="s">
        <v>94</v>
      </c>
      <c r="C52" t="s">
        <v>17</v>
      </c>
      <c r="D52" t="s">
        <v>18</v>
      </c>
      <c r="G52" s="1" t="s">
        <v>79</v>
      </c>
      <c r="I52" t="s">
        <v>44</v>
      </c>
      <c r="L52" s="2">
        <v>44341</v>
      </c>
      <c r="N52" s="3">
        <v>44341.58084490741</v>
      </c>
      <c r="O52" t="s">
        <v>21</v>
      </c>
      <c r="P52" t="s">
        <v>25</v>
      </c>
    </row>
    <row r="53" spans="1:16" x14ac:dyDescent="0.25">
      <c r="A53" t="str">
        <f>HYPERLINK("https://www.grants.gov/view-opportunity.html?oppId=324256","FOR-FD-20-003")</f>
        <v>FOR-FD-20-003</v>
      </c>
      <c r="B53" t="s">
        <v>95</v>
      </c>
      <c r="C53" t="s">
        <v>17</v>
      </c>
      <c r="D53" t="s">
        <v>18</v>
      </c>
      <c r="G53" s="1" t="s">
        <v>79</v>
      </c>
      <c r="I53" t="s">
        <v>44</v>
      </c>
      <c r="L53" s="2">
        <v>44341</v>
      </c>
      <c r="N53" s="3">
        <v>44341.582928240743</v>
      </c>
      <c r="O53" t="s">
        <v>21</v>
      </c>
      <c r="P53" t="s">
        <v>25</v>
      </c>
    </row>
    <row r="54" spans="1:16" x14ac:dyDescent="0.25">
      <c r="A54" t="str">
        <f>HYPERLINK("https://www.grants.gov/view-opportunity.html?oppId=324278","FOR-FD-20-004")</f>
        <v>FOR-FD-20-004</v>
      </c>
      <c r="B54" t="s">
        <v>96</v>
      </c>
      <c r="C54" t="s">
        <v>17</v>
      </c>
      <c r="D54" t="s">
        <v>18</v>
      </c>
      <c r="G54" s="1" t="s">
        <v>79</v>
      </c>
      <c r="I54" t="s">
        <v>44</v>
      </c>
      <c r="L54" s="2">
        <v>44341</v>
      </c>
      <c r="N54" s="3">
        <v>44341.584317129629</v>
      </c>
      <c r="O54" t="s">
        <v>21</v>
      </c>
      <c r="P54" t="s">
        <v>25</v>
      </c>
    </row>
    <row r="55" spans="1:16" x14ac:dyDescent="0.25">
      <c r="A55" t="str">
        <f>HYPERLINK("https://www.grants.gov/view-opportunity.html?oppId=329610","FOR-FD-20-024")</f>
        <v>FOR-FD-20-024</v>
      </c>
      <c r="B55" t="s">
        <v>97</v>
      </c>
      <c r="C55" t="s">
        <v>17</v>
      </c>
      <c r="D55" t="s">
        <v>18</v>
      </c>
      <c r="G55" s="1" t="s">
        <v>67</v>
      </c>
      <c r="I55" t="s">
        <v>20</v>
      </c>
      <c r="L55" s="2">
        <v>44341</v>
      </c>
      <c r="N55" s="3">
        <v>44341.660011574073</v>
      </c>
      <c r="O55" t="s">
        <v>21</v>
      </c>
      <c r="P55" t="s">
        <v>25</v>
      </c>
    </row>
    <row r="56" spans="1:16" x14ac:dyDescent="0.25">
      <c r="A56" t="str">
        <f>HYPERLINK("https://www.grants.gov/view-opportunity.html?oppId=329987","FOR-FD-20-025")</f>
        <v>FOR-FD-20-025</v>
      </c>
      <c r="B56" t="s">
        <v>98</v>
      </c>
      <c r="C56" t="s">
        <v>17</v>
      </c>
      <c r="D56" t="s">
        <v>18</v>
      </c>
      <c r="G56" s="1" t="s">
        <v>67</v>
      </c>
      <c r="I56" t="s">
        <v>20</v>
      </c>
      <c r="L56" s="2">
        <v>44341</v>
      </c>
      <c r="N56" s="3">
        <v>44341.66070601852</v>
      </c>
      <c r="O56" t="s">
        <v>21</v>
      </c>
      <c r="P56" t="s">
        <v>25</v>
      </c>
    </row>
    <row r="57" spans="1:16" x14ac:dyDescent="0.25">
      <c r="A57" t="str">
        <f>HYPERLINK("https://www.grants.gov/view-opportunity.html?oppId=328700","FOR-FD-20-023")</f>
        <v>FOR-FD-20-023</v>
      </c>
      <c r="B57" t="s">
        <v>99</v>
      </c>
      <c r="C57" t="s">
        <v>17</v>
      </c>
      <c r="D57" t="s">
        <v>18</v>
      </c>
      <c r="F57">
        <v>2</v>
      </c>
      <c r="G57" s="1" t="s">
        <v>67</v>
      </c>
      <c r="I57" t="s">
        <v>33</v>
      </c>
      <c r="L57" s="2">
        <v>44341</v>
      </c>
      <c r="N57" s="3">
        <v>44341.659317129626</v>
      </c>
      <c r="O57" t="s">
        <v>21</v>
      </c>
      <c r="P57" t="s">
        <v>25</v>
      </c>
    </row>
    <row r="58" spans="1:16" x14ac:dyDescent="0.25">
      <c r="A58" t="str">
        <f>HYPERLINK("https://www.grants.gov/view-opportunity.html?oppId=328720","FOR-FD-20-020")</f>
        <v>FOR-FD-20-020</v>
      </c>
      <c r="B58" t="s">
        <v>100</v>
      </c>
      <c r="C58" t="s">
        <v>17</v>
      </c>
      <c r="D58" t="s">
        <v>18</v>
      </c>
      <c r="F58">
        <v>1</v>
      </c>
      <c r="G58" s="1" t="s">
        <v>79</v>
      </c>
      <c r="I58" t="s">
        <v>101</v>
      </c>
      <c r="L58" s="2">
        <v>44341</v>
      </c>
      <c r="N58" s="3">
        <v>44341.656539351854</v>
      </c>
      <c r="O58" t="s">
        <v>21</v>
      </c>
      <c r="P58" t="s">
        <v>25</v>
      </c>
    </row>
    <row r="59" spans="1:16" x14ac:dyDescent="0.25">
      <c r="A59" t="str">
        <f>HYPERLINK("https://www.grants.gov/view-opportunity.html?oppId=328721","FOR-FD-20-021")</f>
        <v>FOR-FD-20-021</v>
      </c>
      <c r="B59" t="s">
        <v>102</v>
      </c>
      <c r="C59" t="s">
        <v>17</v>
      </c>
      <c r="D59" t="s">
        <v>18</v>
      </c>
      <c r="F59">
        <v>1</v>
      </c>
      <c r="G59" s="1" t="s">
        <v>79</v>
      </c>
      <c r="I59" t="s">
        <v>101</v>
      </c>
      <c r="L59" s="2">
        <v>44341</v>
      </c>
      <c r="N59" s="3">
        <v>44341.65792824074</v>
      </c>
      <c r="O59" t="s">
        <v>21</v>
      </c>
      <c r="P59" t="s">
        <v>25</v>
      </c>
    </row>
    <row r="60" spans="1:16" x14ac:dyDescent="0.25">
      <c r="A60" t="str">
        <f>HYPERLINK("https://www.grants.gov/view-opportunity.html?oppId=329988","FOR-FD-20-028")</f>
        <v>FOR-FD-20-028</v>
      </c>
      <c r="B60" t="s">
        <v>103</v>
      </c>
      <c r="C60" t="s">
        <v>17</v>
      </c>
      <c r="D60" t="s">
        <v>18</v>
      </c>
      <c r="G60" s="1" t="s">
        <v>67</v>
      </c>
      <c r="I60" t="s">
        <v>20</v>
      </c>
      <c r="L60" s="2">
        <v>44341</v>
      </c>
      <c r="N60" s="3">
        <v>44341.662789351853</v>
      </c>
      <c r="O60" t="s">
        <v>21</v>
      </c>
      <c r="P60" t="s">
        <v>25</v>
      </c>
    </row>
    <row r="61" spans="1:16" x14ac:dyDescent="0.25">
      <c r="A61" t="str">
        <f>HYPERLINK("https://www.grants.gov/view-opportunity.html?oppId=333311","RFA-FD-21-032")</f>
        <v>RFA-FD-21-032</v>
      </c>
      <c r="B61" t="s">
        <v>104</v>
      </c>
      <c r="C61" t="s">
        <v>17</v>
      </c>
      <c r="D61" t="s">
        <v>18</v>
      </c>
      <c r="E61">
        <v>8000000</v>
      </c>
      <c r="F61">
        <v>5</v>
      </c>
      <c r="G61" s="1" t="s">
        <v>43</v>
      </c>
      <c r="I61" t="s">
        <v>44</v>
      </c>
      <c r="L61" s="2">
        <v>44321</v>
      </c>
      <c r="M61" s="2">
        <v>44383</v>
      </c>
      <c r="N61" s="3">
        <v>44321.488946759258</v>
      </c>
      <c r="O61" t="s">
        <v>21</v>
      </c>
      <c r="P61" t="s">
        <v>25</v>
      </c>
    </row>
    <row r="62" spans="1:16" x14ac:dyDescent="0.25">
      <c r="A62" t="str">
        <f>HYPERLINK("https://www.grants.gov/view-opportunity.html?oppId=333252","RFA-FD-21-035")</f>
        <v>RFA-FD-21-035</v>
      </c>
      <c r="B62" t="s">
        <v>105</v>
      </c>
      <c r="C62" t="s">
        <v>17</v>
      </c>
      <c r="D62" t="s">
        <v>18</v>
      </c>
      <c r="F62">
        <v>1</v>
      </c>
      <c r="G62" s="1" t="s">
        <v>19</v>
      </c>
      <c r="I62" t="s">
        <v>20</v>
      </c>
      <c r="L62" s="2">
        <v>44319</v>
      </c>
      <c r="M62" s="2">
        <v>44383</v>
      </c>
      <c r="N62" s="3">
        <v>44319.459756944445</v>
      </c>
      <c r="O62" t="s">
        <v>21</v>
      </c>
      <c r="P62" t="s">
        <v>25</v>
      </c>
    </row>
    <row r="63" spans="1:16" x14ac:dyDescent="0.25">
      <c r="A63" t="str">
        <f>HYPERLINK("https://www.grants.gov/view-opportunity.html?oppId=332890","RFA-FD-21-025")</f>
        <v>RFA-FD-21-025</v>
      </c>
      <c r="B63" t="s">
        <v>106</v>
      </c>
      <c r="C63" t="s">
        <v>17</v>
      </c>
      <c r="D63" t="s">
        <v>18</v>
      </c>
      <c r="F63">
        <v>1</v>
      </c>
      <c r="G63" s="1" t="s">
        <v>19</v>
      </c>
      <c r="I63" t="s">
        <v>20</v>
      </c>
      <c r="L63" s="2">
        <v>44302</v>
      </c>
      <c r="M63" s="2">
        <v>44340</v>
      </c>
      <c r="N63" s="3">
        <v>44302.297407407408</v>
      </c>
      <c r="O63" t="s">
        <v>21</v>
      </c>
      <c r="P63" t="s">
        <v>25</v>
      </c>
    </row>
    <row r="64" spans="1:16" x14ac:dyDescent="0.25">
      <c r="A64" t="str">
        <f>HYPERLINK("https://www.grants.gov/view-opportunity.html?oppId=332828","RFA-FD-21-031")</f>
        <v>RFA-FD-21-031</v>
      </c>
      <c r="B64" t="s">
        <v>107</v>
      </c>
      <c r="C64" t="s">
        <v>17</v>
      </c>
      <c r="D64" t="s">
        <v>18</v>
      </c>
      <c r="F64">
        <v>1</v>
      </c>
      <c r="G64" s="1" t="s">
        <v>43</v>
      </c>
      <c r="I64" t="s">
        <v>44</v>
      </c>
      <c r="L64" s="2">
        <v>44298</v>
      </c>
      <c r="M64" s="2">
        <v>44390</v>
      </c>
      <c r="N64" s="3">
        <v>44298.777222222219</v>
      </c>
      <c r="O64" t="s">
        <v>36</v>
      </c>
      <c r="P64" t="s">
        <v>25</v>
      </c>
    </row>
    <row r="65" spans="1:16" x14ac:dyDescent="0.25">
      <c r="A65" t="str">
        <f>HYPERLINK("https://www.grants.gov/view-opportunity.html?oppId=332471","RFA-FD-21-034")</f>
        <v>RFA-FD-21-034</v>
      </c>
      <c r="B65" t="s">
        <v>108</v>
      </c>
      <c r="C65" t="s">
        <v>17</v>
      </c>
      <c r="D65" t="s">
        <v>18</v>
      </c>
      <c r="E65">
        <v>3000000</v>
      </c>
      <c r="F65">
        <v>5</v>
      </c>
      <c r="G65" s="1" t="s">
        <v>43</v>
      </c>
      <c r="I65" t="s">
        <v>44</v>
      </c>
      <c r="L65" s="2">
        <v>44285</v>
      </c>
      <c r="M65" s="2">
        <v>44344</v>
      </c>
      <c r="N65" s="3">
        <v>44335.947442129633</v>
      </c>
      <c r="O65" t="s">
        <v>28</v>
      </c>
      <c r="P65" t="s">
        <v>25</v>
      </c>
    </row>
    <row r="66" spans="1:16" x14ac:dyDescent="0.25">
      <c r="A66" t="str">
        <f>HYPERLINK("https://www.grants.gov/view-opportunity.html?oppId=332381","RFA-FD-21-030")</f>
        <v>RFA-FD-21-030</v>
      </c>
      <c r="B66" t="s">
        <v>109</v>
      </c>
      <c r="C66" t="s">
        <v>17</v>
      </c>
      <c r="D66" t="s">
        <v>18</v>
      </c>
      <c r="F66">
        <v>1</v>
      </c>
      <c r="G66" s="1" t="s">
        <v>110</v>
      </c>
      <c r="I66" t="s">
        <v>72</v>
      </c>
      <c r="L66" s="2">
        <v>44280</v>
      </c>
      <c r="M66" s="2">
        <v>44361</v>
      </c>
      <c r="N66" s="3">
        <v>44343.273229166669</v>
      </c>
      <c r="O66" t="s">
        <v>24</v>
      </c>
      <c r="P66" t="s">
        <v>25</v>
      </c>
    </row>
    <row r="67" spans="1:16" x14ac:dyDescent="0.25">
      <c r="A67" t="str">
        <f>HYPERLINK("https://www.grants.gov/view-opportunity.html?oppId=332170","RFA-FD-21-026")</f>
        <v>RFA-FD-21-026</v>
      </c>
      <c r="B67" t="s">
        <v>111</v>
      </c>
      <c r="C67" t="s">
        <v>17</v>
      </c>
      <c r="D67" t="s">
        <v>18</v>
      </c>
      <c r="F67">
        <v>1</v>
      </c>
      <c r="G67" s="1" t="s">
        <v>19</v>
      </c>
      <c r="I67" t="s">
        <v>20</v>
      </c>
      <c r="L67" s="2">
        <v>44272</v>
      </c>
      <c r="M67" s="2">
        <v>44340</v>
      </c>
      <c r="N67" s="3">
        <v>44272.614085648151</v>
      </c>
      <c r="O67" t="s">
        <v>21</v>
      </c>
      <c r="P67" t="s">
        <v>25</v>
      </c>
    </row>
    <row r="68" spans="1:16" x14ac:dyDescent="0.25">
      <c r="A68" t="str">
        <f>HYPERLINK("https://www.grants.gov/view-opportunity.html?oppId=332167","RFA-FD-21-25")</f>
        <v>RFA-FD-21-25</v>
      </c>
      <c r="B68" t="s">
        <v>106</v>
      </c>
      <c r="C68" t="s">
        <v>17</v>
      </c>
      <c r="D68" t="s">
        <v>18</v>
      </c>
      <c r="F68">
        <v>1</v>
      </c>
      <c r="G68" s="1" t="s">
        <v>19</v>
      </c>
      <c r="I68" t="s">
        <v>20</v>
      </c>
      <c r="L68" s="2">
        <v>44272</v>
      </c>
      <c r="M68" s="2">
        <v>44340</v>
      </c>
      <c r="N68" s="3">
        <v>44272.588391203702</v>
      </c>
      <c r="O68" t="s">
        <v>21</v>
      </c>
      <c r="P68" t="s">
        <v>25</v>
      </c>
    </row>
    <row r="69" spans="1:16" x14ac:dyDescent="0.25">
      <c r="A69" t="str">
        <f>HYPERLINK("https://www.grants.gov/view-opportunity.html?oppId=332098","RFA-FD-21-033")</f>
        <v>RFA-FD-21-033</v>
      </c>
      <c r="B69" t="s">
        <v>112</v>
      </c>
      <c r="C69" t="s">
        <v>17</v>
      </c>
      <c r="D69" t="s">
        <v>18</v>
      </c>
      <c r="E69">
        <v>2000000</v>
      </c>
      <c r="F69">
        <v>4</v>
      </c>
      <c r="G69" s="1" t="s">
        <v>113</v>
      </c>
      <c r="I69" t="s">
        <v>44</v>
      </c>
      <c r="L69" s="2">
        <v>44269</v>
      </c>
      <c r="M69" s="2">
        <v>44334</v>
      </c>
      <c r="N69" s="3">
        <v>44269.520995370367</v>
      </c>
      <c r="O69" t="s">
        <v>21</v>
      </c>
      <c r="P69" t="s">
        <v>25</v>
      </c>
    </row>
    <row r="70" spans="1:16" x14ac:dyDescent="0.25">
      <c r="A70" t="str">
        <f>HYPERLINK("https://www.grants.gov/view-opportunity.html?oppId=332074","RFA-FD-21-022")</f>
        <v>RFA-FD-21-022</v>
      </c>
      <c r="B70" t="s">
        <v>114</v>
      </c>
      <c r="C70" t="s">
        <v>17</v>
      </c>
      <c r="D70" t="s">
        <v>18</v>
      </c>
      <c r="F70">
        <v>1</v>
      </c>
      <c r="G70" s="1" t="s">
        <v>19</v>
      </c>
      <c r="I70" t="s">
        <v>20</v>
      </c>
      <c r="L70" s="2">
        <v>44267</v>
      </c>
      <c r="M70" s="2">
        <v>44333</v>
      </c>
      <c r="N70" s="3">
        <v>44267.60361111111</v>
      </c>
      <c r="O70" t="s">
        <v>21</v>
      </c>
      <c r="P70" t="s">
        <v>25</v>
      </c>
    </row>
    <row r="71" spans="1:16" x14ac:dyDescent="0.25">
      <c r="A71" t="str">
        <f>HYPERLINK("https://www.grants.gov/view-opportunity.html?oppId=331906","RFA-FD-22-002")</f>
        <v>RFA-FD-22-002</v>
      </c>
      <c r="B71" t="s">
        <v>115</v>
      </c>
      <c r="C71" t="s">
        <v>17</v>
      </c>
      <c r="D71" t="s">
        <v>18</v>
      </c>
      <c r="E71">
        <v>750000</v>
      </c>
      <c r="F71">
        <v>3</v>
      </c>
      <c r="G71" s="1" t="s">
        <v>62</v>
      </c>
      <c r="I71" t="s">
        <v>51</v>
      </c>
      <c r="L71" s="2">
        <v>44260</v>
      </c>
      <c r="M71" s="2">
        <v>44349</v>
      </c>
      <c r="N71" s="3">
        <v>44260.332696759258</v>
      </c>
      <c r="O71" t="s">
        <v>21</v>
      </c>
      <c r="P71" t="s">
        <v>25</v>
      </c>
    </row>
    <row r="72" spans="1:16" x14ac:dyDescent="0.25">
      <c r="A72" t="str">
        <f>HYPERLINK("https://www.grants.gov/view-opportunity.html?oppId=331662","RFA-FD-21-020")</f>
        <v>RFA-FD-21-020</v>
      </c>
      <c r="B72" t="s">
        <v>116</v>
      </c>
      <c r="C72" t="s">
        <v>17</v>
      </c>
      <c r="D72" t="s">
        <v>18</v>
      </c>
      <c r="F72">
        <v>1</v>
      </c>
      <c r="G72" s="1" t="s">
        <v>19</v>
      </c>
      <c r="I72" t="s">
        <v>20</v>
      </c>
      <c r="L72" s="2">
        <v>44249</v>
      </c>
      <c r="M72" s="2">
        <v>44312</v>
      </c>
      <c r="N72" s="3">
        <v>44249.496087962965</v>
      </c>
      <c r="O72" t="s">
        <v>21</v>
      </c>
      <c r="P72" t="s">
        <v>25</v>
      </c>
    </row>
    <row r="73" spans="1:16" x14ac:dyDescent="0.25">
      <c r="A73" t="str">
        <f>HYPERLINK("https://www.grants.gov/view-opportunity.html?oppId=331591","RFA-FD-21-017")</f>
        <v>RFA-FD-21-017</v>
      </c>
      <c r="B73" t="s">
        <v>117</v>
      </c>
      <c r="C73" t="s">
        <v>17</v>
      </c>
      <c r="D73" t="s">
        <v>18</v>
      </c>
      <c r="F73">
        <v>1</v>
      </c>
      <c r="G73" s="1" t="s">
        <v>19</v>
      </c>
      <c r="I73" t="s">
        <v>20</v>
      </c>
      <c r="L73" s="2">
        <v>44245</v>
      </c>
      <c r="M73" s="2">
        <v>44341</v>
      </c>
      <c r="N73" s="3">
        <v>44245.477986111109</v>
      </c>
      <c r="O73" t="s">
        <v>21</v>
      </c>
      <c r="P73" t="s">
        <v>25</v>
      </c>
    </row>
    <row r="74" spans="1:16" x14ac:dyDescent="0.25">
      <c r="A74" t="str">
        <f>HYPERLINK("https://www.grants.gov/view-opportunity.html?oppId=331593","RFA-FD-21-029")</f>
        <v>RFA-FD-21-029</v>
      </c>
      <c r="B74" t="s">
        <v>118</v>
      </c>
      <c r="C74" t="s">
        <v>17</v>
      </c>
      <c r="D74" t="s">
        <v>18</v>
      </c>
      <c r="E74">
        <v>3000000</v>
      </c>
      <c r="F74">
        <v>1</v>
      </c>
      <c r="G74" s="1" t="s">
        <v>43</v>
      </c>
      <c r="I74" t="s">
        <v>44</v>
      </c>
      <c r="L74" s="2">
        <v>44245</v>
      </c>
      <c r="M74" s="2">
        <v>44309</v>
      </c>
      <c r="N74" s="3">
        <v>44265.719560185185</v>
      </c>
      <c r="O74" t="s">
        <v>119</v>
      </c>
      <c r="P74" t="s">
        <v>25</v>
      </c>
    </row>
    <row r="75" spans="1:16" x14ac:dyDescent="0.25">
      <c r="A75" t="str">
        <f>HYPERLINK("https://www.grants.gov/view-opportunity.html?oppId=331582","RFA-FD-21-019")</f>
        <v>RFA-FD-21-019</v>
      </c>
      <c r="B75" t="s">
        <v>120</v>
      </c>
      <c r="C75" t="s">
        <v>17</v>
      </c>
      <c r="D75" t="s">
        <v>18</v>
      </c>
      <c r="F75">
        <v>2</v>
      </c>
      <c r="G75" s="1" t="s">
        <v>19</v>
      </c>
      <c r="I75" t="s">
        <v>20</v>
      </c>
      <c r="L75" s="2">
        <v>44244</v>
      </c>
      <c r="M75" s="2">
        <v>44308</v>
      </c>
      <c r="N75" s="3">
        <v>44244.573807870373</v>
      </c>
      <c r="O75" t="s">
        <v>21</v>
      </c>
      <c r="P75" t="s">
        <v>25</v>
      </c>
    </row>
    <row r="76" spans="1:16" x14ac:dyDescent="0.25">
      <c r="A76" t="str">
        <f>HYPERLINK("https://www.grants.gov/view-opportunity.html?oppId=331581","RFA-FD-21-024")</f>
        <v>RFA-FD-21-024</v>
      </c>
      <c r="B76" t="s">
        <v>121</v>
      </c>
      <c r="C76" t="s">
        <v>17</v>
      </c>
      <c r="D76" t="s">
        <v>18</v>
      </c>
      <c r="F76">
        <v>1</v>
      </c>
      <c r="G76" s="1" t="s">
        <v>110</v>
      </c>
      <c r="I76" t="s">
        <v>72</v>
      </c>
      <c r="L76" s="2">
        <v>44244</v>
      </c>
      <c r="M76" s="2">
        <v>44305</v>
      </c>
      <c r="N76" s="3">
        <v>44244.579363425924</v>
      </c>
      <c r="O76" t="s">
        <v>21</v>
      </c>
      <c r="P76" t="s">
        <v>25</v>
      </c>
    </row>
    <row r="77" spans="1:16" x14ac:dyDescent="0.25">
      <c r="A77" t="str">
        <f>HYPERLINK("https://www.grants.gov/view-opportunity.html?oppId=331047","RFA-FD-21-028")</f>
        <v>RFA-FD-21-028</v>
      </c>
      <c r="B77" t="s">
        <v>122</v>
      </c>
      <c r="C77" t="s">
        <v>17</v>
      </c>
      <c r="D77" t="s">
        <v>18</v>
      </c>
      <c r="E77">
        <v>10000000</v>
      </c>
      <c r="F77">
        <v>1</v>
      </c>
      <c r="G77" s="1" t="s">
        <v>43</v>
      </c>
      <c r="I77" t="s">
        <v>44</v>
      </c>
      <c r="L77" s="2">
        <v>44218</v>
      </c>
      <c r="M77" s="2">
        <v>44277</v>
      </c>
      <c r="N77" s="3">
        <v>44221.50167824074</v>
      </c>
      <c r="O77" t="s">
        <v>119</v>
      </c>
      <c r="P77" t="s">
        <v>25</v>
      </c>
    </row>
    <row r="78" spans="1:16" x14ac:dyDescent="0.25">
      <c r="A78" t="str">
        <f>HYPERLINK("https://www.grants.gov/view-opportunity.html?oppId=330941","RFA-FD-21-021")</f>
        <v>RFA-FD-21-021</v>
      </c>
      <c r="B78" t="s">
        <v>123</v>
      </c>
      <c r="C78" t="s">
        <v>17</v>
      </c>
      <c r="D78" t="s">
        <v>18</v>
      </c>
      <c r="F78">
        <v>1</v>
      </c>
      <c r="G78" s="1" t="s">
        <v>19</v>
      </c>
      <c r="I78" t="s">
        <v>20</v>
      </c>
      <c r="L78" s="2">
        <v>44210</v>
      </c>
      <c r="M78" s="2">
        <v>44273</v>
      </c>
      <c r="N78" s="3">
        <v>44210.607106481482</v>
      </c>
      <c r="O78" t="s">
        <v>21</v>
      </c>
      <c r="P78" t="s">
        <v>25</v>
      </c>
    </row>
    <row r="79" spans="1:16" x14ac:dyDescent="0.25">
      <c r="A79" t="str">
        <f>HYPERLINK("https://www.grants.gov/view-opportunity.html?oppId=330749","RFA-FD-21-023")</f>
        <v>RFA-FD-21-023</v>
      </c>
      <c r="B79" t="s">
        <v>124</v>
      </c>
      <c r="C79" t="s">
        <v>17</v>
      </c>
      <c r="D79" t="s">
        <v>18</v>
      </c>
      <c r="F79">
        <v>1</v>
      </c>
      <c r="G79" s="1" t="s">
        <v>110</v>
      </c>
      <c r="I79" t="s">
        <v>72</v>
      </c>
      <c r="L79" s="2">
        <v>44204</v>
      </c>
      <c r="M79" s="2">
        <v>44245</v>
      </c>
      <c r="N79" s="3">
        <v>44245.552291666667</v>
      </c>
      <c r="O79" t="s">
        <v>24</v>
      </c>
      <c r="P79" t="s">
        <v>25</v>
      </c>
    </row>
    <row r="80" spans="1:16" x14ac:dyDescent="0.25">
      <c r="A80" t="str">
        <f>HYPERLINK("https://www.grants.gov/view-opportunity.html?oppId=330752","RFA-FD-21-018")</f>
        <v>RFA-FD-21-018</v>
      </c>
      <c r="B80" t="s">
        <v>125</v>
      </c>
      <c r="C80" t="s">
        <v>17</v>
      </c>
      <c r="D80" t="s">
        <v>18</v>
      </c>
      <c r="F80">
        <v>5</v>
      </c>
      <c r="G80" s="1" t="s">
        <v>19</v>
      </c>
      <c r="I80" t="s">
        <v>20</v>
      </c>
      <c r="L80" s="2">
        <v>44203</v>
      </c>
      <c r="M80" s="2">
        <v>44270</v>
      </c>
      <c r="N80" s="3">
        <v>44203.645914351851</v>
      </c>
      <c r="O80" t="s">
        <v>21</v>
      </c>
      <c r="P80" t="s">
        <v>25</v>
      </c>
    </row>
    <row r="81" spans="1:16" x14ac:dyDescent="0.25">
      <c r="A81" t="str">
        <f>HYPERLINK("https://www.grants.gov/view-opportunity.html?oppId=330774","RFA-FD-21-016")</f>
        <v>RFA-FD-21-016</v>
      </c>
      <c r="B81" t="s">
        <v>126</v>
      </c>
      <c r="C81" t="s">
        <v>17</v>
      </c>
      <c r="D81" t="s">
        <v>18</v>
      </c>
      <c r="F81">
        <v>1</v>
      </c>
      <c r="G81" s="1" t="s">
        <v>19</v>
      </c>
      <c r="I81" t="s">
        <v>20</v>
      </c>
      <c r="L81" s="2">
        <v>44203</v>
      </c>
      <c r="M81" s="2">
        <v>44286</v>
      </c>
      <c r="N81" s="3">
        <v>44203.650775462964</v>
      </c>
      <c r="O81" t="s">
        <v>21</v>
      </c>
      <c r="P81" t="s">
        <v>25</v>
      </c>
    </row>
    <row r="82" spans="1:16" x14ac:dyDescent="0.25">
      <c r="A82" t="str">
        <f>HYPERLINK("https://www.grants.gov/view-opportunity.html?oppId=330747","RFA-FD-21-015")</f>
        <v>RFA-FD-21-015</v>
      </c>
      <c r="B82" t="s">
        <v>127</v>
      </c>
      <c r="C82" t="s">
        <v>17</v>
      </c>
      <c r="D82" t="s">
        <v>18</v>
      </c>
      <c r="F82">
        <v>2</v>
      </c>
      <c r="G82" s="1" t="s">
        <v>19</v>
      </c>
      <c r="I82" t="s">
        <v>20</v>
      </c>
      <c r="L82" s="2">
        <v>44203</v>
      </c>
      <c r="M82" s="2">
        <v>44270</v>
      </c>
      <c r="N82" s="3">
        <v>44203.444525462961</v>
      </c>
      <c r="O82" t="s">
        <v>21</v>
      </c>
      <c r="P82" t="s">
        <v>25</v>
      </c>
    </row>
    <row r="83" spans="1:16" x14ac:dyDescent="0.25">
      <c r="A83" t="str">
        <f>HYPERLINK("https://www.grants.gov/view-opportunity.html?oppId=330745","RFA-FD-21-012")</f>
        <v>RFA-FD-21-012</v>
      </c>
      <c r="B83" t="s">
        <v>128</v>
      </c>
      <c r="C83" t="s">
        <v>17</v>
      </c>
      <c r="D83" t="s">
        <v>18</v>
      </c>
      <c r="F83">
        <v>2</v>
      </c>
      <c r="G83" s="1" t="s">
        <v>19</v>
      </c>
      <c r="I83" t="s">
        <v>20</v>
      </c>
      <c r="L83" s="2">
        <v>44203</v>
      </c>
      <c r="M83" s="2">
        <v>44270</v>
      </c>
      <c r="N83" s="3">
        <v>44203.434108796297</v>
      </c>
      <c r="O83" t="s">
        <v>21</v>
      </c>
      <c r="P83" t="s">
        <v>25</v>
      </c>
    </row>
    <row r="84" spans="1:16" x14ac:dyDescent="0.25">
      <c r="A84" t="str">
        <f>HYPERLINK("https://www.grants.gov/view-opportunity.html?oppId=330753","RFA-FD-21-027")</f>
        <v>RFA-FD-21-027</v>
      </c>
      <c r="B84" t="s">
        <v>129</v>
      </c>
      <c r="C84" t="s">
        <v>17</v>
      </c>
      <c r="D84" t="s">
        <v>18</v>
      </c>
      <c r="F84">
        <v>1</v>
      </c>
      <c r="G84" s="1" t="s">
        <v>19</v>
      </c>
      <c r="I84" t="s">
        <v>20</v>
      </c>
      <c r="L84" s="2">
        <v>44203</v>
      </c>
      <c r="M84" s="2">
        <v>44273</v>
      </c>
      <c r="N84" s="3">
        <v>44203.658414351848</v>
      </c>
      <c r="O84" t="s">
        <v>21</v>
      </c>
      <c r="P84" t="s">
        <v>25</v>
      </c>
    </row>
    <row r="85" spans="1:16" x14ac:dyDescent="0.25">
      <c r="A85" t="str">
        <f>HYPERLINK("https://www.grants.gov/view-opportunity.html?oppId=330307","RFA-FD-21-010")</f>
        <v>RFA-FD-21-010</v>
      </c>
      <c r="B85" t="s">
        <v>130</v>
      </c>
      <c r="C85" t="s">
        <v>17</v>
      </c>
      <c r="D85" t="s">
        <v>18</v>
      </c>
      <c r="F85">
        <v>1</v>
      </c>
      <c r="G85" s="1" t="s">
        <v>110</v>
      </c>
      <c r="I85" t="s">
        <v>72</v>
      </c>
      <c r="L85" s="2">
        <v>44179</v>
      </c>
      <c r="M85" s="2">
        <v>44239</v>
      </c>
      <c r="N85" s="3">
        <v>44175.625115740739</v>
      </c>
      <c r="O85" t="s">
        <v>21</v>
      </c>
      <c r="P85" t="s">
        <v>25</v>
      </c>
    </row>
    <row r="86" spans="1:16" x14ac:dyDescent="0.25">
      <c r="A86" t="str">
        <f>HYPERLINK("https://www.grants.gov/view-opportunity.html?oppId=330384","RFA-FD-21-011")</f>
        <v>RFA-FD-21-011</v>
      </c>
      <c r="B86" t="s">
        <v>131</v>
      </c>
      <c r="C86" t="s">
        <v>17</v>
      </c>
      <c r="D86" t="s">
        <v>18</v>
      </c>
      <c r="F86">
        <v>1</v>
      </c>
      <c r="G86" s="1" t="s">
        <v>110</v>
      </c>
      <c r="I86" t="s">
        <v>72</v>
      </c>
      <c r="L86" s="2">
        <v>44179</v>
      </c>
      <c r="M86" s="2">
        <v>44239</v>
      </c>
      <c r="N86" s="3">
        <v>44179.516828703701</v>
      </c>
      <c r="O86" t="s">
        <v>21</v>
      </c>
      <c r="P86" t="s">
        <v>25</v>
      </c>
    </row>
    <row r="87" spans="1:16" x14ac:dyDescent="0.25">
      <c r="A87" t="str">
        <f>HYPERLINK("https://www.grants.gov/view-opportunity.html?oppId=330320","RFA-FD-21-014")</f>
        <v>RFA-FD-21-014</v>
      </c>
      <c r="B87" t="s">
        <v>132</v>
      </c>
      <c r="C87" t="s">
        <v>17</v>
      </c>
      <c r="D87" t="s">
        <v>18</v>
      </c>
      <c r="F87">
        <v>3</v>
      </c>
      <c r="G87" s="1" t="s">
        <v>19</v>
      </c>
      <c r="I87" t="s">
        <v>20</v>
      </c>
      <c r="L87" s="2">
        <v>44175</v>
      </c>
      <c r="M87" s="2">
        <v>44280</v>
      </c>
      <c r="N87" s="3">
        <v>44237.677893518521</v>
      </c>
      <c r="O87" t="s">
        <v>24</v>
      </c>
      <c r="P87" t="s">
        <v>25</v>
      </c>
    </row>
    <row r="88" spans="1:16" x14ac:dyDescent="0.25">
      <c r="A88" t="str">
        <f>HYPERLINK("https://www.grants.gov/view-opportunity.html?oppId=330299","RFA-FD-21-013")</f>
        <v>RFA-FD-21-013</v>
      </c>
      <c r="B88" t="s">
        <v>133</v>
      </c>
      <c r="C88" t="s">
        <v>17</v>
      </c>
      <c r="D88" t="s">
        <v>18</v>
      </c>
      <c r="F88">
        <v>3</v>
      </c>
      <c r="G88" s="1" t="s">
        <v>19</v>
      </c>
      <c r="I88" t="s">
        <v>20</v>
      </c>
      <c r="L88" s="2">
        <v>44175</v>
      </c>
      <c r="M88" s="2">
        <v>44245</v>
      </c>
      <c r="N88" s="3">
        <v>44243.409212962964</v>
      </c>
      <c r="O88" t="s">
        <v>24</v>
      </c>
      <c r="P88" t="s">
        <v>25</v>
      </c>
    </row>
    <row r="89" spans="1:16" x14ac:dyDescent="0.25">
      <c r="A89" t="str">
        <f>HYPERLINK("https://www.grants.gov/view-opportunity.html?oppId=330193","RFA-FD-21-006")</f>
        <v>RFA-FD-21-006</v>
      </c>
      <c r="B89" t="s">
        <v>134</v>
      </c>
      <c r="C89" t="s">
        <v>17</v>
      </c>
      <c r="D89" t="s">
        <v>18</v>
      </c>
      <c r="F89">
        <v>1</v>
      </c>
      <c r="G89" s="1" t="s">
        <v>110</v>
      </c>
      <c r="I89" t="s">
        <v>72</v>
      </c>
      <c r="L89" s="2">
        <v>44168</v>
      </c>
      <c r="M89" s="2">
        <v>44228</v>
      </c>
      <c r="N89" s="3">
        <v>44168.576423611114</v>
      </c>
      <c r="O89" t="s">
        <v>21</v>
      </c>
      <c r="P89" t="s">
        <v>25</v>
      </c>
    </row>
    <row r="90" spans="1:16" x14ac:dyDescent="0.25">
      <c r="A90" t="str">
        <f>HYPERLINK("https://www.grants.gov/view-opportunity.html?oppId=330168","RFA-FD-21-009")</f>
        <v>RFA-FD-21-009</v>
      </c>
      <c r="B90" t="s">
        <v>135</v>
      </c>
      <c r="C90" t="s">
        <v>17</v>
      </c>
      <c r="D90" t="s">
        <v>18</v>
      </c>
      <c r="F90">
        <v>1</v>
      </c>
      <c r="G90" s="1" t="s">
        <v>110</v>
      </c>
      <c r="I90" t="s">
        <v>72</v>
      </c>
      <c r="L90" s="2">
        <v>44168</v>
      </c>
      <c r="M90" s="2">
        <v>44228</v>
      </c>
      <c r="N90" s="3">
        <v>44168.502812500003</v>
      </c>
      <c r="O90" t="s">
        <v>21</v>
      </c>
      <c r="P90" t="s">
        <v>25</v>
      </c>
    </row>
    <row r="91" spans="1:16" x14ac:dyDescent="0.25">
      <c r="A91" t="str">
        <f>HYPERLINK("https://www.grants.gov/view-opportunity.html?oppId=329766","RFA-FD-21-008")</f>
        <v>RFA-FD-21-008</v>
      </c>
      <c r="B91" t="s">
        <v>136</v>
      </c>
      <c r="C91" t="s">
        <v>17</v>
      </c>
      <c r="D91" t="s">
        <v>18</v>
      </c>
      <c r="F91">
        <v>1</v>
      </c>
      <c r="G91" s="1" t="s">
        <v>110</v>
      </c>
      <c r="I91" t="s">
        <v>72</v>
      </c>
      <c r="L91" s="2">
        <v>44144</v>
      </c>
      <c r="M91" s="2">
        <v>44204</v>
      </c>
      <c r="N91" s="3">
        <v>44144.657048611109</v>
      </c>
      <c r="O91" t="s">
        <v>21</v>
      </c>
      <c r="P91" t="s">
        <v>25</v>
      </c>
    </row>
    <row r="92" spans="1:16" x14ac:dyDescent="0.25">
      <c r="A92" t="str">
        <f>HYPERLINK("https://www.grants.gov/view-opportunity.html?oppId=328044","RFA-FD-21-004")</f>
        <v>RFA-FD-21-004</v>
      </c>
      <c r="B92" t="s">
        <v>137</v>
      </c>
      <c r="C92" t="s">
        <v>17</v>
      </c>
      <c r="D92" t="s">
        <v>18</v>
      </c>
      <c r="E92">
        <v>4100000</v>
      </c>
      <c r="F92">
        <v>3</v>
      </c>
      <c r="G92" s="1" t="s">
        <v>19</v>
      </c>
      <c r="I92" t="s">
        <v>20</v>
      </c>
      <c r="L92" s="2">
        <v>44021</v>
      </c>
      <c r="M92" s="2">
        <v>44118</v>
      </c>
      <c r="N92" s="3">
        <v>44021.482048611113</v>
      </c>
      <c r="O92" t="s">
        <v>21</v>
      </c>
      <c r="P92" t="s">
        <v>25</v>
      </c>
    </row>
    <row r="93" spans="1:16" x14ac:dyDescent="0.25">
      <c r="A93" t="str">
        <f>HYPERLINK("https://www.grants.gov/view-opportunity.html?oppId=328024","RFA-FD-21-002")</f>
        <v>RFA-FD-21-002</v>
      </c>
      <c r="B93" t="s">
        <v>138</v>
      </c>
      <c r="C93" t="s">
        <v>17</v>
      </c>
      <c r="D93" t="s">
        <v>18</v>
      </c>
      <c r="E93">
        <v>2500000</v>
      </c>
      <c r="F93">
        <v>1</v>
      </c>
      <c r="G93" s="1" t="s">
        <v>19</v>
      </c>
      <c r="I93" t="s">
        <v>20</v>
      </c>
      <c r="L93" s="2">
        <v>44020</v>
      </c>
      <c r="M93" s="2">
        <v>44117</v>
      </c>
      <c r="N93" s="3">
        <v>44020.475787037038</v>
      </c>
      <c r="O93" t="s">
        <v>24</v>
      </c>
      <c r="P93" t="s">
        <v>25</v>
      </c>
    </row>
    <row r="94" spans="1:16" x14ac:dyDescent="0.25">
      <c r="A94" t="str">
        <f>HYPERLINK("https://www.grants.gov/view-opportunity.html?oppId=326305","RFA-FD-21-003")</f>
        <v>RFA-FD-21-003</v>
      </c>
      <c r="B94" t="s">
        <v>139</v>
      </c>
      <c r="C94" t="s">
        <v>17</v>
      </c>
      <c r="D94" t="s">
        <v>18</v>
      </c>
      <c r="E94">
        <v>2000000</v>
      </c>
      <c r="F94">
        <v>1</v>
      </c>
      <c r="G94" s="1" t="s">
        <v>81</v>
      </c>
      <c r="I94" t="s">
        <v>51</v>
      </c>
      <c r="L94" s="2">
        <v>43934</v>
      </c>
      <c r="M94" s="2">
        <v>44022</v>
      </c>
      <c r="N94" s="3">
        <v>43969.596736111111</v>
      </c>
      <c r="O94" t="s">
        <v>24</v>
      </c>
      <c r="P94" t="s">
        <v>25</v>
      </c>
    </row>
    <row r="95" spans="1:16" x14ac:dyDescent="0.25">
      <c r="A95" t="str">
        <f>HYPERLINK("https://www.grants.gov/view-opportunity.html?oppId=326160","RFA-FD-20-032")</f>
        <v>RFA-FD-20-032</v>
      </c>
      <c r="B95" t="s">
        <v>78</v>
      </c>
      <c r="C95" t="s">
        <v>17</v>
      </c>
      <c r="D95" t="s">
        <v>18</v>
      </c>
      <c r="F95">
        <v>2</v>
      </c>
      <c r="G95" s="1" t="s">
        <v>43</v>
      </c>
      <c r="I95" t="s">
        <v>44</v>
      </c>
      <c r="L95" s="2">
        <v>43929</v>
      </c>
      <c r="M95" s="2">
        <v>44005</v>
      </c>
      <c r="N95" s="3">
        <v>43929.755648148152</v>
      </c>
      <c r="O95" t="s">
        <v>21</v>
      </c>
      <c r="P95" t="s">
        <v>25</v>
      </c>
    </row>
    <row r="96" spans="1:16" x14ac:dyDescent="0.25">
      <c r="A96" t="str">
        <f>HYPERLINK("https://www.grants.gov/view-opportunity.html?oppId=326030","RFA-FD-20-033")</f>
        <v>RFA-FD-20-033</v>
      </c>
      <c r="B96" t="s">
        <v>140</v>
      </c>
      <c r="C96" t="s">
        <v>17</v>
      </c>
      <c r="D96" t="s">
        <v>18</v>
      </c>
      <c r="F96">
        <v>1</v>
      </c>
      <c r="G96" s="1" t="s">
        <v>19</v>
      </c>
      <c r="I96" t="s">
        <v>20</v>
      </c>
      <c r="L96" s="2">
        <v>43924</v>
      </c>
      <c r="M96" s="2">
        <v>43990</v>
      </c>
      <c r="N96" s="3">
        <v>43924.582673611112</v>
      </c>
      <c r="O96" t="s">
        <v>21</v>
      </c>
      <c r="P96" t="s">
        <v>25</v>
      </c>
    </row>
    <row r="97" spans="1:16" x14ac:dyDescent="0.25">
      <c r="A97" t="str">
        <f>HYPERLINK("https://www.grants.gov/view-opportunity.html?oppId=325962","RFA-FD-20-029")</f>
        <v>RFA-FD-20-029</v>
      </c>
      <c r="B97" t="s">
        <v>141</v>
      </c>
      <c r="C97" t="s">
        <v>17</v>
      </c>
      <c r="D97" t="s">
        <v>18</v>
      </c>
      <c r="F97">
        <v>1</v>
      </c>
      <c r="G97" s="1" t="s">
        <v>19</v>
      </c>
      <c r="I97" t="s">
        <v>20</v>
      </c>
      <c r="L97" s="2">
        <v>43922</v>
      </c>
      <c r="M97" s="2">
        <v>43983</v>
      </c>
      <c r="N97" s="3">
        <v>43922.604872685188</v>
      </c>
      <c r="O97" t="s">
        <v>21</v>
      </c>
      <c r="P97" t="s">
        <v>25</v>
      </c>
    </row>
    <row r="98" spans="1:16" x14ac:dyDescent="0.25">
      <c r="A98" t="str">
        <f>HYPERLINK("https://www.grants.gov/view-opportunity.html?oppId=325919","RFA-FD-20-034")</f>
        <v>RFA-FD-20-034</v>
      </c>
      <c r="B98" t="s">
        <v>142</v>
      </c>
      <c r="C98" t="s">
        <v>17</v>
      </c>
      <c r="D98" t="s">
        <v>18</v>
      </c>
      <c r="E98">
        <v>1000000</v>
      </c>
      <c r="F98">
        <v>4</v>
      </c>
      <c r="G98" s="1" t="s">
        <v>110</v>
      </c>
      <c r="I98" t="s">
        <v>72</v>
      </c>
      <c r="L98" s="2">
        <v>43921</v>
      </c>
      <c r="M98" s="2">
        <v>43983</v>
      </c>
      <c r="N98" s="3">
        <v>43958.382719907408</v>
      </c>
      <c r="O98" t="s">
        <v>24</v>
      </c>
      <c r="P98" t="s">
        <v>25</v>
      </c>
    </row>
    <row r="99" spans="1:16" x14ac:dyDescent="0.25">
      <c r="A99" t="str">
        <f>HYPERLINK("https://www.grants.gov/view-opportunity.html?oppId=325506","RFA-FD-20-028")</f>
        <v>RFA-FD-20-028</v>
      </c>
      <c r="B99" t="s">
        <v>96</v>
      </c>
      <c r="C99" t="s">
        <v>17</v>
      </c>
      <c r="D99" t="s">
        <v>18</v>
      </c>
      <c r="E99">
        <v>1500000</v>
      </c>
      <c r="F99">
        <v>5</v>
      </c>
      <c r="G99" s="1" t="s">
        <v>43</v>
      </c>
      <c r="I99" t="s">
        <v>44</v>
      </c>
      <c r="L99" s="2">
        <v>43907</v>
      </c>
      <c r="M99" s="2">
        <v>43964</v>
      </c>
      <c r="N99" s="3">
        <v>43908.549513888887</v>
      </c>
      <c r="O99" t="s">
        <v>24</v>
      </c>
      <c r="P99" t="s">
        <v>25</v>
      </c>
    </row>
    <row r="100" spans="1:16" x14ac:dyDescent="0.25">
      <c r="A100" t="str">
        <f>HYPERLINK("https://www.grants.gov/view-opportunity.html?oppId=325514","RFA-FD-20-031")</f>
        <v>RFA-FD-20-031</v>
      </c>
      <c r="B100" t="s">
        <v>143</v>
      </c>
      <c r="C100" t="s">
        <v>17</v>
      </c>
      <c r="D100" t="s">
        <v>18</v>
      </c>
      <c r="F100">
        <v>1</v>
      </c>
      <c r="G100" s="1" t="s">
        <v>19</v>
      </c>
      <c r="I100" t="s">
        <v>20</v>
      </c>
      <c r="L100" s="2">
        <v>43906</v>
      </c>
      <c r="M100" s="2">
        <v>43969</v>
      </c>
      <c r="N100" s="3">
        <v>43906.914768518516</v>
      </c>
      <c r="O100" t="s">
        <v>21</v>
      </c>
      <c r="P100" t="s">
        <v>25</v>
      </c>
    </row>
    <row r="101" spans="1:16" x14ac:dyDescent="0.25">
      <c r="A101" t="str">
        <f>HYPERLINK("https://www.grants.gov/view-opportunity.html?oppId=325478","RFA-FD-20-030")</f>
        <v>RFA-FD-20-030</v>
      </c>
      <c r="B101" t="s">
        <v>75</v>
      </c>
      <c r="C101" t="s">
        <v>17</v>
      </c>
      <c r="D101" t="s">
        <v>18</v>
      </c>
      <c r="F101">
        <v>2</v>
      </c>
      <c r="G101" s="1" t="s">
        <v>19</v>
      </c>
      <c r="I101" t="s">
        <v>20</v>
      </c>
      <c r="L101" s="2">
        <v>43906</v>
      </c>
      <c r="M101" s="2">
        <v>43987</v>
      </c>
      <c r="N101" s="3">
        <v>43924.576423611114</v>
      </c>
      <c r="O101" t="s">
        <v>24</v>
      </c>
      <c r="P101" t="s">
        <v>25</v>
      </c>
    </row>
    <row r="102" spans="1:16" x14ac:dyDescent="0.25">
      <c r="A102" t="str">
        <f>HYPERLINK("https://www.grants.gov/view-opportunity.html?oppId=325343","PAR-20-132")</f>
        <v>PAR-20-132</v>
      </c>
      <c r="B102" t="s">
        <v>83</v>
      </c>
      <c r="C102" t="s">
        <v>17</v>
      </c>
      <c r="D102" t="s">
        <v>18</v>
      </c>
      <c r="F102">
        <v>24</v>
      </c>
      <c r="G102" s="1" t="s">
        <v>43</v>
      </c>
      <c r="I102" t="s">
        <v>44</v>
      </c>
      <c r="L102" s="2">
        <v>43901</v>
      </c>
      <c r="M102" s="2">
        <v>44607</v>
      </c>
      <c r="N102" s="3">
        <v>44245.78979166667</v>
      </c>
      <c r="O102" t="s">
        <v>119</v>
      </c>
      <c r="P102" t="s">
        <v>25</v>
      </c>
    </row>
    <row r="103" spans="1:16" x14ac:dyDescent="0.25">
      <c r="A103" t="str">
        <f>HYPERLINK("https://www.grants.gov/view-opportunity.html?oppId=325166","PAR-20-124")</f>
        <v>PAR-20-124</v>
      </c>
      <c r="B103" t="s">
        <v>80</v>
      </c>
      <c r="C103" t="s">
        <v>17</v>
      </c>
      <c r="D103" t="s">
        <v>18</v>
      </c>
      <c r="E103">
        <v>5000000</v>
      </c>
      <c r="F103">
        <v>50</v>
      </c>
      <c r="G103" s="1" t="s">
        <v>62</v>
      </c>
      <c r="I103" t="s">
        <v>51</v>
      </c>
      <c r="L103" s="2">
        <v>43896</v>
      </c>
      <c r="M103" s="2">
        <v>44683</v>
      </c>
      <c r="N103" s="3">
        <v>43948.627395833333</v>
      </c>
      <c r="O103" t="s">
        <v>24</v>
      </c>
      <c r="P103" t="s">
        <v>25</v>
      </c>
    </row>
    <row r="104" spans="1:16" x14ac:dyDescent="0.25">
      <c r="A104" t="str">
        <f>HYPERLINK("https://www.grants.gov/view-opportunity.html?oppId=324809","RFA-FD-20-024")</f>
        <v>RFA-FD-20-024</v>
      </c>
      <c r="B104" t="s">
        <v>144</v>
      </c>
      <c r="C104" t="s">
        <v>17</v>
      </c>
      <c r="D104" t="s">
        <v>18</v>
      </c>
      <c r="F104">
        <v>8</v>
      </c>
      <c r="G104" s="1" t="s">
        <v>43</v>
      </c>
      <c r="I104" t="s">
        <v>44</v>
      </c>
      <c r="L104" s="2">
        <v>43886</v>
      </c>
      <c r="M104" s="2">
        <v>43949</v>
      </c>
      <c r="N104" s="3">
        <v>43886.45653935185</v>
      </c>
      <c r="O104" t="s">
        <v>21</v>
      </c>
      <c r="P104" t="s">
        <v>25</v>
      </c>
    </row>
    <row r="105" spans="1:16" x14ac:dyDescent="0.25">
      <c r="A105" t="str">
        <f>HYPERLINK("https://www.grants.gov/view-opportunity.html?oppId=324689","RFA-FD-21-001")</f>
        <v>RFA-FD-21-001</v>
      </c>
      <c r="B105" t="s">
        <v>27</v>
      </c>
      <c r="C105" t="s">
        <v>17</v>
      </c>
      <c r="D105" t="s">
        <v>18</v>
      </c>
      <c r="F105">
        <v>8</v>
      </c>
      <c r="G105" s="1" t="s">
        <v>145</v>
      </c>
      <c r="I105" t="s">
        <v>146</v>
      </c>
      <c r="L105" s="2">
        <v>43882</v>
      </c>
      <c r="M105" s="2">
        <v>44474</v>
      </c>
      <c r="N105" s="3">
        <v>43882.407881944448</v>
      </c>
      <c r="O105" t="s">
        <v>24</v>
      </c>
      <c r="P105" t="s">
        <v>25</v>
      </c>
    </row>
    <row r="106" spans="1:16" x14ac:dyDescent="0.25">
      <c r="A106" t="str">
        <f>HYPERLINK("https://www.grants.gov/view-opportunity.html?oppId=324639","RFA-FD-20-027")</f>
        <v>RFA-FD-20-027</v>
      </c>
      <c r="B106" t="s">
        <v>95</v>
      </c>
      <c r="C106" t="s">
        <v>17</v>
      </c>
      <c r="D106" t="s">
        <v>18</v>
      </c>
      <c r="F106">
        <v>5</v>
      </c>
      <c r="G106" s="1" t="s">
        <v>43</v>
      </c>
      <c r="I106" t="s">
        <v>44</v>
      </c>
      <c r="L106" s="2">
        <v>43879</v>
      </c>
      <c r="M106" s="2">
        <v>43977</v>
      </c>
      <c r="N106" s="3">
        <v>43948.741979166669</v>
      </c>
      <c r="O106" t="s">
        <v>24</v>
      </c>
      <c r="P106" t="s">
        <v>25</v>
      </c>
    </row>
    <row r="107" spans="1:16" x14ac:dyDescent="0.25">
      <c r="A107" t="str">
        <f>HYPERLINK("https://www.grants.gov/view-opportunity.html?oppId=324233","PAR-20-105")</f>
        <v>PAR-20-105</v>
      </c>
      <c r="B107" t="s">
        <v>147</v>
      </c>
      <c r="C107" t="s">
        <v>17</v>
      </c>
      <c r="D107" t="s">
        <v>18</v>
      </c>
      <c r="E107">
        <v>23000000</v>
      </c>
      <c r="F107">
        <v>100</v>
      </c>
      <c r="G107" s="1" t="s">
        <v>110</v>
      </c>
      <c r="I107" t="s">
        <v>72</v>
      </c>
      <c r="L107" s="2">
        <v>43866</v>
      </c>
      <c r="M107" s="2">
        <v>44657</v>
      </c>
      <c r="N107" s="3">
        <v>43916.448912037034</v>
      </c>
      <c r="O107" t="s">
        <v>119</v>
      </c>
      <c r="P107" t="s">
        <v>25</v>
      </c>
    </row>
    <row r="108" spans="1:16" x14ac:dyDescent="0.25">
      <c r="A108" t="str">
        <f>HYPERLINK("https://www.grants.gov/view-opportunity.html?oppId=324137","RFA-FD-20-026")</f>
        <v>RFA-FD-20-026</v>
      </c>
      <c r="B108" t="s">
        <v>148</v>
      </c>
      <c r="C108" t="s">
        <v>17</v>
      </c>
      <c r="D108" t="s">
        <v>18</v>
      </c>
      <c r="E108">
        <v>400000</v>
      </c>
      <c r="F108">
        <v>4</v>
      </c>
      <c r="G108" s="1" t="s">
        <v>62</v>
      </c>
      <c r="I108" t="s">
        <v>51</v>
      </c>
      <c r="L108" s="2">
        <v>43864</v>
      </c>
      <c r="M108" s="2">
        <v>43966</v>
      </c>
      <c r="N108" s="3">
        <v>43948.619062500002</v>
      </c>
      <c r="O108" t="s">
        <v>24</v>
      </c>
      <c r="P108" t="s">
        <v>25</v>
      </c>
    </row>
    <row r="109" spans="1:16" x14ac:dyDescent="0.25">
      <c r="A109" t="str">
        <f>HYPERLINK("https://www.grants.gov/view-opportunity.html?oppId=323934","RFA-FD-20-012")</f>
        <v>RFA-FD-20-012</v>
      </c>
      <c r="B109" t="s">
        <v>149</v>
      </c>
      <c r="C109" t="s">
        <v>17</v>
      </c>
      <c r="D109" t="s">
        <v>18</v>
      </c>
      <c r="E109">
        <v>4410000</v>
      </c>
      <c r="F109">
        <v>63</v>
      </c>
      <c r="G109" s="1" t="s">
        <v>110</v>
      </c>
      <c r="I109" t="s">
        <v>72</v>
      </c>
      <c r="L109" s="2">
        <v>43857</v>
      </c>
      <c r="M109" s="2">
        <v>43945</v>
      </c>
      <c r="N109" s="3">
        <v>43913.385682870372</v>
      </c>
      <c r="O109" t="s">
        <v>24</v>
      </c>
      <c r="P109" t="s">
        <v>25</v>
      </c>
    </row>
    <row r="110" spans="1:16" x14ac:dyDescent="0.25">
      <c r="A110" t="str">
        <f>HYPERLINK("https://www.grants.gov/view-opportunity.html?oppId=323875","RFA-FD-20-025")</f>
        <v>RFA-FD-20-025</v>
      </c>
      <c r="B110" t="s">
        <v>150</v>
      </c>
      <c r="C110" t="s">
        <v>17</v>
      </c>
      <c r="D110" t="s">
        <v>18</v>
      </c>
      <c r="E110">
        <v>2000000</v>
      </c>
      <c r="F110">
        <v>10</v>
      </c>
      <c r="G110" s="1" t="s">
        <v>62</v>
      </c>
      <c r="I110" t="s">
        <v>51</v>
      </c>
      <c r="L110" s="2">
        <v>43854</v>
      </c>
      <c r="M110" s="2">
        <v>43953</v>
      </c>
      <c r="N110" s="3">
        <v>43854.465555555558</v>
      </c>
      <c r="O110" t="s">
        <v>24</v>
      </c>
      <c r="P110" t="s">
        <v>25</v>
      </c>
    </row>
    <row r="111" spans="1:16" x14ac:dyDescent="0.25">
      <c r="A111" t="str">
        <f>HYPERLINK("https://www.grants.gov/view-opportunity.html?oppId=323803","RFA-FD-20-013")</f>
        <v>RFA-FD-20-013</v>
      </c>
      <c r="B111" t="s">
        <v>151</v>
      </c>
      <c r="C111" t="s">
        <v>17</v>
      </c>
      <c r="D111" t="s">
        <v>18</v>
      </c>
      <c r="E111">
        <v>500000</v>
      </c>
      <c r="F111">
        <v>1</v>
      </c>
      <c r="G111" s="1" t="s">
        <v>110</v>
      </c>
      <c r="I111" t="s">
        <v>72</v>
      </c>
      <c r="L111" s="2">
        <v>43851</v>
      </c>
      <c r="M111" s="2">
        <v>43913</v>
      </c>
      <c r="N111" s="3">
        <v>43851.494687500002</v>
      </c>
      <c r="O111" t="s">
        <v>21</v>
      </c>
      <c r="P111" t="s">
        <v>25</v>
      </c>
    </row>
    <row r="112" spans="1:16" x14ac:dyDescent="0.25">
      <c r="A112" t="str">
        <f>HYPERLINK("https://www.grants.gov/view-opportunity.html?oppId=323801","RFA-FD-20-023")</f>
        <v>RFA-FD-20-023</v>
      </c>
      <c r="B112" t="s">
        <v>152</v>
      </c>
      <c r="C112" t="s">
        <v>17</v>
      </c>
      <c r="D112" t="s">
        <v>18</v>
      </c>
      <c r="E112">
        <v>1200000</v>
      </c>
      <c r="G112" s="1" t="s">
        <v>145</v>
      </c>
      <c r="I112" t="s">
        <v>146</v>
      </c>
      <c r="L112" s="2">
        <v>43851</v>
      </c>
      <c r="M112" s="2">
        <v>43915</v>
      </c>
      <c r="N112" s="3">
        <v>43851.454409722224</v>
      </c>
      <c r="O112" t="s">
        <v>21</v>
      </c>
      <c r="P112" t="s">
        <v>25</v>
      </c>
    </row>
    <row r="113" spans="1:16" x14ac:dyDescent="0.25">
      <c r="A113" t="str">
        <f>HYPERLINK("https://www.grants.gov/view-opportunity.html?oppId=323716","RFA-FD-20-009")</f>
        <v>RFA-FD-20-009</v>
      </c>
      <c r="B113" t="s">
        <v>91</v>
      </c>
      <c r="C113" t="s">
        <v>17</v>
      </c>
      <c r="D113" t="s">
        <v>18</v>
      </c>
      <c r="E113">
        <v>4300000</v>
      </c>
      <c r="F113">
        <v>20</v>
      </c>
      <c r="G113" s="1" t="s">
        <v>19</v>
      </c>
      <c r="I113" t="s">
        <v>20</v>
      </c>
      <c r="L113" s="2">
        <v>43846</v>
      </c>
      <c r="M113" s="2">
        <v>43937</v>
      </c>
      <c r="N113" s="3">
        <v>43882.495381944442</v>
      </c>
      <c r="O113" t="s">
        <v>24</v>
      </c>
      <c r="P113" t="s">
        <v>25</v>
      </c>
    </row>
    <row r="114" spans="1:16" x14ac:dyDescent="0.25">
      <c r="A114" t="str">
        <f>HYPERLINK("https://www.grants.gov/view-opportunity.html?oppId=323641","RFA-FD-20-021")</f>
        <v>RFA-FD-20-021</v>
      </c>
      <c r="B114" t="s">
        <v>153</v>
      </c>
      <c r="C114" t="s">
        <v>17</v>
      </c>
      <c r="D114" t="s">
        <v>18</v>
      </c>
      <c r="E114">
        <v>12000000</v>
      </c>
      <c r="F114">
        <v>4</v>
      </c>
      <c r="G114" s="1" t="s">
        <v>110</v>
      </c>
      <c r="I114" t="s">
        <v>72</v>
      </c>
      <c r="L114" s="2">
        <v>43843</v>
      </c>
      <c r="M114" s="2">
        <v>43906</v>
      </c>
      <c r="N114" s="3">
        <v>43885.350277777776</v>
      </c>
      <c r="O114" t="s">
        <v>24</v>
      </c>
      <c r="P114" t="s">
        <v>25</v>
      </c>
    </row>
    <row r="115" spans="1:16" x14ac:dyDescent="0.25">
      <c r="A115" t="str">
        <f>HYPERLINK("https://www.grants.gov/view-opportunity.html?oppId=323570","RFA-FD-20-020")</f>
        <v>RFA-FD-20-020</v>
      </c>
      <c r="B115" t="s">
        <v>154</v>
      </c>
      <c r="C115" t="s">
        <v>17</v>
      </c>
      <c r="D115" t="s">
        <v>18</v>
      </c>
      <c r="E115">
        <v>600000</v>
      </c>
      <c r="F115">
        <v>1</v>
      </c>
      <c r="G115" s="1" t="s">
        <v>19</v>
      </c>
      <c r="I115" t="s">
        <v>20</v>
      </c>
      <c r="L115" s="2">
        <v>43840</v>
      </c>
      <c r="M115" s="2">
        <v>43921</v>
      </c>
      <c r="N115" s="3">
        <v>43896.495208333334</v>
      </c>
      <c r="O115" t="s">
        <v>24</v>
      </c>
      <c r="P115" t="s">
        <v>25</v>
      </c>
    </row>
    <row r="116" spans="1:16" x14ac:dyDescent="0.25">
      <c r="A116" t="str">
        <f>HYPERLINK("https://www.grants.gov/view-opportunity.html?oppId=323532","PAR-20-083")</f>
        <v>PAR-20-083</v>
      </c>
      <c r="B116" t="s">
        <v>155</v>
      </c>
      <c r="C116" t="s">
        <v>17</v>
      </c>
      <c r="D116" t="s">
        <v>18</v>
      </c>
      <c r="E116">
        <v>10000000</v>
      </c>
      <c r="F116">
        <v>2</v>
      </c>
      <c r="G116" s="1" t="s">
        <v>19</v>
      </c>
      <c r="I116" t="s">
        <v>20</v>
      </c>
      <c r="L116" s="2">
        <v>43838</v>
      </c>
      <c r="M116" s="2">
        <v>44655</v>
      </c>
      <c r="N116" s="3">
        <v>44280.445428240739</v>
      </c>
      <c r="O116" t="s">
        <v>28</v>
      </c>
      <c r="P116" t="s">
        <v>25</v>
      </c>
    </row>
    <row r="117" spans="1:16" x14ac:dyDescent="0.25">
      <c r="A117" t="str">
        <f>HYPERLINK("https://www.grants.gov/view-opportunity.html?oppId=323500","RFA-FD-20-007")</f>
        <v>RFA-FD-20-007</v>
      </c>
      <c r="B117" t="s">
        <v>156</v>
      </c>
      <c r="C117" t="s">
        <v>17</v>
      </c>
      <c r="D117" t="s">
        <v>18</v>
      </c>
      <c r="E117">
        <v>5000000</v>
      </c>
      <c r="F117">
        <v>1</v>
      </c>
      <c r="G117" s="1" t="s">
        <v>19</v>
      </c>
      <c r="I117" t="s">
        <v>20</v>
      </c>
      <c r="L117" s="2">
        <v>43837</v>
      </c>
      <c r="M117" s="2">
        <v>43964</v>
      </c>
      <c r="N117" s="3">
        <v>43901.599432870367</v>
      </c>
      <c r="O117" t="s">
        <v>24</v>
      </c>
      <c r="P117" t="s">
        <v>25</v>
      </c>
    </row>
    <row r="118" spans="1:16" x14ac:dyDescent="0.25">
      <c r="A118" t="str">
        <f>HYPERLINK("https://www.grants.gov/view-opportunity.html?oppId=323296","RFA-FD-20-017")</f>
        <v>RFA-FD-20-017</v>
      </c>
      <c r="B118" t="s">
        <v>157</v>
      </c>
      <c r="C118" t="s">
        <v>17</v>
      </c>
      <c r="D118" t="s">
        <v>18</v>
      </c>
      <c r="E118">
        <v>800000</v>
      </c>
      <c r="F118">
        <v>2</v>
      </c>
      <c r="G118" s="1" t="s">
        <v>19</v>
      </c>
      <c r="I118" t="s">
        <v>20</v>
      </c>
      <c r="L118" s="2">
        <v>43824</v>
      </c>
      <c r="M118" s="2">
        <v>43894</v>
      </c>
      <c r="N118" s="3">
        <v>43824.727372685185</v>
      </c>
      <c r="O118" t="s">
        <v>21</v>
      </c>
      <c r="P118" t="s">
        <v>25</v>
      </c>
    </row>
    <row r="119" spans="1:16" x14ac:dyDescent="0.25">
      <c r="A119" t="str">
        <f>HYPERLINK("https://www.grants.gov/view-opportunity.html?oppId=323191","RFA-FD-20-018")</f>
        <v>RFA-FD-20-018</v>
      </c>
      <c r="B119" t="s">
        <v>158</v>
      </c>
      <c r="C119" t="s">
        <v>17</v>
      </c>
      <c r="D119" t="s">
        <v>18</v>
      </c>
      <c r="E119">
        <v>400000</v>
      </c>
      <c r="F119">
        <v>5</v>
      </c>
      <c r="G119" s="1" t="s">
        <v>19</v>
      </c>
      <c r="I119" t="s">
        <v>20</v>
      </c>
      <c r="L119" s="2">
        <v>43819</v>
      </c>
      <c r="M119" s="2">
        <v>43888</v>
      </c>
      <c r="N119" s="3">
        <v>43819.432870370372</v>
      </c>
      <c r="O119" t="s">
        <v>21</v>
      </c>
      <c r="P119" t="s">
        <v>25</v>
      </c>
    </row>
    <row r="120" spans="1:16" x14ac:dyDescent="0.25">
      <c r="A120" t="str">
        <f>HYPERLINK("https://www.grants.gov/view-opportunity.html?oppId=323178","RFA-FD-20-019")</f>
        <v>RFA-FD-20-019</v>
      </c>
      <c r="B120" t="s">
        <v>159</v>
      </c>
      <c r="C120" t="s">
        <v>17</v>
      </c>
      <c r="D120" t="s">
        <v>18</v>
      </c>
      <c r="E120">
        <v>1000000</v>
      </c>
      <c r="F120">
        <v>5</v>
      </c>
      <c r="G120" s="1" t="s">
        <v>19</v>
      </c>
      <c r="I120" t="s">
        <v>20</v>
      </c>
      <c r="L120" s="2">
        <v>43818</v>
      </c>
      <c r="M120" s="2">
        <v>43888</v>
      </c>
      <c r="N120" s="3">
        <v>43818.451608796298</v>
      </c>
      <c r="O120" t="s">
        <v>21</v>
      </c>
      <c r="P120" t="s">
        <v>25</v>
      </c>
    </row>
    <row r="121" spans="1:16" x14ac:dyDescent="0.25">
      <c r="A121" t="str">
        <f>HYPERLINK("https://www.grants.gov/view-opportunity.html?oppId=322779","RFA-FD-20-004")</f>
        <v>RFA-FD-20-004</v>
      </c>
      <c r="B121" t="s">
        <v>160</v>
      </c>
      <c r="C121" t="s">
        <v>17</v>
      </c>
      <c r="D121" t="s">
        <v>18</v>
      </c>
      <c r="F121">
        <v>1</v>
      </c>
      <c r="G121" s="1" t="s">
        <v>110</v>
      </c>
      <c r="I121" t="s">
        <v>72</v>
      </c>
      <c r="L121" s="2">
        <v>43796</v>
      </c>
      <c r="M121" s="2">
        <v>43858</v>
      </c>
      <c r="N121" s="3">
        <v>43796.444062499999</v>
      </c>
      <c r="O121" t="s">
        <v>21</v>
      </c>
      <c r="P121" t="s">
        <v>25</v>
      </c>
    </row>
    <row r="122" spans="1:16" x14ac:dyDescent="0.25">
      <c r="A122" t="str">
        <f>HYPERLINK("https://www.grants.gov/view-opportunity.html?oppId=322780","RFA-FD-20-006")</f>
        <v>RFA-FD-20-006</v>
      </c>
      <c r="B122" t="s">
        <v>161</v>
      </c>
      <c r="C122" t="s">
        <v>17</v>
      </c>
      <c r="D122" t="s">
        <v>18</v>
      </c>
      <c r="F122">
        <v>1</v>
      </c>
      <c r="G122" s="1" t="s">
        <v>110</v>
      </c>
      <c r="I122" t="s">
        <v>72</v>
      </c>
      <c r="L122" s="2">
        <v>43796</v>
      </c>
      <c r="M122" s="2">
        <v>43858</v>
      </c>
      <c r="N122" s="3">
        <v>43796.448923611111</v>
      </c>
      <c r="O122" t="s">
        <v>21</v>
      </c>
      <c r="P122" t="s">
        <v>25</v>
      </c>
    </row>
    <row r="123" spans="1:16" x14ac:dyDescent="0.25">
      <c r="A123" t="str">
        <f>HYPERLINK("https://www.grants.gov/view-opportunity.html?oppId=322674","RFA-FD-20-005")</f>
        <v>RFA-FD-20-005</v>
      </c>
      <c r="B123" t="s">
        <v>162</v>
      </c>
      <c r="C123" t="s">
        <v>17</v>
      </c>
      <c r="D123" t="s">
        <v>18</v>
      </c>
      <c r="F123">
        <v>1</v>
      </c>
      <c r="G123" s="1" t="s">
        <v>19</v>
      </c>
      <c r="I123" t="s">
        <v>20</v>
      </c>
      <c r="L123" s="2">
        <v>43790</v>
      </c>
      <c r="M123" s="2">
        <v>43852</v>
      </c>
      <c r="N123" s="3">
        <v>43790.61482638889</v>
      </c>
      <c r="O123" t="s">
        <v>21</v>
      </c>
      <c r="P123" t="s">
        <v>25</v>
      </c>
    </row>
    <row r="124" spans="1:16" x14ac:dyDescent="0.25">
      <c r="A124" t="str">
        <f>HYPERLINK("https://www.grants.gov/view-opportunity.html?oppId=317917","PAR-19-306")</f>
        <v>PAR-19-306</v>
      </c>
      <c r="B124" t="s">
        <v>163</v>
      </c>
      <c r="C124" t="s">
        <v>17</v>
      </c>
      <c r="D124" t="s">
        <v>18</v>
      </c>
      <c r="G124" s="1" t="s">
        <v>110</v>
      </c>
      <c r="I124" t="s">
        <v>72</v>
      </c>
      <c r="L124" s="2">
        <v>43648</v>
      </c>
      <c r="M124" s="2">
        <v>44845</v>
      </c>
      <c r="N124" s="3">
        <v>43648.347245370373</v>
      </c>
      <c r="O124" t="s">
        <v>21</v>
      </c>
      <c r="P124" t="s">
        <v>25</v>
      </c>
    </row>
    <row r="125" spans="1:16" x14ac:dyDescent="0.25">
      <c r="A125" t="str">
        <f>HYPERLINK("https://www.grants.gov/view-opportunity.html?oppId=316894","RFA-FD-19-028")</f>
        <v>RFA-FD-19-028</v>
      </c>
      <c r="B125" t="s">
        <v>164</v>
      </c>
      <c r="C125" t="s">
        <v>17</v>
      </c>
      <c r="D125" t="s">
        <v>18</v>
      </c>
      <c r="E125">
        <v>7000000</v>
      </c>
      <c r="F125">
        <v>30</v>
      </c>
      <c r="G125" s="1" t="s">
        <v>165</v>
      </c>
      <c r="I125" t="s">
        <v>20</v>
      </c>
      <c r="L125" s="2">
        <v>43626</v>
      </c>
      <c r="M125" s="2">
        <v>43682</v>
      </c>
      <c r="N125" s="3">
        <v>43626.327893518515</v>
      </c>
      <c r="O125" t="s">
        <v>21</v>
      </c>
      <c r="P125" t="s">
        <v>25</v>
      </c>
    </row>
    <row r="126" spans="1:16" x14ac:dyDescent="0.25">
      <c r="A126" t="str">
        <f>HYPERLINK("https://www.grants.gov/view-opportunity.html?oppId=316719","RFA-FD-19-029")</f>
        <v>RFA-FD-19-029</v>
      </c>
      <c r="B126" t="s">
        <v>166</v>
      </c>
      <c r="C126" t="s">
        <v>17</v>
      </c>
      <c r="D126" t="s">
        <v>18</v>
      </c>
      <c r="E126">
        <v>300000</v>
      </c>
      <c r="F126">
        <v>1</v>
      </c>
      <c r="G126" s="1" t="s">
        <v>19</v>
      </c>
      <c r="I126" t="s">
        <v>20</v>
      </c>
      <c r="L126" s="2">
        <v>43620</v>
      </c>
      <c r="M126" s="2">
        <v>43682</v>
      </c>
      <c r="N126" s="3">
        <v>43663.560613425929</v>
      </c>
      <c r="O126" t="s">
        <v>24</v>
      </c>
      <c r="P126" t="s">
        <v>25</v>
      </c>
    </row>
    <row r="127" spans="1:16" x14ac:dyDescent="0.25">
      <c r="A127" t="str">
        <f>HYPERLINK("https://www.grants.gov/view-opportunity.html?oppId=316604","RFA-FD-20-002")</f>
        <v>RFA-FD-20-002</v>
      </c>
      <c r="B127" t="s">
        <v>167</v>
      </c>
      <c r="C127" t="s">
        <v>17</v>
      </c>
      <c r="D127" t="s">
        <v>18</v>
      </c>
      <c r="E127">
        <v>7400000</v>
      </c>
      <c r="F127">
        <v>1</v>
      </c>
      <c r="G127" s="1" t="s">
        <v>62</v>
      </c>
      <c r="I127" t="s">
        <v>51</v>
      </c>
      <c r="L127" s="2">
        <v>43616</v>
      </c>
      <c r="M127" s="2">
        <v>43719</v>
      </c>
      <c r="N127" s="3">
        <v>43616.453136574077</v>
      </c>
      <c r="O127" t="s">
        <v>24</v>
      </c>
      <c r="P127" t="s">
        <v>25</v>
      </c>
    </row>
    <row r="128" spans="1:16" x14ac:dyDescent="0.25">
      <c r="A128" t="str">
        <f>HYPERLINK("https://www.grants.gov/view-opportunity.html?oppId=316483","RFA-FD-19-027")</f>
        <v>RFA-FD-19-027</v>
      </c>
      <c r="B128" t="s">
        <v>168</v>
      </c>
      <c r="C128" t="s">
        <v>17</v>
      </c>
      <c r="D128" t="s">
        <v>18</v>
      </c>
      <c r="E128">
        <v>20000000</v>
      </c>
      <c r="F128">
        <v>1</v>
      </c>
      <c r="G128" s="1" t="s">
        <v>19</v>
      </c>
      <c r="I128" t="s">
        <v>20</v>
      </c>
      <c r="L128" s="2">
        <v>43614</v>
      </c>
      <c r="M128" s="2">
        <v>43675</v>
      </c>
      <c r="N128" s="3">
        <v>43614.434363425928</v>
      </c>
      <c r="O128" t="s">
        <v>21</v>
      </c>
      <c r="P128" t="s">
        <v>25</v>
      </c>
    </row>
    <row r="129" spans="1:16" x14ac:dyDescent="0.25">
      <c r="A129" t="str">
        <f>HYPERLINK("https://www.grants.gov/view-opportunity.html?oppId=316503","RFA-FD-19-022")</f>
        <v>RFA-FD-19-022</v>
      </c>
      <c r="B129" t="s">
        <v>169</v>
      </c>
      <c r="C129" t="s">
        <v>17</v>
      </c>
      <c r="D129" t="s">
        <v>18</v>
      </c>
      <c r="E129">
        <v>2750000</v>
      </c>
      <c r="F129">
        <v>1</v>
      </c>
      <c r="G129" s="1" t="s">
        <v>19</v>
      </c>
      <c r="I129" t="s">
        <v>20</v>
      </c>
      <c r="L129" s="2">
        <v>43614</v>
      </c>
      <c r="M129" s="2">
        <v>43677</v>
      </c>
      <c r="N129" s="3">
        <v>43676.446875000001</v>
      </c>
      <c r="O129" t="s">
        <v>24</v>
      </c>
      <c r="P129" t="s">
        <v>25</v>
      </c>
    </row>
    <row r="130" spans="1:16" x14ac:dyDescent="0.25">
      <c r="A130" t="str">
        <f>HYPERLINK("https://www.grants.gov/view-opportunity.html?oppId=316037","RFA-FD-19-025")</f>
        <v>RFA-FD-19-025</v>
      </c>
      <c r="B130" t="s">
        <v>170</v>
      </c>
      <c r="C130" t="s">
        <v>17</v>
      </c>
      <c r="D130" t="s">
        <v>18</v>
      </c>
      <c r="E130">
        <v>1600000</v>
      </c>
      <c r="F130">
        <v>1</v>
      </c>
      <c r="G130" s="1" t="s">
        <v>19</v>
      </c>
      <c r="I130" t="s">
        <v>20</v>
      </c>
      <c r="L130" s="2">
        <v>43601</v>
      </c>
      <c r="M130" s="2">
        <v>43663</v>
      </c>
      <c r="N130" s="3">
        <v>43601.502962962964</v>
      </c>
      <c r="O130" t="s">
        <v>36</v>
      </c>
      <c r="P130" t="s">
        <v>25</v>
      </c>
    </row>
    <row r="131" spans="1:16" x14ac:dyDescent="0.25">
      <c r="A131" t="str">
        <f>HYPERLINK("https://www.grants.gov/view-opportunity.html?oppId=315776","RFA-FD-19-026")</f>
        <v>RFA-FD-19-026</v>
      </c>
      <c r="B131" t="s">
        <v>171</v>
      </c>
      <c r="C131" t="s">
        <v>17</v>
      </c>
      <c r="D131" t="s">
        <v>18</v>
      </c>
      <c r="E131">
        <v>1000000</v>
      </c>
      <c r="F131">
        <v>1</v>
      </c>
      <c r="G131" s="1" t="s">
        <v>19</v>
      </c>
      <c r="I131" t="s">
        <v>20</v>
      </c>
      <c r="L131" s="2">
        <v>43594</v>
      </c>
      <c r="M131" s="2">
        <v>43656</v>
      </c>
      <c r="N131" s="3">
        <v>43594.62232638889</v>
      </c>
      <c r="O131" t="s">
        <v>24</v>
      </c>
      <c r="P131" t="s">
        <v>25</v>
      </c>
    </row>
    <row r="132" spans="1:16" x14ac:dyDescent="0.25">
      <c r="A132" t="str">
        <f>HYPERLINK("https://www.grants.gov/view-opportunity.html?oppId=315593","RFA-FD-19-023")</f>
        <v>RFA-FD-19-023</v>
      </c>
      <c r="B132" t="s">
        <v>172</v>
      </c>
      <c r="C132" t="s">
        <v>17</v>
      </c>
      <c r="D132" t="s">
        <v>18</v>
      </c>
      <c r="E132">
        <v>1500000</v>
      </c>
      <c r="F132">
        <v>1</v>
      </c>
      <c r="G132" s="1" t="s">
        <v>145</v>
      </c>
      <c r="I132" t="s">
        <v>146</v>
      </c>
      <c r="L132" s="2">
        <v>43588</v>
      </c>
      <c r="M132" s="2">
        <v>43663</v>
      </c>
      <c r="N132" s="3">
        <v>43647.375011574077</v>
      </c>
      <c r="O132" t="s">
        <v>24</v>
      </c>
      <c r="P132" t="s">
        <v>25</v>
      </c>
    </row>
    <row r="133" spans="1:16" x14ac:dyDescent="0.25">
      <c r="A133" t="str">
        <f>HYPERLINK("https://www.grants.gov/view-opportunity.html?oppId=315149","RFA-FD-19-016")</f>
        <v>RFA-FD-19-016</v>
      </c>
      <c r="B133" t="s">
        <v>173</v>
      </c>
      <c r="C133" t="s">
        <v>17</v>
      </c>
      <c r="D133" t="s">
        <v>18</v>
      </c>
      <c r="F133">
        <v>1</v>
      </c>
      <c r="G133" s="1" t="s">
        <v>19</v>
      </c>
      <c r="I133" t="s">
        <v>20</v>
      </c>
      <c r="L133" s="2">
        <v>43578</v>
      </c>
      <c r="M133" s="2">
        <v>43641</v>
      </c>
      <c r="N133" s="3">
        <v>43578.562071759261</v>
      </c>
      <c r="O133" t="s">
        <v>21</v>
      </c>
      <c r="P133" t="s">
        <v>25</v>
      </c>
    </row>
    <row r="134" spans="1:16" x14ac:dyDescent="0.25">
      <c r="A134" t="str">
        <f>HYPERLINK("https://www.grants.gov/view-opportunity.html?oppId=314738","RFA-FD-19-013")</f>
        <v>RFA-FD-19-013</v>
      </c>
      <c r="B134" t="s">
        <v>174</v>
      </c>
      <c r="C134" t="s">
        <v>17</v>
      </c>
      <c r="D134" t="s">
        <v>18</v>
      </c>
      <c r="E134">
        <v>3500000</v>
      </c>
      <c r="F134">
        <v>1</v>
      </c>
      <c r="G134" s="1" t="s">
        <v>19</v>
      </c>
      <c r="I134" t="s">
        <v>20</v>
      </c>
      <c r="L134" s="2">
        <v>43564</v>
      </c>
      <c r="M134" s="2">
        <v>43627</v>
      </c>
      <c r="N134" s="3">
        <v>43564.579965277779</v>
      </c>
      <c r="O134" t="s">
        <v>36</v>
      </c>
      <c r="P134" t="s">
        <v>25</v>
      </c>
    </row>
    <row r="135" spans="1:16" x14ac:dyDescent="0.25">
      <c r="A135" t="str">
        <f>HYPERLINK("https://www.grants.gov/view-opportunity.html?oppId=314427","RFA-FD-19-015")</f>
        <v>RFA-FD-19-015</v>
      </c>
      <c r="B135" t="s">
        <v>175</v>
      </c>
      <c r="C135" t="s">
        <v>17</v>
      </c>
      <c r="D135" t="s">
        <v>18</v>
      </c>
      <c r="E135">
        <v>37500000</v>
      </c>
      <c r="F135">
        <v>1</v>
      </c>
      <c r="G135" s="1" t="s">
        <v>19</v>
      </c>
      <c r="I135" t="s">
        <v>20</v>
      </c>
      <c r="L135" s="2">
        <v>43556</v>
      </c>
      <c r="M135" s="2">
        <v>43619</v>
      </c>
      <c r="N135" s="3">
        <v>43556.598622685182</v>
      </c>
      <c r="O135" t="s">
        <v>24</v>
      </c>
      <c r="P135" t="s">
        <v>25</v>
      </c>
    </row>
    <row r="136" spans="1:16" x14ac:dyDescent="0.25">
      <c r="A136" t="str">
        <f>HYPERLINK("https://www.grants.gov/view-opportunity.html?oppId=314420","RFA-FD-19-024")</f>
        <v>RFA-FD-19-024</v>
      </c>
      <c r="B136" t="s">
        <v>176</v>
      </c>
      <c r="C136" t="s">
        <v>17</v>
      </c>
      <c r="D136" t="s">
        <v>18</v>
      </c>
      <c r="E136">
        <v>1500000</v>
      </c>
      <c r="G136" s="1" t="s">
        <v>177</v>
      </c>
      <c r="I136" t="s">
        <v>51</v>
      </c>
      <c r="L136" s="2">
        <v>43556</v>
      </c>
      <c r="M136" s="2">
        <v>43619</v>
      </c>
      <c r="N136" s="3">
        <v>43560.421585648146</v>
      </c>
      <c r="O136" t="s">
        <v>178</v>
      </c>
      <c r="P136" t="s">
        <v>25</v>
      </c>
    </row>
    <row r="137" spans="1:16" x14ac:dyDescent="0.25">
      <c r="A137" t="str">
        <f>HYPERLINK("https://www.grants.gov/view-opportunity.html?oppId=314297","RFA-FD-19-019")</f>
        <v>RFA-FD-19-019</v>
      </c>
      <c r="B137" t="s">
        <v>179</v>
      </c>
      <c r="C137" t="s">
        <v>17</v>
      </c>
      <c r="D137" t="s">
        <v>18</v>
      </c>
      <c r="E137">
        <v>750000</v>
      </c>
      <c r="F137">
        <v>1</v>
      </c>
      <c r="G137" s="1" t="s">
        <v>110</v>
      </c>
      <c r="I137" t="s">
        <v>72</v>
      </c>
      <c r="L137" s="2">
        <v>43551</v>
      </c>
      <c r="M137" s="2">
        <v>43613</v>
      </c>
      <c r="N137" s="3">
        <v>43551.545451388891</v>
      </c>
      <c r="O137" t="s">
        <v>21</v>
      </c>
      <c r="P137" t="s">
        <v>25</v>
      </c>
    </row>
    <row r="138" spans="1:16" x14ac:dyDescent="0.25">
      <c r="A138" t="str">
        <f>HYPERLINK("https://www.grants.gov/view-opportunity.html?oppId=313999","RFA-FD-19-018")</f>
        <v>RFA-FD-19-018</v>
      </c>
      <c r="B138" t="s">
        <v>180</v>
      </c>
      <c r="C138" t="s">
        <v>17</v>
      </c>
      <c r="D138" t="s">
        <v>18</v>
      </c>
      <c r="E138">
        <v>6700000</v>
      </c>
      <c r="F138">
        <v>38</v>
      </c>
      <c r="G138" s="1" t="s">
        <v>110</v>
      </c>
      <c r="I138" t="s">
        <v>72</v>
      </c>
      <c r="L138" s="2">
        <v>43543</v>
      </c>
      <c r="M138" s="2">
        <v>43606</v>
      </c>
      <c r="N138" s="3">
        <v>43543.393969907411</v>
      </c>
      <c r="O138" t="s">
        <v>21</v>
      </c>
      <c r="P138" t="s">
        <v>25</v>
      </c>
    </row>
    <row r="139" spans="1:16" x14ac:dyDescent="0.25">
      <c r="A139" t="str">
        <f>HYPERLINK("https://www.grants.gov/view-opportunity.html?oppId=313972","RFA-FD-19-021")</f>
        <v>RFA-FD-19-021</v>
      </c>
      <c r="B139" t="s">
        <v>181</v>
      </c>
      <c r="C139" t="s">
        <v>17</v>
      </c>
      <c r="D139" t="s">
        <v>18</v>
      </c>
      <c r="E139">
        <v>2100000</v>
      </c>
      <c r="F139">
        <v>20</v>
      </c>
      <c r="G139" s="1" t="s">
        <v>182</v>
      </c>
      <c r="I139" t="s">
        <v>44</v>
      </c>
      <c r="L139" s="2">
        <v>43542</v>
      </c>
      <c r="M139" s="2">
        <v>43605</v>
      </c>
      <c r="N139" s="3">
        <v>43542.587708333333</v>
      </c>
      <c r="O139" t="s">
        <v>21</v>
      </c>
      <c r="P139" t="s">
        <v>25</v>
      </c>
    </row>
    <row r="140" spans="1:16" x14ac:dyDescent="0.25">
      <c r="A140" t="str">
        <f>HYPERLINK("https://www.grants.gov/view-opportunity.html?oppId=313741","PAR-19-216")</f>
        <v>PAR-19-216</v>
      </c>
      <c r="B140" t="s">
        <v>183</v>
      </c>
      <c r="C140" t="s">
        <v>17</v>
      </c>
      <c r="D140" t="s">
        <v>18</v>
      </c>
      <c r="E140">
        <v>6000000</v>
      </c>
      <c r="F140">
        <v>2</v>
      </c>
      <c r="G140" s="1" t="s">
        <v>19</v>
      </c>
      <c r="I140" t="s">
        <v>20</v>
      </c>
      <c r="L140" s="2">
        <v>43537</v>
      </c>
      <c r="M140" s="2">
        <v>44291</v>
      </c>
      <c r="N140" s="3">
        <v>43901.602905092594</v>
      </c>
      <c r="O140" t="s">
        <v>28</v>
      </c>
      <c r="P140" t="s">
        <v>25</v>
      </c>
    </row>
    <row r="141" spans="1:16" x14ac:dyDescent="0.25">
      <c r="A141" t="str">
        <f>HYPERLINK("https://www.grants.gov/view-opportunity.html?oppId=313256","RFA-FD-19-004")</f>
        <v>RFA-FD-19-004</v>
      </c>
      <c r="B141" t="s">
        <v>184</v>
      </c>
      <c r="C141" t="s">
        <v>17</v>
      </c>
      <c r="D141" t="s">
        <v>18</v>
      </c>
      <c r="E141">
        <v>3000000</v>
      </c>
      <c r="F141">
        <v>3</v>
      </c>
      <c r="G141" s="1" t="s">
        <v>145</v>
      </c>
      <c r="I141" t="s">
        <v>146</v>
      </c>
      <c r="L141" s="2">
        <v>43522</v>
      </c>
      <c r="M141" s="2">
        <v>43585</v>
      </c>
      <c r="N141" s="3">
        <v>43523.557951388888</v>
      </c>
      <c r="O141" t="s">
        <v>24</v>
      </c>
      <c r="P141" t="s">
        <v>25</v>
      </c>
    </row>
    <row r="142" spans="1:16" x14ac:dyDescent="0.25">
      <c r="A142" t="str">
        <f>HYPERLINK("https://www.grants.gov/view-opportunity.html?oppId=313207","PAR-19-190")</f>
        <v>PAR-19-190</v>
      </c>
      <c r="B142" t="s">
        <v>185</v>
      </c>
      <c r="C142" t="s">
        <v>17</v>
      </c>
      <c r="D142" t="s">
        <v>18</v>
      </c>
      <c r="E142">
        <v>4500000</v>
      </c>
      <c r="F142">
        <v>2</v>
      </c>
      <c r="G142" s="1" t="s">
        <v>19</v>
      </c>
      <c r="I142" t="s">
        <v>20</v>
      </c>
      <c r="L142" s="2">
        <v>43522</v>
      </c>
      <c r="M142" s="2">
        <v>44291</v>
      </c>
      <c r="N142" s="3">
        <v>43901.6015162037</v>
      </c>
      <c r="O142" t="s">
        <v>28</v>
      </c>
      <c r="P142" t="s">
        <v>25</v>
      </c>
    </row>
    <row r="143" spans="1:16" x14ac:dyDescent="0.25">
      <c r="A143" t="str">
        <f>HYPERLINK("https://www.grants.gov/view-opportunity.html?oppId=313091","RFA-FD-19-006")</f>
        <v>RFA-FD-19-006</v>
      </c>
      <c r="B143" t="s">
        <v>137</v>
      </c>
      <c r="C143" t="s">
        <v>17</v>
      </c>
      <c r="D143" t="s">
        <v>18</v>
      </c>
      <c r="E143">
        <v>4200000</v>
      </c>
      <c r="F143">
        <v>3</v>
      </c>
      <c r="G143" s="1" t="s">
        <v>67</v>
      </c>
      <c r="I143" t="s">
        <v>33</v>
      </c>
      <c r="L143" s="2">
        <v>43516</v>
      </c>
      <c r="M143" s="2">
        <v>43616</v>
      </c>
      <c r="N143" s="3">
        <v>43516.425925925927</v>
      </c>
      <c r="O143" t="s">
        <v>21</v>
      </c>
      <c r="P143" t="s">
        <v>25</v>
      </c>
    </row>
    <row r="144" spans="1:16" x14ac:dyDescent="0.25">
      <c r="A144" t="str">
        <f>HYPERLINK("https://www.grants.gov/view-opportunity.html?oppId=312902","RFA-FD-19-003")</f>
        <v>RFA-FD-19-003</v>
      </c>
      <c r="B144" t="s">
        <v>186</v>
      </c>
      <c r="C144" t="s">
        <v>17</v>
      </c>
      <c r="D144" t="s">
        <v>18</v>
      </c>
      <c r="F144">
        <v>1</v>
      </c>
      <c r="G144" s="1" t="s">
        <v>110</v>
      </c>
      <c r="I144" t="s">
        <v>72</v>
      </c>
      <c r="L144" s="2">
        <v>43509</v>
      </c>
      <c r="M144" s="2">
        <v>43577</v>
      </c>
      <c r="N144" s="3">
        <v>43509.46056712963</v>
      </c>
      <c r="O144" t="s">
        <v>24</v>
      </c>
      <c r="P144" t="s">
        <v>25</v>
      </c>
    </row>
    <row r="145" spans="1:16" x14ac:dyDescent="0.25">
      <c r="A145" t="str">
        <f>HYPERLINK("https://www.grants.gov/view-opportunity.html?oppId=312912","RFA-FD-19-011")</f>
        <v>RFA-FD-19-011</v>
      </c>
      <c r="B145" t="s">
        <v>187</v>
      </c>
      <c r="C145" t="s">
        <v>17</v>
      </c>
      <c r="D145" t="s">
        <v>18</v>
      </c>
      <c r="E145">
        <v>6000000</v>
      </c>
      <c r="F145">
        <v>2</v>
      </c>
      <c r="G145" s="1" t="s">
        <v>19</v>
      </c>
      <c r="I145" t="s">
        <v>20</v>
      </c>
      <c r="L145" s="2">
        <v>43509</v>
      </c>
      <c r="M145" s="2">
        <v>43577</v>
      </c>
      <c r="N145" s="3">
        <v>43509.620983796296</v>
      </c>
      <c r="O145" t="s">
        <v>21</v>
      </c>
      <c r="P145" t="s">
        <v>25</v>
      </c>
    </row>
    <row r="146" spans="1:16" x14ac:dyDescent="0.25">
      <c r="A146" t="str">
        <f>HYPERLINK("https://www.grants.gov/view-opportunity.html?oppId=312819","RFA-FD-19-010")</f>
        <v>RFA-FD-19-010</v>
      </c>
      <c r="B146" t="s">
        <v>188</v>
      </c>
      <c r="C146" t="s">
        <v>17</v>
      </c>
      <c r="D146" t="s">
        <v>18</v>
      </c>
      <c r="F146">
        <v>1</v>
      </c>
      <c r="G146" s="1" t="s">
        <v>32</v>
      </c>
      <c r="I146" t="s">
        <v>20</v>
      </c>
      <c r="L146" s="2">
        <v>43507</v>
      </c>
      <c r="M146" s="2">
        <v>43566</v>
      </c>
      <c r="N146" s="3">
        <v>43507.504988425928</v>
      </c>
      <c r="O146" t="s">
        <v>21</v>
      </c>
      <c r="P146" t="s">
        <v>25</v>
      </c>
    </row>
    <row r="147" spans="1:16" x14ac:dyDescent="0.25">
      <c r="A147" t="str">
        <f>HYPERLINK("https://www.grants.gov/view-opportunity.html?oppId=312818","RFA-FD-19-009")</f>
        <v>RFA-FD-19-009</v>
      </c>
      <c r="B147" t="s">
        <v>189</v>
      </c>
      <c r="C147" t="s">
        <v>17</v>
      </c>
      <c r="D147" t="s">
        <v>18</v>
      </c>
      <c r="F147">
        <v>1</v>
      </c>
      <c r="G147" s="1" t="s">
        <v>19</v>
      </c>
      <c r="I147" t="s">
        <v>20</v>
      </c>
      <c r="L147" s="2">
        <v>43507</v>
      </c>
      <c r="M147" s="2">
        <v>43566</v>
      </c>
      <c r="N147" s="3">
        <v>43507.495266203703</v>
      </c>
      <c r="O147" t="s">
        <v>21</v>
      </c>
      <c r="P147" t="s">
        <v>25</v>
      </c>
    </row>
    <row r="148" spans="1:16" x14ac:dyDescent="0.25">
      <c r="A148" t="str">
        <f>HYPERLINK("https://www.grants.gov/view-opportunity.html?oppId=312719","RFA-FD-19-008")</f>
        <v>RFA-FD-19-008</v>
      </c>
      <c r="B148" t="s">
        <v>190</v>
      </c>
      <c r="C148" t="s">
        <v>17</v>
      </c>
      <c r="D148" t="s">
        <v>18</v>
      </c>
      <c r="F148">
        <v>1</v>
      </c>
      <c r="G148" s="1" t="s">
        <v>19</v>
      </c>
      <c r="I148" t="s">
        <v>20</v>
      </c>
      <c r="L148" s="2">
        <v>43503</v>
      </c>
      <c r="M148" s="2">
        <v>43566</v>
      </c>
      <c r="N148" s="3">
        <v>43503.477164351854</v>
      </c>
      <c r="O148" t="s">
        <v>21</v>
      </c>
      <c r="P148" t="s">
        <v>25</v>
      </c>
    </row>
    <row r="149" spans="1:16" x14ac:dyDescent="0.25">
      <c r="A149" t="str">
        <f>HYPERLINK("https://www.grants.gov/view-opportunity.html?oppId=312679","RFA-FD-19-014")</f>
        <v>RFA-FD-19-014</v>
      </c>
      <c r="B149" t="s">
        <v>191</v>
      </c>
      <c r="C149" t="s">
        <v>17</v>
      </c>
      <c r="D149" t="s">
        <v>18</v>
      </c>
      <c r="E149">
        <v>1000000</v>
      </c>
      <c r="F149">
        <v>1</v>
      </c>
      <c r="G149" s="1" t="s">
        <v>19</v>
      </c>
      <c r="I149" t="s">
        <v>20</v>
      </c>
      <c r="L149" s="2">
        <v>43502</v>
      </c>
      <c r="M149" s="2">
        <v>43559</v>
      </c>
      <c r="N149" s="3">
        <v>43502.457708333335</v>
      </c>
      <c r="O149" t="s">
        <v>21</v>
      </c>
      <c r="P149" t="s">
        <v>25</v>
      </c>
    </row>
    <row r="150" spans="1:16" x14ac:dyDescent="0.25">
      <c r="A150" t="str">
        <f>HYPERLINK("https://www.grants.gov/view-opportunity.html?oppId=312503","RFA-FD-19-002")</f>
        <v>RFA-FD-19-002</v>
      </c>
      <c r="B150" t="s">
        <v>192</v>
      </c>
      <c r="C150" t="s">
        <v>17</v>
      </c>
      <c r="D150" t="s">
        <v>18</v>
      </c>
      <c r="E150">
        <v>1500000</v>
      </c>
      <c r="F150">
        <v>1</v>
      </c>
      <c r="G150" s="1" t="s">
        <v>19</v>
      </c>
      <c r="I150" t="s">
        <v>20</v>
      </c>
      <c r="L150" s="2">
        <v>43496</v>
      </c>
      <c r="M150" s="2">
        <v>43559</v>
      </c>
      <c r="N150" s="3">
        <v>43496.307997685188</v>
      </c>
      <c r="O150" t="s">
        <v>24</v>
      </c>
      <c r="P150" t="s">
        <v>25</v>
      </c>
    </row>
    <row r="151" spans="1:16" x14ac:dyDescent="0.25">
      <c r="A151" t="str">
        <f>HYPERLINK("https://www.grants.gov/view-opportunity.html?oppId=309783","RFA-FD-20-001")</f>
        <v>RFA-FD-20-001</v>
      </c>
      <c r="B151" t="s">
        <v>193</v>
      </c>
      <c r="C151" t="s">
        <v>17</v>
      </c>
      <c r="D151" t="s">
        <v>18</v>
      </c>
      <c r="F151">
        <v>15</v>
      </c>
      <c r="G151" s="1" t="s">
        <v>145</v>
      </c>
      <c r="I151" t="s">
        <v>146</v>
      </c>
      <c r="L151" s="2">
        <v>43396</v>
      </c>
      <c r="M151" s="2">
        <v>43641</v>
      </c>
      <c r="N151" s="3">
        <v>43643.720451388886</v>
      </c>
      <c r="O151" t="s">
        <v>36</v>
      </c>
      <c r="P151" t="s">
        <v>25</v>
      </c>
    </row>
    <row r="152" spans="1:16" x14ac:dyDescent="0.25">
      <c r="A152" t="str">
        <f>HYPERLINK("https://www.grants.gov/view-opportunity.html?oppId=309556","RFA-FD-19-001")</f>
        <v>RFA-FD-19-001</v>
      </c>
      <c r="B152" t="s">
        <v>194</v>
      </c>
      <c r="C152" t="s">
        <v>17</v>
      </c>
      <c r="D152" t="s">
        <v>18</v>
      </c>
      <c r="F152">
        <v>5</v>
      </c>
      <c r="G152" s="1" t="s">
        <v>145</v>
      </c>
      <c r="I152" t="s">
        <v>146</v>
      </c>
      <c r="L152" s="2">
        <v>43385</v>
      </c>
      <c r="M152" s="2">
        <v>43475</v>
      </c>
      <c r="N152" s="3">
        <v>43388.375868055555</v>
      </c>
      <c r="O152" t="s">
        <v>36</v>
      </c>
      <c r="P152" t="s">
        <v>25</v>
      </c>
    </row>
    <row r="153" spans="1:16" x14ac:dyDescent="0.25">
      <c r="A153" t="str">
        <f>HYPERLINK("https://www.grants.gov/view-opportunity.html?oppId=309473","PAR-19-017")</f>
        <v>PAR-19-017</v>
      </c>
      <c r="B153" t="s">
        <v>195</v>
      </c>
      <c r="C153" t="s">
        <v>17</v>
      </c>
      <c r="D153" t="s">
        <v>18</v>
      </c>
      <c r="E153">
        <v>2000000</v>
      </c>
      <c r="F153">
        <v>5</v>
      </c>
      <c r="G153" s="1" t="s">
        <v>145</v>
      </c>
      <c r="I153" t="s">
        <v>146</v>
      </c>
      <c r="L153" s="2">
        <v>43382</v>
      </c>
      <c r="M153" s="2">
        <v>43892</v>
      </c>
      <c r="N153" s="3">
        <v>43382.46329861111</v>
      </c>
      <c r="O153" t="s">
        <v>21</v>
      </c>
      <c r="P153" t="s">
        <v>25</v>
      </c>
    </row>
    <row r="154" spans="1:16" x14ac:dyDescent="0.25">
      <c r="A154" t="str">
        <f>HYPERLINK("https://www.grants.gov/view-opportunity.html?oppId=307742","RFI-NOT-FD-18-014")</f>
        <v>RFI-NOT-FD-18-014</v>
      </c>
      <c r="B154" t="s">
        <v>196</v>
      </c>
      <c r="C154" t="s">
        <v>17</v>
      </c>
      <c r="D154" t="s">
        <v>18</v>
      </c>
      <c r="F154">
        <v>1</v>
      </c>
      <c r="G154" s="1" t="s">
        <v>19</v>
      </c>
      <c r="I154" t="s">
        <v>20</v>
      </c>
      <c r="L154" s="2">
        <v>43312</v>
      </c>
      <c r="M154" s="2">
        <v>43388</v>
      </c>
      <c r="N154" s="3">
        <v>43312.368414351855</v>
      </c>
      <c r="O154" t="s">
        <v>21</v>
      </c>
      <c r="P154" t="s">
        <v>25</v>
      </c>
    </row>
    <row r="155" spans="1:16" x14ac:dyDescent="0.25">
      <c r="A155" t="str">
        <f>HYPERLINK("https://www.grants.gov/view-opportunity.html?oppId=306175","PAR-18-827")</f>
        <v>PAR-18-827</v>
      </c>
      <c r="B155" t="s">
        <v>197</v>
      </c>
      <c r="C155" t="s">
        <v>17</v>
      </c>
      <c r="D155" t="s">
        <v>18</v>
      </c>
      <c r="E155">
        <v>500000</v>
      </c>
      <c r="F155">
        <v>10</v>
      </c>
      <c r="G155" s="1" t="s">
        <v>198</v>
      </c>
      <c r="I155" t="s">
        <v>51</v>
      </c>
      <c r="L155" s="2">
        <v>43263</v>
      </c>
      <c r="M155" s="2">
        <v>44212</v>
      </c>
      <c r="N155" s="3">
        <v>43509.46334490741</v>
      </c>
      <c r="O155" t="s">
        <v>24</v>
      </c>
      <c r="P155" t="s">
        <v>25</v>
      </c>
    </row>
    <row r="156" spans="1:16" x14ac:dyDescent="0.25">
      <c r="A156" t="str">
        <f>HYPERLINK("https://www.grants.gov/view-opportunity.html?oppId=305539","RFA-FD-18-018")</f>
        <v>RFA-FD-18-018</v>
      </c>
      <c r="B156" t="s">
        <v>199</v>
      </c>
      <c r="C156" t="s">
        <v>17</v>
      </c>
      <c r="D156" t="s">
        <v>18</v>
      </c>
      <c r="F156">
        <v>2</v>
      </c>
      <c r="G156" s="1" t="s">
        <v>19</v>
      </c>
      <c r="I156" t="s">
        <v>20</v>
      </c>
      <c r="L156" s="2">
        <v>43243</v>
      </c>
      <c r="M156" s="2">
        <v>43271</v>
      </c>
      <c r="N156" s="3">
        <v>43243.489849537036</v>
      </c>
      <c r="O156" t="s">
        <v>21</v>
      </c>
      <c r="P156" t="s">
        <v>25</v>
      </c>
    </row>
    <row r="157" spans="1:16" x14ac:dyDescent="0.25">
      <c r="A157" t="str">
        <f>HYPERLINK("https://www.grants.gov/view-opportunity.html?oppId=305315","RFA-FD-18-025")</f>
        <v>RFA-FD-18-025</v>
      </c>
      <c r="B157" t="s">
        <v>200</v>
      </c>
      <c r="C157" t="s">
        <v>17</v>
      </c>
      <c r="D157" t="s">
        <v>18</v>
      </c>
      <c r="E157">
        <v>4000000</v>
      </c>
      <c r="F157">
        <v>1</v>
      </c>
      <c r="G157" s="1" t="s">
        <v>19</v>
      </c>
      <c r="I157" t="s">
        <v>20</v>
      </c>
      <c r="L157" s="2">
        <v>43237</v>
      </c>
      <c r="M157" s="2">
        <v>43299</v>
      </c>
      <c r="N157" s="3">
        <v>43237.657141203701</v>
      </c>
      <c r="O157" t="s">
        <v>36</v>
      </c>
      <c r="P157" t="s">
        <v>25</v>
      </c>
    </row>
    <row r="158" spans="1:16" x14ac:dyDescent="0.25">
      <c r="A158" t="str">
        <f>HYPERLINK("https://www.grants.gov/view-opportunity.html?oppId=304191","RFA-FD-18-022")</f>
        <v>RFA-FD-18-022</v>
      </c>
      <c r="B158" t="s">
        <v>201</v>
      </c>
      <c r="C158" t="s">
        <v>17</v>
      </c>
      <c r="D158" t="s">
        <v>18</v>
      </c>
      <c r="E158">
        <v>4500000</v>
      </c>
      <c r="F158">
        <v>1</v>
      </c>
      <c r="G158" s="1" t="s">
        <v>19</v>
      </c>
      <c r="I158" t="s">
        <v>20</v>
      </c>
      <c r="L158" s="2">
        <v>43215</v>
      </c>
      <c r="M158" s="2">
        <v>43313</v>
      </c>
      <c r="N158" s="3">
        <v>43271.275925925926</v>
      </c>
      <c r="O158" t="s">
        <v>24</v>
      </c>
      <c r="P158" t="s">
        <v>25</v>
      </c>
    </row>
    <row r="159" spans="1:16" x14ac:dyDescent="0.25">
      <c r="A159" t="str">
        <f>HYPERLINK("https://www.grants.gov/view-opportunity.html?oppId=304074","RFA-FD-18-023")</f>
        <v>RFA-FD-18-023</v>
      </c>
      <c r="B159" t="s">
        <v>202</v>
      </c>
      <c r="C159" t="s">
        <v>17</v>
      </c>
      <c r="D159" t="s">
        <v>18</v>
      </c>
      <c r="E159">
        <v>3000000</v>
      </c>
      <c r="F159">
        <v>5</v>
      </c>
      <c r="G159" s="1" t="s">
        <v>203</v>
      </c>
      <c r="I159" t="s">
        <v>204</v>
      </c>
      <c r="L159" s="2">
        <v>43213</v>
      </c>
      <c r="M159" s="2">
        <v>43276</v>
      </c>
      <c r="N159" s="3">
        <v>43213.372488425928</v>
      </c>
      <c r="O159" t="s">
        <v>21</v>
      </c>
      <c r="P159" t="s">
        <v>25</v>
      </c>
    </row>
    <row r="160" spans="1:16" x14ac:dyDescent="0.25">
      <c r="A160" t="str">
        <f>HYPERLINK("https://www.grants.gov/view-opportunity.html?oppId=303917","RFA-FD-18-009")</f>
        <v>RFA-FD-18-009</v>
      </c>
      <c r="B160" t="s">
        <v>205</v>
      </c>
      <c r="C160" t="s">
        <v>17</v>
      </c>
      <c r="D160" t="s">
        <v>18</v>
      </c>
      <c r="E160">
        <v>1000000</v>
      </c>
      <c r="F160">
        <v>1</v>
      </c>
      <c r="G160" s="1" t="s">
        <v>110</v>
      </c>
      <c r="I160" t="s">
        <v>72</v>
      </c>
      <c r="L160" s="2">
        <v>43210</v>
      </c>
      <c r="M160" s="2">
        <v>43283</v>
      </c>
      <c r="N160" s="3">
        <v>43210.476620370369</v>
      </c>
      <c r="O160" t="s">
        <v>21</v>
      </c>
      <c r="P160" t="s">
        <v>25</v>
      </c>
    </row>
    <row r="161" spans="1:16" x14ac:dyDescent="0.25">
      <c r="A161" t="str">
        <f>HYPERLINK("https://www.grants.gov/view-opportunity.html?oppId=302240","RFA-FD-18-016")</f>
        <v>RFA-FD-18-016</v>
      </c>
      <c r="B161" t="s">
        <v>206</v>
      </c>
      <c r="C161" t="s">
        <v>17</v>
      </c>
      <c r="D161" t="s">
        <v>18</v>
      </c>
      <c r="E161">
        <v>250000</v>
      </c>
      <c r="F161">
        <v>3</v>
      </c>
      <c r="G161" s="1" t="s">
        <v>19</v>
      </c>
      <c r="I161" t="s">
        <v>33</v>
      </c>
      <c r="L161" s="2">
        <v>43187</v>
      </c>
      <c r="M161" s="2">
        <v>43262</v>
      </c>
      <c r="N161" s="3">
        <v>43187.544768518521</v>
      </c>
      <c r="O161" t="s">
        <v>21</v>
      </c>
      <c r="P161" t="s">
        <v>25</v>
      </c>
    </row>
    <row r="162" spans="1:16" x14ac:dyDescent="0.25">
      <c r="A162" t="str">
        <f>HYPERLINK("https://www.grants.gov/view-opportunity.html?oppId=302119","RFA-FD-18-011")</f>
        <v>RFA-FD-18-011</v>
      </c>
      <c r="B162" t="s">
        <v>207</v>
      </c>
      <c r="C162" t="s">
        <v>17</v>
      </c>
      <c r="D162" t="s">
        <v>18</v>
      </c>
      <c r="E162">
        <v>5000000</v>
      </c>
      <c r="F162">
        <v>3</v>
      </c>
      <c r="G162" s="1" t="s">
        <v>19</v>
      </c>
      <c r="I162" t="s">
        <v>20</v>
      </c>
      <c r="L162" s="2">
        <v>43182</v>
      </c>
      <c r="M162" s="2">
        <v>43255</v>
      </c>
      <c r="N162" s="3">
        <v>43182.447488425925</v>
      </c>
      <c r="O162" t="s">
        <v>21</v>
      </c>
      <c r="P162" t="s">
        <v>25</v>
      </c>
    </row>
    <row r="163" spans="1:16" x14ac:dyDescent="0.25">
      <c r="A163" t="str">
        <f>HYPERLINK("https://www.grants.gov/view-opportunity.html?oppId=302117","RFA-FD-18-012")</f>
        <v>RFA-FD-18-012</v>
      </c>
      <c r="B163" t="s">
        <v>208</v>
      </c>
      <c r="C163" t="s">
        <v>17</v>
      </c>
      <c r="D163" t="s">
        <v>18</v>
      </c>
      <c r="E163">
        <v>250000</v>
      </c>
      <c r="F163">
        <v>2</v>
      </c>
      <c r="G163" s="1" t="s">
        <v>19</v>
      </c>
      <c r="I163" t="s">
        <v>33</v>
      </c>
      <c r="L163" s="2">
        <v>43182</v>
      </c>
      <c r="M163" s="2">
        <v>43255</v>
      </c>
      <c r="N163" s="3">
        <v>43182.420405092591</v>
      </c>
      <c r="O163" t="s">
        <v>21</v>
      </c>
      <c r="P163" t="s">
        <v>25</v>
      </c>
    </row>
    <row r="164" spans="1:16" x14ac:dyDescent="0.25">
      <c r="A164" t="str">
        <f>HYPERLINK("https://www.grants.gov/view-opportunity.html?oppId=302134","RFA-FD-18-021")</f>
        <v>RFA-FD-18-021</v>
      </c>
      <c r="B164" t="s">
        <v>209</v>
      </c>
      <c r="C164" t="s">
        <v>17</v>
      </c>
      <c r="D164" t="s">
        <v>18</v>
      </c>
      <c r="E164">
        <v>400000</v>
      </c>
      <c r="F164">
        <v>1</v>
      </c>
      <c r="G164" s="1" t="s">
        <v>110</v>
      </c>
      <c r="I164" t="s">
        <v>72</v>
      </c>
      <c r="L164" s="2">
        <v>43182</v>
      </c>
      <c r="M164" s="2">
        <v>43255</v>
      </c>
      <c r="N164" s="3">
        <v>43182.456516203703</v>
      </c>
      <c r="O164" t="s">
        <v>21</v>
      </c>
      <c r="P164" t="s">
        <v>25</v>
      </c>
    </row>
    <row r="165" spans="1:16" x14ac:dyDescent="0.25">
      <c r="A165" t="str">
        <f>HYPERLINK("https://www.grants.gov/view-opportunity.html?oppId=302056","RFA-FD-18-020")</f>
        <v>RFA-FD-18-020</v>
      </c>
      <c r="B165" t="s">
        <v>210</v>
      </c>
      <c r="C165" t="s">
        <v>17</v>
      </c>
      <c r="D165" t="s">
        <v>18</v>
      </c>
      <c r="E165">
        <v>280000</v>
      </c>
      <c r="F165">
        <v>2</v>
      </c>
      <c r="G165" s="1" t="s">
        <v>19</v>
      </c>
      <c r="I165" t="s">
        <v>33</v>
      </c>
      <c r="L165" s="2">
        <v>43181</v>
      </c>
      <c r="M165" s="2">
        <v>43255</v>
      </c>
      <c r="N165" s="3">
        <v>43182.445405092592</v>
      </c>
      <c r="O165" t="s">
        <v>24</v>
      </c>
      <c r="P165" t="s">
        <v>25</v>
      </c>
    </row>
    <row r="166" spans="1:16" x14ac:dyDescent="0.25">
      <c r="A166" t="str">
        <f>HYPERLINK("https://www.grants.gov/view-opportunity.html?oppId=302075","RFA-FD-18-014")</f>
        <v>RFA-FD-18-014</v>
      </c>
      <c r="B166" t="s">
        <v>211</v>
      </c>
      <c r="C166" t="s">
        <v>17</v>
      </c>
      <c r="D166" t="s">
        <v>18</v>
      </c>
      <c r="E166">
        <v>380000</v>
      </c>
      <c r="F166">
        <v>2</v>
      </c>
      <c r="G166" s="1" t="s">
        <v>19</v>
      </c>
      <c r="I166" t="s">
        <v>33</v>
      </c>
      <c r="L166" s="2">
        <v>43181</v>
      </c>
      <c r="M166" s="2">
        <v>43249</v>
      </c>
      <c r="N166" s="3">
        <v>43182.444016203706</v>
      </c>
      <c r="O166" t="s">
        <v>24</v>
      </c>
      <c r="P166" t="s">
        <v>25</v>
      </c>
    </row>
    <row r="167" spans="1:16" x14ac:dyDescent="0.25">
      <c r="A167" t="str">
        <f>HYPERLINK("https://www.grants.gov/view-opportunity.html?oppId=301998","RFA-FD-18-010")</f>
        <v>RFA-FD-18-010</v>
      </c>
      <c r="B167" t="s">
        <v>212</v>
      </c>
      <c r="C167" t="s">
        <v>17</v>
      </c>
      <c r="D167" t="s">
        <v>18</v>
      </c>
      <c r="E167">
        <v>500000</v>
      </c>
      <c r="F167">
        <v>2</v>
      </c>
      <c r="G167" s="1" t="s">
        <v>19</v>
      </c>
      <c r="I167" t="s">
        <v>33</v>
      </c>
      <c r="L167" s="2">
        <v>43180</v>
      </c>
      <c r="M167" s="2">
        <v>43241</v>
      </c>
      <c r="N167" s="3">
        <v>43180.431493055556</v>
      </c>
      <c r="O167" t="s">
        <v>24</v>
      </c>
      <c r="P167" t="s">
        <v>25</v>
      </c>
    </row>
    <row r="168" spans="1:16" x14ac:dyDescent="0.25">
      <c r="A168" t="str">
        <f>HYPERLINK("https://www.grants.gov/view-opportunity.html?oppId=301997","RFA-FD-18-017")</f>
        <v>RFA-FD-18-017</v>
      </c>
      <c r="B168" t="s">
        <v>213</v>
      </c>
      <c r="C168" t="s">
        <v>17</v>
      </c>
      <c r="D168" t="s">
        <v>18</v>
      </c>
      <c r="E168">
        <v>500000</v>
      </c>
      <c r="F168">
        <v>2</v>
      </c>
      <c r="G168" s="1" t="s">
        <v>19</v>
      </c>
      <c r="I168" t="s">
        <v>33</v>
      </c>
      <c r="L168" s="2">
        <v>43180</v>
      </c>
      <c r="M168" s="2">
        <v>43249</v>
      </c>
      <c r="N168" s="3">
        <v>43182.444710648146</v>
      </c>
      <c r="O168" t="s">
        <v>24</v>
      </c>
      <c r="P168" t="s">
        <v>25</v>
      </c>
    </row>
    <row r="169" spans="1:16" x14ac:dyDescent="0.25">
      <c r="A169" t="str">
        <f>HYPERLINK("https://www.grants.gov/view-opportunity.html?oppId=302015","RFA-FD-18-019")</f>
        <v>RFA-FD-18-019</v>
      </c>
      <c r="B169" t="s">
        <v>214</v>
      </c>
      <c r="C169" t="s">
        <v>17</v>
      </c>
      <c r="D169" t="s">
        <v>18</v>
      </c>
      <c r="E169">
        <v>500000</v>
      </c>
      <c r="F169">
        <v>2</v>
      </c>
      <c r="G169" s="1" t="s">
        <v>215</v>
      </c>
      <c r="I169" t="s">
        <v>216</v>
      </c>
      <c r="L169" s="2">
        <v>43180</v>
      </c>
      <c r="M169" s="2">
        <v>43250</v>
      </c>
      <c r="N169" s="3">
        <v>43250.421875</v>
      </c>
      <c r="O169" t="s">
        <v>28</v>
      </c>
      <c r="P169" t="s">
        <v>25</v>
      </c>
    </row>
    <row r="170" spans="1:16" x14ac:dyDescent="0.25">
      <c r="A170" t="str">
        <f>HYPERLINK("https://www.grants.gov/view-opportunity.html?oppId=301684","RFA-FD-18-008")</f>
        <v>RFA-FD-18-008</v>
      </c>
      <c r="B170" t="s">
        <v>217</v>
      </c>
      <c r="C170" t="s">
        <v>17</v>
      </c>
      <c r="D170" t="s">
        <v>18</v>
      </c>
      <c r="E170">
        <v>2500000</v>
      </c>
      <c r="F170">
        <v>1</v>
      </c>
      <c r="G170" s="1" t="s">
        <v>110</v>
      </c>
      <c r="I170" t="s">
        <v>72</v>
      </c>
      <c r="L170" s="2">
        <v>43174</v>
      </c>
      <c r="M170" s="2">
        <v>43241</v>
      </c>
      <c r="N170" s="3">
        <v>43174.595312500001</v>
      </c>
      <c r="O170" t="s">
        <v>24</v>
      </c>
      <c r="P170" t="s">
        <v>25</v>
      </c>
    </row>
    <row r="171" spans="1:16" x14ac:dyDescent="0.25">
      <c r="A171" t="str">
        <f>HYPERLINK("https://www.grants.gov/view-opportunity.html?oppId=301696","RFA-FD-18-006")</f>
        <v>RFA-FD-18-006</v>
      </c>
      <c r="B171" t="s">
        <v>218</v>
      </c>
      <c r="C171" t="s">
        <v>17</v>
      </c>
      <c r="D171" t="s">
        <v>18</v>
      </c>
      <c r="E171">
        <v>1275000</v>
      </c>
      <c r="F171">
        <v>9</v>
      </c>
      <c r="G171" s="1" t="s">
        <v>145</v>
      </c>
      <c r="I171" t="s">
        <v>146</v>
      </c>
      <c r="L171" s="2">
        <v>43174</v>
      </c>
      <c r="M171" s="2">
        <v>43236</v>
      </c>
      <c r="N171" s="3">
        <v>43174.405729166669</v>
      </c>
      <c r="O171" t="s">
        <v>21</v>
      </c>
      <c r="P171" t="s">
        <v>25</v>
      </c>
    </row>
    <row r="172" spans="1:16" x14ac:dyDescent="0.25">
      <c r="A172" t="str">
        <f>HYPERLINK("https://www.grants.gov/view-opportunity.html?oppId=301705","RFA-FD-18-015")</f>
        <v>RFA-FD-18-015</v>
      </c>
      <c r="B172" t="s">
        <v>219</v>
      </c>
      <c r="C172" t="s">
        <v>17</v>
      </c>
      <c r="D172" t="s">
        <v>18</v>
      </c>
      <c r="E172">
        <v>750000</v>
      </c>
      <c r="F172">
        <v>3</v>
      </c>
      <c r="G172" s="1" t="s">
        <v>19</v>
      </c>
      <c r="I172" t="s">
        <v>20</v>
      </c>
      <c r="L172" s="2">
        <v>43174</v>
      </c>
      <c r="M172" s="2">
        <v>43235</v>
      </c>
      <c r="N172" s="3">
        <v>43199.590381944443</v>
      </c>
      <c r="O172" t="s">
        <v>36</v>
      </c>
      <c r="P172" t="s">
        <v>25</v>
      </c>
    </row>
    <row r="173" spans="1:16" x14ac:dyDescent="0.25">
      <c r="A173" t="str">
        <f>HYPERLINK("https://www.grants.gov/view-opportunity.html?oppId=300745","RFA-FD-18-005")</f>
        <v>RFA-FD-18-005</v>
      </c>
      <c r="B173" t="s">
        <v>220</v>
      </c>
      <c r="C173" t="s">
        <v>17</v>
      </c>
      <c r="D173" t="s">
        <v>18</v>
      </c>
      <c r="E173">
        <v>750000</v>
      </c>
      <c r="F173">
        <v>1</v>
      </c>
      <c r="G173" s="1" t="s">
        <v>110</v>
      </c>
      <c r="I173" t="s">
        <v>72</v>
      </c>
      <c r="L173" s="2">
        <v>43146</v>
      </c>
      <c r="M173" s="2">
        <v>43210</v>
      </c>
      <c r="N173" s="3">
        <v>43146.605034722219</v>
      </c>
      <c r="O173" t="s">
        <v>36</v>
      </c>
      <c r="P173" t="s">
        <v>25</v>
      </c>
    </row>
    <row r="174" spans="1:16" x14ac:dyDescent="0.25">
      <c r="A174" t="str">
        <f>HYPERLINK("https://www.grants.gov/view-opportunity.html?oppId=300115","RFA-FD-18-004")</f>
        <v>RFA-FD-18-004</v>
      </c>
      <c r="B174" t="s">
        <v>221</v>
      </c>
      <c r="C174" t="s">
        <v>17</v>
      </c>
      <c r="D174" t="s">
        <v>18</v>
      </c>
      <c r="E174">
        <v>6000000</v>
      </c>
      <c r="F174">
        <v>5</v>
      </c>
      <c r="G174" s="1" t="s">
        <v>145</v>
      </c>
      <c r="I174" t="s">
        <v>146</v>
      </c>
      <c r="L174" s="2">
        <v>43116</v>
      </c>
      <c r="M174" s="2">
        <v>43175</v>
      </c>
      <c r="N174" s="3">
        <v>43146.433506944442</v>
      </c>
      <c r="O174" t="s">
        <v>24</v>
      </c>
      <c r="P174" t="s">
        <v>25</v>
      </c>
    </row>
    <row r="175" spans="1:16" x14ac:dyDescent="0.25">
      <c r="A175" t="str">
        <f>HYPERLINK("https://www.grants.gov/view-opportunity.html?oppId=299265","RFA-FD-18-001")</f>
        <v>RFA-FD-18-001</v>
      </c>
      <c r="B175" t="s">
        <v>222</v>
      </c>
      <c r="C175" t="s">
        <v>17</v>
      </c>
      <c r="D175" t="s">
        <v>18</v>
      </c>
      <c r="E175">
        <v>18000000</v>
      </c>
      <c r="F175">
        <v>50</v>
      </c>
      <c r="G175" s="1" t="s">
        <v>145</v>
      </c>
      <c r="I175" t="s">
        <v>146</v>
      </c>
      <c r="L175" s="2">
        <v>43074</v>
      </c>
      <c r="M175" s="2">
        <v>44531</v>
      </c>
      <c r="N175" s="3">
        <v>43074.63894675926</v>
      </c>
      <c r="O175" t="s">
        <v>21</v>
      </c>
      <c r="P175" t="s">
        <v>25</v>
      </c>
    </row>
    <row r="176" spans="1:16" x14ac:dyDescent="0.25">
      <c r="A176" t="str">
        <f>HYPERLINK("https://www.grants.gov/view-opportunity.html?oppId=298113","RFA-FD-18-003")</f>
        <v>RFA-FD-18-003</v>
      </c>
      <c r="B176" t="s">
        <v>223</v>
      </c>
      <c r="C176" t="s">
        <v>17</v>
      </c>
      <c r="D176" t="s">
        <v>18</v>
      </c>
      <c r="E176">
        <v>450000</v>
      </c>
      <c r="F176">
        <v>1</v>
      </c>
      <c r="G176" s="1" t="s">
        <v>203</v>
      </c>
      <c r="I176" t="s">
        <v>204</v>
      </c>
      <c r="L176" s="2">
        <v>43032</v>
      </c>
      <c r="M176" s="2">
        <v>43089</v>
      </c>
      <c r="N176" s="3">
        <v>43088.30091435185</v>
      </c>
      <c r="O176" t="s">
        <v>24</v>
      </c>
      <c r="P176" t="s">
        <v>25</v>
      </c>
    </row>
    <row r="177" spans="1:16" x14ac:dyDescent="0.25">
      <c r="A177" t="str">
        <f>HYPERLINK("https://www.grants.gov/view-opportunity.html?oppId=295034","RFA-FD-17-014")</f>
        <v>RFA-FD-17-014</v>
      </c>
      <c r="B177" t="s">
        <v>224</v>
      </c>
      <c r="C177" t="s">
        <v>17</v>
      </c>
      <c r="D177" t="s">
        <v>18</v>
      </c>
      <c r="F177">
        <v>1</v>
      </c>
      <c r="G177" s="1" t="s">
        <v>110</v>
      </c>
      <c r="I177" t="s">
        <v>72</v>
      </c>
      <c r="L177" s="2">
        <v>42912</v>
      </c>
      <c r="M177" s="2">
        <v>42969</v>
      </c>
      <c r="N177" s="3">
        <v>42912.513495370367</v>
      </c>
      <c r="O177" t="s">
        <v>21</v>
      </c>
      <c r="P177" t="s">
        <v>25</v>
      </c>
    </row>
    <row r="178" spans="1:16" x14ac:dyDescent="0.25">
      <c r="A178" t="str">
        <f>HYPERLINK("https://www.grants.gov/view-opportunity.html?oppId=295037","RFA-FD-17-013")</f>
        <v>RFA-FD-17-013</v>
      </c>
      <c r="B178" t="s">
        <v>225</v>
      </c>
      <c r="C178" t="s">
        <v>17</v>
      </c>
      <c r="D178" t="s">
        <v>18</v>
      </c>
      <c r="F178">
        <v>1</v>
      </c>
      <c r="G178" s="1" t="s">
        <v>19</v>
      </c>
      <c r="I178" t="s">
        <v>20</v>
      </c>
      <c r="L178" s="2">
        <v>42912</v>
      </c>
      <c r="M178" s="2">
        <v>42976</v>
      </c>
      <c r="N178" s="3">
        <v>42912.619050925925</v>
      </c>
      <c r="O178" t="s">
        <v>21</v>
      </c>
      <c r="P178" t="s">
        <v>25</v>
      </c>
    </row>
    <row r="179" spans="1:16" x14ac:dyDescent="0.25">
      <c r="A179" t="str">
        <f>HYPERLINK("https://www.grants.gov/view-opportunity.html?oppId=294654","RFA-FD-18-002")</f>
        <v>RFA-FD-18-002</v>
      </c>
      <c r="B179" t="s">
        <v>226</v>
      </c>
      <c r="C179" t="s">
        <v>17</v>
      </c>
      <c r="D179" t="s">
        <v>18</v>
      </c>
      <c r="E179">
        <v>1</v>
      </c>
      <c r="F179">
        <v>1</v>
      </c>
      <c r="G179" s="1" t="s">
        <v>110</v>
      </c>
      <c r="I179" t="s">
        <v>72</v>
      </c>
      <c r="L179" s="2">
        <v>42900</v>
      </c>
      <c r="M179" s="2">
        <v>42961</v>
      </c>
      <c r="N179" s="3">
        <v>42900.531412037039</v>
      </c>
      <c r="O179" t="s">
        <v>21</v>
      </c>
      <c r="P179" t="s">
        <v>25</v>
      </c>
    </row>
    <row r="180" spans="1:16" x14ac:dyDescent="0.25">
      <c r="A180" t="str">
        <f>HYPERLINK("https://www.grants.gov/view-opportunity.html?oppId=294191","RFA-FD-17-011")</f>
        <v>RFA-FD-17-011</v>
      </c>
      <c r="B180" t="s">
        <v>227</v>
      </c>
      <c r="C180" t="s">
        <v>17</v>
      </c>
      <c r="D180" t="s">
        <v>18</v>
      </c>
      <c r="E180">
        <v>1100000</v>
      </c>
      <c r="F180">
        <v>1</v>
      </c>
      <c r="G180" s="1" t="s">
        <v>19</v>
      </c>
      <c r="I180" t="s">
        <v>20</v>
      </c>
      <c r="L180" s="2">
        <v>42885</v>
      </c>
      <c r="M180" s="2">
        <v>42958</v>
      </c>
      <c r="N180" s="3">
        <v>42948.429872685185</v>
      </c>
      <c r="O180" t="s">
        <v>24</v>
      </c>
      <c r="P180" t="s">
        <v>25</v>
      </c>
    </row>
    <row r="181" spans="1:16" x14ac:dyDescent="0.25">
      <c r="A181" t="str">
        <f>HYPERLINK("https://www.grants.gov/view-opportunity.html?oppId=294016","RFA-FD-17-006")</f>
        <v>RFA-FD-17-006</v>
      </c>
      <c r="B181" t="s">
        <v>228</v>
      </c>
      <c r="C181" t="s">
        <v>17</v>
      </c>
      <c r="D181" t="s">
        <v>18</v>
      </c>
      <c r="E181">
        <v>140000</v>
      </c>
      <c r="F181">
        <v>1</v>
      </c>
      <c r="G181" s="1" t="s">
        <v>229</v>
      </c>
      <c r="I181" t="s">
        <v>20</v>
      </c>
      <c r="L181" s="2">
        <v>42878</v>
      </c>
      <c r="M181" s="2">
        <v>42940</v>
      </c>
      <c r="N181" s="3">
        <v>42936.603703703702</v>
      </c>
      <c r="O181" t="s">
        <v>28</v>
      </c>
      <c r="P181" t="s">
        <v>25</v>
      </c>
    </row>
    <row r="182" spans="1:16" x14ac:dyDescent="0.25">
      <c r="A182" t="str">
        <f>HYPERLINK("https://www.grants.gov/view-opportunity.html?oppId=293851","RFA-FD-17-012")</f>
        <v>RFA-FD-17-012</v>
      </c>
      <c r="B182" t="s">
        <v>230</v>
      </c>
      <c r="C182" t="s">
        <v>17</v>
      </c>
      <c r="D182" t="s">
        <v>18</v>
      </c>
      <c r="E182">
        <v>750000</v>
      </c>
      <c r="F182">
        <v>1</v>
      </c>
      <c r="G182" s="1" t="s">
        <v>231</v>
      </c>
      <c r="I182" t="s">
        <v>232</v>
      </c>
      <c r="L182" s="2">
        <v>42870</v>
      </c>
      <c r="M182" s="2">
        <v>42926</v>
      </c>
      <c r="N182" s="3">
        <v>42870.568229166667</v>
      </c>
      <c r="O182" t="s">
        <v>28</v>
      </c>
      <c r="P182" t="s">
        <v>25</v>
      </c>
    </row>
    <row r="183" spans="1:16" x14ac:dyDescent="0.25">
      <c r="A183" t="str">
        <f>HYPERLINK("https://www.grants.gov/view-opportunity.html?oppId=292882","RFA-FD-17-002")</f>
        <v>RFA-FD-17-002</v>
      </c>
      <c r="B183" t="s">
        <v>233</v>
      </c>
      <c r="C183" t="s">
        <v>17</v>
      </c>
      <c r="D183" t="s">
        <v>18</v>
      </c>
      <c r="E183">
        <v>299150</v>
      </c>
      <c r="F183">
        <v>1</v>
      </c>
      <c r="G183" s="1" t="s">
        <v>110</v>
      </c>
      <c r="I183" t="s">
        <v>72</v>
      </c>
      <c r="L183" s="2">
        <v>42825</v>
      </c>
      <c r="M183" s="2">
        <v>42916</v>
      </c>
      <c r="N183" s="3">
        <v>42885.59479166667</v>
      </c>
      <c r="O183" t="s">
        <v>24</v>
      </c>
      <c r="P183" t="s">
        <v>25</v>
      </c>
    </row>
    <row r="184" spans="1:16" x14ac:dyDescent="0.25">
      <c r="A184" t="str">
        <f>HYPERLINK("https://www.grants.gov/view-opportunity.html?oppId=292492","RFA-FD-17-007")</f>
        <v>RFA-FD-17-007</v>
      </c>
      <c r="B184" t="s">
        <v>234</v>
      </c>
      <c r="C184" t="s">
        <v>17</v>
      </c>
      <c r="D184" t="s">
        <v>18</v>
      </c>
      <c r="F184">
        <v>33</v>
      </c>
      <c r="G184" s="1" t="s">
        <v>231</v>
      </c>
      <c r="I184" t="s">
        <v>232</v>
      </c>
      <c r="L184" s="2">
        <v>42809</v>
      </c>
      <c r="M184" s="2">
        <v>42886</v>
      </c>
      <c r="N184" s="3">
        <v>42872.437696759262</v>
      </c>
      <c r="O184" t="s">
        <v>36</v>
      </c>
      <c r="P184" t="s">
        <v>25</v>
      </c>
    </row>
    <row r="185" spans="1:16" x14ac:dyDescent="0.25">
      <c r="A185" t="str">
        <f>HYPERLINK("https://www.grants.gov/view-opportunity.html?oppId=292125","RFA-FD-17-005")</f>
        <v>RFA-FD-17-005</v>
      </c>
      <c r="B185" t="s">
        <v>235</v>
      </c>
      <c r="C185" t="s">
        <v>17</v>
      </c>
      <c r="D185" t="s">
        <v>18</v>
      </c>
      <c r="E185">
        <v>10000000</v>
      </c>
      <c r="F185">
        <v>30</v>
      </c>
      <c r="G185" s="1" t="s">
        <v>231</v>
      </c>
      <c r="I185" t="s">
        <v>232</v>
      </c>
      <c r="L185" s="2">
        <v>42795</v>
      </c>
      <c r="M185" s="2">
        <v>42856</v>
      </c>
      <c r="N185" s="3">
        <v>42795.572928240741</v>
      </c>
      <c r="O185" t="s">
        <v>21</v>
      </c>
      <c r="P185" t="s">
        <v>25</v>
      </c>
    </row>
    <row r="186" spans="1:16" x14ac:dyDescent="0.25">
      <c r="A186" t="str">
        <f>HYPERLINK("https://www.grants.gov/view-opportunity.html?oppId=292078","RFA-FD-17-010")</f>
        <v>RFA-FD-17-010</v>
      </c>
      <c r="B186" t="s">
        <v>236</v>
      </c>
      <c r="C186" t="s">
        <v>17</v>
      </c>
      <c r="D186" t="s">
        <v>18</v>
      </c>
      <c r="E186">
        <v>7900000</v>
      </c>
      <c r="F186">
        <v>45</v>
      </c>
      <c r="G186" s="1" t="s">
        <v>237</v>
      </c>
      <c r="I186" t="s">
        <v>238</v>
      </c>
      <c r="L186" s="2">
        <v>42793</v>
      </c>
      <c r="M186" s="2">
        <v>43208</v>
      </c>
      <c r="N186" s="3">
        <v>43145.289050925923</v>
      </c>
      <c r="O186" t="s">
        <v>24</v>
      </c>
      <c r="P186" t="s">
        <v>25</v>
      </c>
    </row>
    <row r="187" spans="1:16" x14ac:dyDescent="0.25">
      <c r="A187" t="str">
        <f>HYPERLINK("https://www.grants.gov/view-opportunity.html?oppId=292013","RFA-FD-17-008")</f>
        <v>RFA-FD-17-008</v>
      </c>
      <c r="B187" t="s">
        <v>239</v>
      </c>
      <c r="C187" t="s">
        <v>17</v>
      </c>
      <c r="D187" t="s">
        <v>18</v>
      </c>
      <c r="E187">
        <v>2500000</v>
      </c>
      <c r="F187">
        <v>1</v>
      </c>
      <c r="G187" s="1" t="s">
        <v>19</v>
      </c>
      <c r="I187" t="s">
        <v>20</v>
      </c>
      <c r="L187" s="2">
        <v>42789</v>
      </c>
      <c r="M187" s="2">
        <v>42849</v>
      </c>
      <c r="N187" s="3">
        <v>42789.366932870369</v>
      </c>
      <c r="O187" t="s">
        <v>21</v>
      </c>
      <c r="P187" t="s">
        <v>25</v>
      </c>
    </row>
    <row r="188" spans="1:16" x14ac:dyDescent="0.25">
      <c r="A188" t="str">
        <f>HYPERLINK("https://www.grants.gov/view-opportunity.html?oppId=291818","RFA-FD-17-003")</f>
        <v>RFA-FD-17-003</v>
      </c>
      <c r="B188" t="s">
        <v>240</v>
      </c>
      <c r="C188" t="s">
        <v>17</v>
      </c>
      <c r="D188" t="s">
        <v>18</v>
      </c>
      <c r="E188">
        <v>3300000</v>
      </c>
      <c r="F188">
        <v>1</v>
      </c>
      <c r="G188" s="1" t="s">
        <v>110</v>
      </c>
      <c r="I188" t="s">
        <v>72</v>
      </c>
      <c r="L188" s="2">
        <v>42781</v>
      </c>
      <c r="M188" s="2">
        <v>42842</v>
      </c>
      <c r="N188" s="3">
        <v>42781.568229166667</v>
      </c>
      <c r="O188" t="s">
        <v>24</v>
      </c>
      <c r="P188" t="s">
        <v>25</v>
      </c>
    </row>
    <row r="189" spans="1:16" x14ac:dyDescent="0.25">
      <c r="A189" t="str">
        <f>HYPERLINK("https://www.grants.gov/view-opportunity.html?oppId=291794","RFA-FD-17-009")</f>
        <v>RFA-FD-17-009</v>
      </c>
      <c r="B189" t="s">
        <v>241</v>
      </c>
      <c r="C189" t="s">
        <v>17</v>
      </c>
      <c r="D189" t="s">
        <v>18</v>
      </c>
      <c r="F189">
        <v>1</v>
      </c>
      <c r="G189" s="1" t="s">
        <v>19</v>
      </c>
      <c r="I189" t="s">
        <v>20</v>
      </c>
      <c r="L189" s="2">
        <v>42779</v>
      </c>
      <c r="M189" s="2">
        <v>42839</v>
      </c>
      <c r="N189" s="3">
        <v>42779.414733796293</v>
      </c>
      <c r="O189" t="s">
        <v>24</v>
      </c>
      <c r="P189" t="s">
        <v>25</v>
      </c>
    </row>
    <row r="190" spans="1:16" x14ac:dyDescent="0.25">
      <c r="A190" t="str">
        <f>HYPERLINK("https://www.grants.gov/view-opportunity.html?oppId=291698","RFA-FD-17-004")</f>
        <v>RFA-FD-17-004</v>
      </c>
      <c r="B190" t="s">
        <v>242</v>
      </c>
      <c r="C190" t="s">
        <v>17</v>
      </c>
      <c r="D190" t="s">
        <v>18</v>
      </c>
      <c r="E190">
        <v>850000</v>
      </c>
      <c r="F190">
        <v>5</v>
      </c>
      <c r="G190" s="1" t="s">
        <v>145</v>
      </c>
      <c r="I190" t="s">
        <v>146</v>
      </c>
      <c r="L190" s="2">
        <v>42774</v>
      </c>
      <c r="M190" s="2">
        <v>42839</v>
      </c>
      <c r="N190" s="3">
        <v>42774.63689814815</v>
      </c>
      <c r="O190" t="s">
        <v>21</v>
      </c>
      <c r="P190" t="s">
        <v>25</v>
      </c>
    </row>
    <row r="191" spans="1:16" x14ac:dyDescent="0.25">
      <c r="A191" t="str">
        <f>HYPERLINK("https://www.grants.gov/view-opportunity.html?oppId=291511","PAR-17-141")</f>
        <v>PAR-17-141</v>
      </c>
      <c r="B191" t="s">
        <v>243</v>
      </c>
      <c r="C191" t="s">
        <v>17</v>
      </c>
      <c r="D191" t="s">
        <v>18</v>
      </c>
      <c r="E191">
        <v>1200000</v>
      </c>
      <c r="F191">
        <v>35</v>
      </c>
      <c r="G191" s="1" t="s">
        <v>198</v>
      </c>
      <c r="I191" t="s">
        <v>244</v>
      </c>
      <c r="L191" s="2">
        <v>42765</v>
      </c>
      <c r="M191" s="2">
        <v>43512</v>
      </c>
      <c r="N191" s="3">
        <v>43517.620381944442</v>
      </c>
      <c r="O191" t="s">
        <v>36</v>
      </c>
      <c r="P191" t="s">
        <v>25</v>
      </c>
    </row>
    <row r="192" spans="1:16" x14ac:dyDescent="0.25">
      <c r="A192" t="str">
        <f>HYPERLINK("https://www.grants.gov/view-opportunity.html?oppId=289672","RFA-FD-17-001")</f>
        <v>RFA-FD-17-001</v>
      </c>
      <c r="B192" t="s">
        <v>245</v>
      </c>
      <c r="C192" t="s">
        <v>17</v>
      </c>
      <c r="D192" t="s">
        <v>18</v>
      </c>
      <c r="E192">
        <v>300000</v>
      </c>
      <c r="F192">
        <v>1</v>
      </c>
      <c r="G192" s="1" t="s">
        <v>32</v>
      </c>
      <c r="I192" t="s">
        <v>33</v>
      </c>
      <c r="L192" s="2">
        <v>42667</v>
      </c>
      <c r="M192" s="2">
        <v>42748</v>
      </c>
      <c r="N192" s="3">
        <v>42667.36347222222</v>
      </c>
      <c r="O192" t="s">
        <v>21</v>
      </c>
      <c r="P192" t="s">
        <v>25</v>
      </c>
    </row>
    <row r="193" spans="1:16" x14ac:dyDescent="0.25">
      <c r="A193" t="str">
        <f>HYPERLINK("https://www.grants.gov/view-opportunity.html?oppId=286610","PAR-16-378")</f>
        <v>PAR-16-378</v>
      </c>
      <c r="B193" t="s">
        <v>246</v>
      </c>
      <c r="C193" t="s">
        <v>17</v>
      </c>
      <c r="D193" t="s">
        <v>18</v>
      </c>
      <c r="G193" s="1" t="s">
        <v>247</v>
      </c>
      <c r="I193" t="s">
        <v>72</v>
      </c>
      <c r="L193" s="2">
        <v>42578</v>
      </c>
      <c r="M193" s="2">
        <v>43642</v>
      </c>
      <c r="N193" s="3">
        <v>43648.350717592592</v>
      </c>
      <c r="O193" t="s">
        <v>36</v>
      </c>
      <c r="P193" t="s">
        <v>25</v>
      </c>
    </row>
    <row r="194" spans="1:16" x14ac:dyDescent="0.25">
      <c r="A194" t="str">
        <f>HYPERLINK("https://www.grants.gov/view-opportunity.html?oppId=284619","RFA-FD-16-048")</f>
        <v>RFA-FD-16-048</v>
      </c>
      <c r="B194" t="s">
        <v>248</v>
      </c>
      <c r="C194" t="s">
        <v>17</v>
      </c>
      <c r="D194" t="s">
        <v>18</v>
      </c>
      <c r="E194">
        <v>250000</v>
      </c>
      <c r="F194">
        <v>1</v>
      </c>
      <c r="G194" s="1" t="s">
        <v>203</v>
      </c>
      <c r="I194" t="s">
        <v>204</v>
      </c>
      <c r="L194" s="2">
        <v>42535</v>
      </c>
      <c r="M194" s="2">
        <v>42594</v>
      </c>
      <c r="N194" s="3">
        <v>42535.408495370371</v>
      </c>
      <c r="O194" t="s">
        <v>21</v>
      </c>
      <c r="P194" t="s">
        <v>25</v>
      </c>
    </row>
    <row r="195" spans="1:16" x14ac:dyDescent="0.25">
      <c r="A195" t="str">
        <f>HYPERLINK("https://www.grants.gov/view-opportunity.html?oppId=283604","RFA-FD-16-044")</f>
        <v>RFA-FD-16-044</v>
      </c>
      <c r="B195" t="s">
        <v>249</v>
      </c>
      <c r="C195" t="s">
        <v>17</v>
      </c>
      <c r="D195" t="s">
        <v>18</v>
      </c>
      <c r="E195">
        <v>2000000</v>
      </c>
      <c r="F195">
        <v>1</v>
      </c>
      <c r="G195" s="1" t="s">
        <v>203</v>
      </c>
      <c r="I195" t="s">
        <v>204</v>
      </c>
      <c r="L195" s="2">
        <v>42495</v>
      </c>
      <c r="M195" s="2">
        <v>42559</v>
      </c>
      <c r="N195" s="3">
        <v>42556.479224537034</v>
      </c>
      <c r="O195" t="s">
        <v>24</v>
      </c>
      <c r="P195" t="s">
        <v>25</v>
      </c>
    </row>
    <row r="196" spans="1:16" x14ac:dyDescent="0.25">
      <c r="A196" t="str">
        <f>HYPERLINK("https://www.grants.gov/view-opportunity.html?oppId=283458","RFA-FD-16-042")</f>
        <v>RFA-FD-16-042</v>
      </c>
      <c r="B196" t="s">
        <v>250</v>
      </c>
      <c r="C196" t="s">
        <v>17</v>
      </c>
      <c r="D196" t="s">
        <v>18</v>
      </c>
      <c r="E196">
        <v>7500000</v>
      </c>
      <c r="F196">
        <v>5</v>
      </c>
      <c r="G196" s="1" t="s">
        <v>231</v>
      </c>
      <c r="I196" t="s">
        <v>232</v>
      </c>
      <c r="L196" s="2">
        <v>42493</v>
      </c>
      <c r="M196" s="2">
        <v>42559</v>
      </c>
      <c r="N196" s="3">
        <v>42493.3903125</v>
      </c>
      <c r="O196" t="s">
        <v>21</v>
      </c>
      <c r="P196" t="s">
        <v>25</v>
      </c>
    </row>
    <row r="197" spans="1:16" x14ac:dyDescent="0.25">
      <c r="A197" t="str">
        <f>HYPERLINK("https://www.grants.gov/view-opportunity.html?oppId=283275","RFA-FD-16-036")</f>
        <v>RFA-FD-16-036</v>
      </c>
      <c r="B197" t="s">
        <v>251</v>
      </c>
      <c r="C197" t="s">
        <v>17</v>
      </c>
      <c r="D197" t="s">
        <v>18</v>
      </c>
      <c r="E197">
        <v>30000000</v>
      </c>
      <c r="F197">
        <v>6</v>
      </c>
      <c r="G197" s="1" t="s">
        <v>252</v>
      </c>
      <c r="I197" t="s">
        <v>253</v>
      </c>
      <c r="L197" s="2">
        <v>42485</v>
      </c>
      <c r="M197" s="2">
        <v>42549</v>
      </c>
      <c r="N197" s="3">
        <v>42485.650289351855</v>
      </c>
      <c r="O197" t="s">
        <v>24</v>
      </c>
      <c r="P197" t="s">
        <v>25</v>
      </c>
    </row>
    <row r="198" spans="1:16" x14ac:dyDescent="0.25">
      <c r="A198" t="str">
        <f>HYPERLINK("https://www.grants.gov/view-opportunity.html?oppId=283129","RFA-FD-16-047")</f>
        <v>RFA-FD-16-047</v>
      </c>
      <c r="B198" t="s">
        <v>254</v>
      </c>
      <c r="C198" t="s">
        <v>17</v>
      </c>
      <c r="D198" t="s">
        <v>18</v>
      </c>
      <c r="E198">
        <v>800000</v>
      </c>
      <c r="F198">
        <v>1</v>
      </c>
      <c r="G198" s="1" t="s">
        <v>252</v>
      </c>
      <c r="I198" t="s">
        <v>253</v>
      </c>
      <c r="L198" s="2">
        <v>42479</v>
      </c>
      <c r="M198" s="2">
        <v>42541</v>
      </c>
      <c r="N198" s="3">
        <v>42479.563414351855</v>
      </c>
      <c r="O198" t="s">
        <v>21</v>
      </c>
      <c r="P198" t="s">
        <v>25</v>
      </c>
    </row>
    <row r="199" spans="1:16" x14ac:dyDescent="0.25">
      <c r="A199" t="str">
        <f>HYPERLINK("https://www.grants.gov/view-opportunity.html?oppId=283128","RFA-FD-16-037")</f>
        <v>RFA-FD-16-037</v>
      </c>
      <c r="B199" t="s">
        <v>255</v>
      </c>
      <c r="C199" t="s">
        <v>17</v>
      </c>
      <c r="D199" t="s">
        <v>18</v>
      </c>
      <c r="E199">
        <v>800000</v>
      </c>
      <c r="F199">
        <v>1</v>
      </c>
      <c r="G199" s="1" t="s">
        <v>252</v>
      </c>
      <c r="I199" t="s">
        <v>253</v>
      </c>
      <c r="L199" s="2">
        <v>42479</v>
      </c>
      <c r="M199" s="2">
        <v>42541</v>
      </c>
      <c r="N199" s="3">
        <v>42479.55091435185</v>
      </c>
      <c r="O199" t="s">
        <v>21</v>
      </c>
      <c r="P199" t="s">
        <v>25</v>
      </c>
    </row>
    <row r="200" spans="1:16" x14ac:dyDescent="0.25">
      <c r="A200" t="str">
        <f>HYPERLINK("https://www.grants.gov/view-opportunity.html?oppId=283041","RFA-FD-16-043")</f>
        <v>RFA-FD-16-043</v>
      </c>
      <c r="B200" t="s">
        <v>256</v>
      </c>
      <c r="C200" t="s">
        <v>17</v>
      </c>
      <c r="D200" t="s">
        <v>18</v>
      </c>
      <c r="E200">
        <v>2000000</v>
      </c>
      <c r="F200">
        <v>5</v>
      </c>
      <c r="G200" s="1" t="s">
        <v>145</v>
      </c>
      <c r="I200" t="s">
        <v>146</v>
      </c>
      <c r="L200" s="2">
        <v>42475</v>
      </c>
      <c r="M200" s="2">
        <v>43388</v>
      </c>
      <c r="N200" s="3">
        <v>43082.653622685182</v>
      </c>
      <c r="O200" t="s">
        <v>36</v>
      </c>
      <c r="P200" t="s">
        <v>25</v>
      </c>
    </row>
    <row r="201" spans="1:16" x14ac:dyDescent="0.25">
      <c r="A201" t="str">
        <f>HYPERLINK("https://www.grants.gov/view-opportunity.html?oppId=283029","RFA-FD-16-039")</f>
        <v>RFA-FD-16-039</v>
      </c>
      <c r="B201" t="s">
        <v>257</v>
      </c>
      <c r="C201" t="s">
        <v>17</v>
      </c>
      <c r="D201" t="s">
        <v>18</v>
      </c>
      <c r="E201">
        <v>200000</v>
      </c>
      <c r="F201">
        <v>20</v>
      </c>
      <c r="G201" s="1" t="s">
        <v>258</v>
      </c>
      <c r="I201" t="s">
        <v>259</v>
      </c>
      <c r="L201" s="2">
        <v>42474</v>
      </c>
      <c r="M201" s="2">
        <v>42871</v>
      </c>
      <c r="N201" s="3">
        <v>42474.761967592596</v>
      </c>
      <c r="O201" t="s">
        <v>21</v>
      </c>
      <c r="P201" t="s">
        <v>25</v>
      </c>
    </row>
    <row r="202" spans="1:16" x14ac:dyDescent="0.25">
      <c r="A202" t="str">
        <f>HYPERLINK("https://www.grants.gov/view-opportunity.html?oppId=283028","RFA-FD-16-017")</f>
        <v>RFA-FD-16-017</v>
      </c>
      <c r="B202" t="s">
        <v>260</v>
      </c>
      <c r="C202" t="s">
        <v>17</v>
      </c>
      <c r="D202" t="s">
        <v>18</v>
      </c>
      <c r="E202">
        <v>2943750</v>
      </c>
      <c r="F202">
        <v>1</v>
      </c>
      <c r="G202" s="1" t="s">
        <v>261</v>
      </c>
      <c r="I202" t="s">
        <v>262</v>
      </c>
      <c r="L202" s="2">
        <v>42474</v>
      </c>
      <c r="M202" s="2">
        <v>42552</v>
      </c>
      <c r="N202" s="3">
        <v>42523.523634259262</v>
      </c>
      <c r="O202" t="s">
        <v>24</v>
      </c>
      <c r="P202" t="s">
        <v>25</v>
      </c>
    </row>
    <row r="203" spans="1:16" x14ac:dyDescent="0.25">
      <c r="A203" t="str">
        <f>HYPERLINK("https://www.grants.gov/view-opportunity.html?oppId=283027","RFA-FD-16-040")</f>
        <v>RFA-FD-16-040</v>
      </c>
      <c r="B203" t="s">
        <v>263</v>
      </c>
      <c r="C203" t="s">
        <v>17</v>
      </c>
      <c r="D203" t="s">
        <v>18</v>
      </c>
      <c r="E203">
        <v>750000</v>
      </c>
      <c r="F203">
        <v>5</v>
      </c>
      <c r="G203" s="1" t="s">
        <v>264</v>
      </c>
      <c r="I203" t="s">
        <v>262</v>
      </c>
      <c r="L203" s="2">
        <v>42474</v>
      </c>
      <c r="M203" s="2">
        <v>42552</v>
      </c>
      <c r="N203" s="3">
        <v>42523.521550925929</v>
      </c>
      <c r="O203" t="s">
        <v>36</v>
      </c>
      <c r="P203" t="s">
        <v>25</v>
      </c>
    </row>
    <row r="204" spans="1:16" x14ac:dyDescent="0.25">
      <c r="A204" t="str">
        <f>HYPERLINK("https://www.grants.gov/view-opportunity.html?oppId=282915","RFA-FD-16-045")</f>
        <v>RFA-FD-16-045</v>
      </c>
      <c r="B204" t="s">
        <v>265</v>
      </c>
      <c r="C204" t="s">
        <v>17</v>
      </c>
      <c r="D204" t="s">
        <v>18</v>
      </c>
      <c r="E204">
        <v>300000</v>
      </c>
      <c r="F204">
        <v>1</v>
      </c>
      <c r="G204" s="1" t="s">
        <v>266</v>
      </c>
      <c r="I204" t="s">
        <v>262</v>
      </c>
      <c r="L204" s="2">
        <v>42471</v>
      </c>
      <c r="M204" s="2">
        <v>42538</v>
      </c>
      <c r="N204" s="3">
        <v>42471.591099537036</v>
      </c>
      <c r="O204" t="s">
        <v>21</v>
      </c>
      <c r="P204" t="s">
        <v>25</v>
      </c>
    </row>
    <row r="205" spans="1:16" x14ac:dyDescent="0.25">
      <c r="A205" t="str">
        <f>HYPERLINK("https://www.grants.gov/view-opportunity.html?oppId=282894","RFA-FD-16-030")</f>
        <v>RFA-FD-16-030</v>
      </c>
      <c r="B205" t="s">
        <v>267</v>
      </c>
      <c r="C205" t="s">
        <v>17</v>
      </c>
      <c r="D205" t="s">
        <v>18</v>
      </c>
      <c r="E205">
        <v>1000000</v>
      </c>
      <c r="F205">
        <v>1</v>
      </c>
      <c r="G205" s="1" t="s">
        <v>268</v>
      </c>
      <c r="I205" t="s">
        <v>269</v>
      </c>
      <c r="L205" s="2">
        <v>42471</v>
      </c>
      <c r="M205" s="2">
        <v>42545</v>
      </c>
      <c r="N205" s="3">
        <v>42543.760671296295</v>
      </c>
      <c r="O205" t="s">
        <v>24</v>
      </c>
      <c r="P205" t="s">
        <v>25</v>
      </c>
    </row>
    <row r="206" spans="1:16" x14ac:dyDescent="0.25">
      <c r="A206" t="str">
        <f>HYPERLINK("https://www.grants.gov/view-opportunity.html?oppId=282852","RFA-FD-16-041")</f>
        <v>RFA-FD-16-041</v>
      </c>
      <c r="B206" t="s">
        <v>270</v>
      </c>
      <c r="C206" t="s">
        <v>17</v>
      </c>
      <c r="D206" t="s">
        <v>18</v>
      </c>
      <c r="E206">
        <v>175000</v>
      </c>
      <c r="F206">
        <v>1</v>
      </c>
      <c r="G206" s="1" t="s">
        <v>271</v>
      </c>
      <c r="I206" t="s">
        <v>259</v>
      </c>
      <c r="L206" s="2">
        <v>42467</v>
      </c>
      <c r="M206" s="2">
        <v>42559</v>
      </c>
      <c r="N206" s="3">
        <v>42556.572974537034</v>
      </c>
      <c r="O206" t="s">
        <v>24</v>
      </c>
      <c r="P206" t="s">
        <v>25</v>
      </c>
    </row>
    <row r="207" spans="1:16" x14ac:dyDescent="0.25">
      <c r="A207" t="str">
        <f>HYPERLINK("https://www.grants.gov/view-opportunity.html?oppId=282776","RFA-FD-16-019")</f>
        <v>RFA-FD-16-019</v>
      </c>
      <c r="B207" t="s">
        <v>272</v>
      </c>
      <c r="C207" t="s">
        <v>17</v>
      </c>
      <c r="D207" t="s">
        <v>18</v>
      </c>
      <c r="E207">
        <v>800000</v>
      </c>
      <c r="F207">
        <v>1</v>
      </c>
      <c r="G207" s="1" t="s">
        <v>203</v>
      </c>
      <c r="I207" t="s">
        <v>204</v>
      </c>
      <c r="L207" s="2">
        <v>42465</v>
      </c>
      <c r="M207" s="2">
        <v>42534</v>
      </c>
      <c r="N207" s="3">
        <v>42465.927141203705</v>
      </c>
      <c r="O207" t="s">
        <v>21</v>
      </c>
      <c r="P207" t="s">
        <v>25</v>
      </c>
    </row>
    <row r="208" spans="1:16" x14ac:dyDescent="0.25">
      <c r="A208" t="str">
        <f>HYPERLINK("https://www.grants.gov/view-opportunity.html?oppId=282697","RFA-FD-16-018")</f>
        <v>RFA-FD-16-018</v>
      </c>
      <c r="B208" t="s">
        <v>273</v>
      </c>
      <c r="C208" t="s">
        <v>17</v>
      </c>
      <c r="D208" t="s">
        <v>18</v>
      </c>
      <c r="E208">
        <v>600000</v>
      </c>
      <c r="F208">
        <v>3</v>
      </c>
      <c r="G208" s="1" t="s">
        <v>252</v>
      </c>
      <c r="I208" t="s">
        <v>253</v>
      </c>
      <c r="L208" s="2">
        <v>42461</v>
      </c>
      <c r="M208" s="2">
        <v>42524</v>
      </c>
      <c r="N208" s="3">
        <v>42461.652094907404</v>
      </c>
      <c r="O208" t="s">
        <v>21</v>
      </c>
      <c r="P208" t="s">
        <v>25</v>
      </c>
    </row>
    <row r="209" spans="1:16" x14ac:dyDescent="0.25">
      <c r="A209" t="str">
        <f>HYPERLINK("https://www.grants.gov/view-opportunity.html?oppId=282682","RFA-FD-16-008")</f>
        <v>RFA-FD-16-008</v>
      </c>
      <c r="B209" t="s">
        <v>274</v>
      </c>
      <c r="C209" t="s">
        <v>17</v>
      </c>
      <c r="D209" t="s">
        <v>18</v>
      </c>
      <c r="E209">
        <v>250000</v>
      </c>
      <c r="F209">
        <v>1</v>
      </c>
      <c r="G209" s="1" t="s">
        <v>252</v>
      </c>
      <c r="I209" t="s">
        <v>253</v>
      </c>
      <c r="L209" s="2">
        <v>42461</v>
      </c>
      <c r="M209" s="2">
        <v>42524</v>
      </c>
      <c r="N209" s="3">
        <v>42461.490983796299</v>
      </c>
      <c r="O209" t="s">
        <v>21</v>
      </c>
      <c r="P209" t="s">
        <v>25</v>
      </c>
    </row>
    <row r="210" spans="1:16" x14ac:dyDescent="0.25">
      <c r="A210" t="str">
        <f>HYPERLINK("https://www.grants.gov/view-opportunity.html?oppId=282717","RFA-FD-16-028")</f>
        <v>RFA-FD-16-028</v>
      </c>
      <c r="B210" t="s">
        <v>275</v>
      </c>
      <c r="C210" t="s">
        <v>17</v>
      </c>
      <c r="D210" t="s">
        <v>18</v>
      </c>
      <c r="E210">
        <v>1000000</v>
      </c>
      <c r="F210">
        <v>2</v>
      </c>
      <c r="G210" s="1" t="s">
        <v>252</v>
      </c>
      <c r="I210" t="s">
        <v>253</v>
      </c>
      <c r="L210" s="2">
        <v>42461</v>
      </c>
      <c r="M210" s="2">
        <v>42524</v>
      </c>
      <c r="N210" s="3">
        <v>42461.665289351855</v>
      </c>
      <c r="O210" t="s">
        <v>21</v>
      </c>
      <c r="P210" t="s">
        <v>25</v>
      </c>
    </row>
    <row r="211" spans="1:16" x14ac:dyDescent="0.25">
      <c r="A211" t="str">
        <f>HYPERLINK("https://www.grants.gov/view-opportunity.html?oppId=282700","RFA-FD-16-029")</f>
        <v>RFA-FD-16-029</v>
      </c>
      <c r="B211" t="s">
        <v>276</v>
      </c>
      <c r="C211" t="s">
        <v>17</v>
      </c>
      <c r="D211" t="s">
        <v>18</v>
      </c>
      <c r="E211">
        <v>500000</v>
      </c>
      <c r="F211">
        <v>2</v>
      </c>
      <c r="G211" s="1" t="s">
        <v>252</v>
      </c>
      <c r="I211" t="s">
        <v>253</v>
      </c>
      <c r="L211" s="2">
        <v>42461</v>
      </c>
      <c r="M211" s="2">
        <v>42524</v>
      </c>
      <c r="N211" s="3">
        <v>42461.676400462966</v>
      </c>
      <c r="O211" t="s">
        <v>21</v>
      </c>
      <c r="P211" t="s">
        <v>25</v>
      </c>
    </row>
    <row r="212" spans="1:16" x14ac:dyDescent="0.25">
      <c r="A212" t="str">
        <f>HYPERLINK("https://www.grants.gov/view-opportunity.html?oppId=282718","RFA-FD-16-033")</f>
        <v>RFA-FD-16-033</v>
      </c>
      <c r="B212" t="s">
        <v>277</v>
      </c>
      <c r="C212" t="s">
        <v>17</v>
      </c>
      <c r="D212" t="s">
        <v>18</v>
      </c>
      <c r="E212">
        <v>300000</v>
      </c>
      <c r="F212">
        <v>1</v>
      </c>
      <c r="G212" s="1" t="s">
        <v>252</v>
      </c>
      <c r="I212" t="s">
        <v>253</v>
      </c>
      <c r="L212" s="2">
        <v>42461</v>
      </c>
      <c r="M212" s="2">
        <v>42524</v>
      </c>
      <c r="N212" s="3">
        <v>42461.692372685182</v>
      </c>
      <c r="O212" t="s">
        <v>21</v>
      </c>
      <c r="P212" t="s">
        <v>25</v>
      </c>
    </row>
    <row r="213" spans="1:16" x14ac:dyDescent="0.25">
      <c r="A213" t="str">
        <f>HYPERLINK("https://www.grants.gov/view-opportunity.html?oppId=282696","RFA-FD-16-025")</f>
        <v>RFA-FD-16-025</v>
      </c>
      <c r="B213" t="s">
        <v>278</v>
      </c>
      <c r="C213" t="s">
        <v>17</v>
      </c>
      <c r="D213" t="s">
        <v>18</v>
      </c>
      <c r="E213">
        <v>500000</v>
      </c>
      <c r="F213">
        <v>2</v>
      </c>
      <c r="G213" s="1" t="s">
        <v>252</v>
      </c>
      <c r="I213" t="s">
        <v>253</v>
      </c>
      <c r="L213" s="2">
        <v>42461</v>
      </c>
      <c r="M213" s="2">
        <v>42524</v>
      </c>
      <c r="N213" s="3">
        <v>42461.63890046296</v>
      </c>
      <c r="O213" t="s">
        <v>21</v>
      </c>
      <c r="P213" t="s">
        <v>25</v>
      </c>
    </row>
    <row r="214" spans="1:16" x14ac:dyDescent="0.25">
      <c r="A214" t="str">
        <f>HYPERLINK("https://www.grants.gov/view-opportunity.html?oppId=282704","RFA-FD-16-010")</f>
        <v>RFA-FD-16-010</v>
      </c>
      <c r="B214" t="s">
        <v>279</v>
      </c>
      <c r="C214" t="s">
        <v>17</v>
      </c>
      <c r="D214" t="s">
        <v>18</v>
      </c>
      <c r="E214">
        <v>250000</v>
      </c>
      <c r="F214">
        <v>1</v>
      </c>
      <c r="G214" s="1" t="s">
        <v>252</v>
      </c>
      <c r="I214" t="s">
        <v>253</v>
      </c>
      <c r="L214" s="2">
        <v>42461</v>
      </c>
      <c r="M214" s="2">
        <v>42521</v>
      </c>
      <c r="N214" s="3">
        <v>42461.507650462961</v>
      </c>
      <c r="O214" t="s">
        <v>21</v>
      </c>
      <c r="P214" t="s">
        <v>25</v>
      </c>
    </row>
    <row r="215" spans="1:16" x14ac:dyDescent="0.25">
      <c r="A215" t="str">
        <f>HYPERLINK("https://www.grants.gov/view-opportunity.html?oppId=282710","RFA-FD-16-020")</f>
        <v>RFA-FD-16-020</v>
      </c>
      <c r="B215" t="s">
        <v>280</v>
      </c>
      <c r="C215" t="s">
        <v>17</v>
      </c>
      <c r="D215" t="s">
        <v>18</v>
      </c>
      <c r="E215">
        <v>675000</v>
      </c>
      <c r="F215">
        <v>3</v>
      </c>
      <c r="G215" s="1" t="s">
        <v>252</v>
      </c>
      <c r="I215" t="s">
        <v>253</v>
      </c>
      <c r="L215" s="2">
        <v>42461</v>
      </c>
      <c r="M215" s="2">
        <v>42524</v>
      </c>
      <c r="N215" s="3">
        <v>42461.539594907408</v>
      </c>
      <c r="O215" t="s">
        <v>21</v>
      </c>
      <c r="P215" t="s">
        <v>25</v>
      </c>
    </row>
    <row r="216" spans="1:16" x14ac:dyDescent="0.25">
      <c r="A216" t="str">
        <f>HYPERLINK("https://www.grants.gov/view-opportunity.html?oppId=282689","RFA-FD-16-011")</f>
        <v>RFA-FD-16-011</v>
      </c>
      <c r="B216" t="s">
        <v>281</v>
      </c>
      <c r="C216" t="s">
        <v>17</v>
      </c>
      <c r="D216" t="s">
        <v>18</v>
      </c>
      <c r="E216">
        <v>400000</v>
      </c>
      <c r="F216">
        <v>2</v>
      </c>
      <c r="G216" s="1" t="s">
        <v>252</v>
      </c>
      <c r="I216" t="s">
        <v>253</v>
      </c>
      <c r="L216" s="2">
        <v>42461</v>
      </c>
      <c r="M216" s="2">
        <v>42524</v>
      </c>
      <c r="N216" s="3">
        <v>42461.524317129632</v>
      </c>
      <c r="O216" t="s">
        <v>21</v>
      </c>
      <c r="P216" t="s">
        <v>25</v>
      </c>
    </row>
    <row r="217" spans="1:16" x14ac:dyDescent="0.25">
      <c r="A217" t="str">
        <f>HYPERLINK("https://www.grants.gov/view-opportunity.html?oppId=282596","RFA-FD-16-016")</f>
        <v>RFA-FD-16-016</v>
      </c>
      <c r="B217" t="s">
        <v>282</v>
      </c>
      <c r="C217" t="s">
        <v>17</v>
      </c>
      <c r="D217" t="s">
        <v>18</v>
      </c>
      <c r="E217">
        <v>2420000</v>
      </c>
      <c r="F217">
        <v>1</v>
      </c>
      <c r="G217" s="1" t="s">
        <v>145</v>
      </c>
      <c r="I217" t="s">
        <v>146</v>
      </c>
      <c r="L217" s="2">
        <v>42458</v>
      </c>
      <c r="M217" s="2">
        <v>42521</v>
      </c>
      <c r="N217" s="3">
        <v>42458.567696759259</v>
      </c>
      <c r="O217" t="s">
        <v>21</v>
      </c>
      <c r="P217" t="s">
        <v>25</v>
      </c>
    </row>
    <row r="218" spans="1:16" x14ac:dyDescent="0.25">
      <c r="A218" t="str">
        <f>HYPERLINK("https://www.grants.gov/view-opportunity.html?oppId=282491","RFA-FD-16-034")</f>
        <v>RFA-FD-16-034</v>
      </c>
      <c r="B218" t="s">
        <v>283</v>
      </c>
      <c r="C218" t="s">
        <v>17</v>
      </c>
      <c r="D218" t="s">
        <v>18</v>
      </c>
      <c r="E218">
        <v>1000000</v>
      </c>
      <c r="F218">
        <v>1</v>
      </c>
      <c r="G218" s="1" t="s">
        <v>203</v>
      </c>
      <c r="I218" t="s">
        <v>204</v>
      </c>
      <c r="L218" s="2">
        <v>42453</v>
      </c>
      <c r="M218" s="2">
        <v>42541</v>
      </c>
      <c r="N218" s="3">
        <v>42534.592511574076</v>
      </c>
      <c r="O218" t="s">
        <v>36</v>
      </c>
      <c r="P218" t="s">
        <v>25</v>
      </c>
    </row>
    <row r="219" spans="1:16" x14ac:dyDescent="0.25">
      <c r="A219" t="str">
        <f>HYPERLINK("https://www.grants.gov/view-opportunity.html?oppId=282331","RFA-FD-16-026")</f>
        <v>RFA-FD-16-026</v>
      </c>
      <c r="B219" t="s">
        <v>284</v>
      </c>
      <c r="C219" t="s">
        <v>17</v>
      </c>
      <c r="D219" t="s">
        <v>18</v>
      </c>
      <c r="E219">
        <v>500000</v>
      </c>
      <c r="F219">
        <v>2</v>
      </c>
      <c r="G219" s="1" t="s">
        <v>252</v>
      </c>
      <c r="I219" t="s">
        <v>253</v>
      </c>
      <c r="L219" s="2">
        <v>42447</v>
      </c>
      <c r="M219" s="2">
        <v>42506</v>
      </c>
      <c r="N219" s="3">
        <v>42447.509236111109</v>
      </c>
      <c r="O219" t="s">
        <v>21</v>
      </c>
      <c r="P219" t="s">
        <v>25</v>
      </c>
    </row>
    <row r="220" spans="1:16" x14ac:dyDescent="0.25">
      <c r="A220" t="str">
        <f>HYPERLINK("https://www.grants.gov/view-opportunity.html?oppId=282340","RFA-FD-16-024")</f>
        <v>RFA-FD-16-024</v>
      </c>
      <c r="B220" t="s">
        <v>285</v>
      </c>
      <c r="C220" t="s">
        <v>17</v>
      </c>
      <c r="D220" t="s">
        <v>18</v>
      </c>
      <c r="E220">
        <v>200000</v>
      </c>
      <c r="F220">
        <v>1</v>
      </c>
      <c r="G220" s="1" t="s">
        <v>252</v>
      </c>
      <c r="I220" t="s">
        <v>253</v>
      </c>
      <c r="L220" s="2">
        <v>42447</v>
      </c>
      <c r="M220" s="2">
        <v>42506</v>
      </c>
      <c r="N220" s="3">
        <v>42447.479375000003</v>
      </c>
      <c r="O220" t="s">
        <v>21</v>
      </c>
      <c r="P220" t="s">
        <v>25</v>
      </c>
    </row>
    <row r="221" spans="1:16" x14ac:dyDescent="0.25">
      <c r="A221" t="str">
        <f>HYPERLINK("https://www.grants.gov/view-opportunity.html?oppId=282325","RFA-FD-16-012")</f>
        <v>RFA-FD-16-012</v>
      </c>
      <c r="B221" t="s">
        <v>286</v>
      </c>
      <c r="C221" t="s">
        <v>17</v>
      </c>
      <c r="D221" t="s">
        <v>18</v>
      </c>
      <c r="E221">
        <v>250000</v>
      </c>
      <c r="F221">
        <v>1</v>
      </c>
      <c r="G221" s="1" t="s">
        <v>252</v>
      </c>
      <c r="I221" t="s">
        <v>253</v>
      </c>
      <c r="L221" s="2">
        <v>42446</v>
      </c>
      <c r="M221" s="2">
        <v>42510</v>
      </c>
      <c r="N221" s="3">
        <v>42446.695335648146</v>
      </c>
      <c r="O221" t="s">
        <v>21</v>
      </c>
      <c r="P221" t="s">
        <v>25</v>
      </c>
    </row>
    <row r="222" spans="1:16" x14ac:dyDescent="0.25">
      <c r="A222" t="str">
        <f>HYPERLINK("https://www.grants.gov/view-opportunity.html?oppId=282326","RFA-FD-16-015")</f>
        <v>RFA-FD-16-015</v>
      </c>
      <c r="B222" t="s">
        <v>287</v>
      </c>
      <c r="C222" t="s">
        <v>17</v>
      </c>
      <c r="D222" t="s">
        <v>18</v>
      </c>
      <c r="E222">
        <v>225000</v>
      </c>
      <c r="F222">
        <v>1</v>
      </c>
      <c r="G222" s="1" t="s">
        <v>252</v>
      </c>
      <c r="I222" t="s">
        <v>288</v>
      </c>
      <c r="L222" s="2">
        <v>42446</v>
      </c>
      <c r="M222" s="2">
        <v>42513</v>
      </c>
      <c r="N222" s="3">
        <v>42446.723807870374</v>
      </c>
      <c r="O222" t="s">
        <v>21</v>
      </c>
      <c r="P222" t="s">
        <v>25</v>
      </c>
    </row>
    <row r="223" spans="1:16" x14ac:dyDescent="0.25">
      <c r="A223" t="str">
        <f>HYPERLINK("https://www.grants.gov/view-opportunity.html?oppId=282310","PAR-16-137")</f>
        <v>PAR-16-137</v>
      </c>
      <c r="B223" t="s">
        <v>289</v>
      </c>
      <c r="C223" t="s">
        <v>17</v>
      </c>
      <c r="D223" t="s">
        <v>18</v>
      </c>
      <c r="E223">
        <v>19000000</v>
      </c>
      <c r="F223">
        <v>55</v>
      </c>
      <c r="G223" s="1" t="s">
        <v>290</v>
      </c>
      <c r="I223" t="s">
        <v>146</v>
      </c>
      <c r="L223" s="2">
        <v>42446</v>
      </c>
      <c r="M223" s="2">
        <v>43558</v>
      </c>
      <c r="N223" s="3">
        <v>42765.468402777777</v>
      </c>
      <c r="O223" t="s">
        <v>28</v>
      </c>
      <c r="P223" t="s">
        <v>25</v>
      </c>
    </row>
    <row r="224" spans="1:16" x14ac:dyDescent="0.25">
      <c r="A224" t="str">
        <f>HYPERLINK("https://www.grants.gov/view-opportunity.html?oppId=282260","RFA-FD-16-046")</f>
        <v>RFA-FD-16-046</v>
      </c>
      <c r="B224" t="s">
        <v>291</v>
      </c>
      <c r="C224" t="s">
        <v>17</v>
      </c>
      <c r="D224" t="s">
        <v>18</v>
      </c>
      <c r="E224">
        <v>300000</v>
      </c>
      <c r="F224">
        <v>2</v>
      </c>
      <c r="G224" s="1" t="s">
        <v>203</v>
      </c>
      <c r="I224" t="s">
        <v>204</v>
      </c>
      <c r="L224" s="2">
        <v>42445</v>
      </c>
      <c r="M224" s="2">
        <v>42514</v>
      </c>
      <c r="N224" s="3">
        <v>42445.402962962966</v>
      </c>
      <c r="O224" t="s">
        <v>21</v>
      </c>
      <c r="P224" t="s">
        <v>25</v>
      </c>
    </row>
    <row r="225" spans="1:16" x14ac:dyDescent="0.25">
      <c r="A225" t="str">
        <f>HYPERLINK("https://www.grants.gov/view-opportunity.html?oppId=282254","PAR-16-132")</f>
        <v>PAR-16-132</v>
      </c>
      <c r="B225" t="s">
        <v>292</v>
      </c>
      <c r="C225" t="s">
        <v>17</v>
      </c>
      <c r="D225" t="s">
        <v>18</v>
      </c>
      <c r="E225">
        <v>99000</v>
      </c>
      <c r="F225">
        <v>1</v>
      </c>
      <c r="G225" s="1" t="s">
        <v>203</v>
      </c>
      <c r="I225" t="s">
        <v>204</v>
      </c>
      <c r="L225" s="2">
        <v>42445</v>
      </c>
      <c r="M225" s="2">
        <v>43221</v>
      </c>
      <c r="N225" s="3">
        <v>42445.611296296294</v>
      </c>
      <c r="O225" t="s">
        <v>24</v>
      </c>
      <c r="P225" t="s">
        <v>25</v>
      </c>
    </row>
    <row r="226" spans="1:16" x14ac:dyDescent="0.25">
      <c r="A226" t="str">
        <f>HYPERLINK("https://www.grants.gov/view-opportunity.html?oppId=282207","RFA-FD-16-022")</f>
        <v>RFA-FD-16-022</v>
      </c>
      <c r="B226" t="s">
        <v>293</v>
      </c>
      <c r="C226" t="s">
        <v>17</v>
      </c>
      <c r="D226" t="s">
        <v>18</v>
      </c>
      <c r="E226">
        <v>2500000</v>
      </c>
      <c r="F226">
        <v>5</v>
      </c>
      <c r="G226" s="1" t="s">
        <v>145</v>
      </c>
      <c r="I226" t="s">
        <v>146</v>
      </c>
      <c r="L226" s="2">
        <v>42443</v>
      </c>
      <c r="M226" s="2">
        <v>42506</v>
      </c>
      <c r="N226" s="3">
        <v>42443.622384259259</v>
      </c>
      <c r="O226" t="s">
        <v>21</v>
      </c>
      <c r="P226" t="s">
        <v>25</v>
      </c>
    </row>
    <row r="227" spans="1:16" x14ac:dyDescent="0.25">
      <c r="A227" t="str">
        <f>HYPERLINK("https://www.grants.gov/view-opportunity.html?oppId=282204","RFA-FD-16-023")</f>
        <v>RFA-FD-16-023</v>
      </c>
      <c r="B227" t="s">
        <v>294</v>
      </c>
      <c r="C227" t="s">
        <v>17</v>
      </c>
      <c r="D227" t="s">
        <v>18</v>
      </c>
      <c r="E227">
        <v>900000</v>
      </c>
      <c r="F227">
        <v>2</v>
      </c>
      <c r="G227" s="1" t="s">
        <v>145</v>
      </c>
      <c r="I227" t="s">
        <v>146</v>
      </c>
      <c r="L227" s="2">
        <v>42443</v>
      </c>
      <c r="M227" s="2">
        <v>42506</v>
      </c>
      <c r="N227" s="3">
        <v>42443.607800925929</v>
      </c>
      <c r="O227" t="s">
        <v>21</v>
      </c>
      <c r="P227" t="s">
        <v>25</v>
      </c>
    </row>
    <row r="228" spans="1:16" x14ac:dyDescent="0.25">
      <c r="A228" t="str">
        <f>HYPERLINK("https://www.grants.gov/view-opportunity.html?oppId=282206","RFA-FD-16-032")</f>
        <v>RFA-FD-16-032</v>
      </c>
      <c r="B228" t="s">
        <v>295</v>
      </c>
      <c r="C228" t="s">
        <v>17</v>
      </c>
      <c r="D228" t="s">
        <v>18</v>
      </c>
      <c r="E228">
        <v>900000</v>
      </c>
      <c r="F228">
        <v>3</v>
      </c>
      <c r="G228" s="1" t="s">
        <v>145</v>
      </c>
      <c r="I228" t="s">
        <v>146</v>
      </c>
      <c r="L228" s="2">
        <v>42443</v>
      </c>
      <c r="M228" s="2">
        <v>42506</v>
      </c>
      <c r="N228" s="3">
        <v>42443.613356481481</v>
      </c>
      <c r="O228" t="s">
        <v>21</v>
      </c>
      <c r="P228" t="s">
        <v>25</v>
      </c>
    </row>
    <row r="229" spans="1:16" x14ac:dyDescent="0.25">
      <c r="A229" t="str">
        <f>HYPERLINK("https://www.grants.gov/view-opportunity.html?oppId=282183","RFA-FD-16-021")</f>
        <v>RFA-FD-16-021</v>
      </c>
      <c r="B229" t="s">
        <v>296</v>
      </c>
      <c r="C229" t="s">
        <v>17</v>
      </c>
      <c r="D229" t="s">
        <v>18</v>
      </c>
      <c r="E229">
        <v>500000</v>
      </c>
      <c r="F229">
        <v>4</v>
      </c>
      <c r="G229" s="1" t="s">
        <v>145</v>
      </c>
      <c r="I229" t="s">
        <v>146</v>
      </c>
      <c r="L229" s="2">
        <v>42443</v>
      </c>
      <c r="M229" s="2">
        <v>42506</v>
      </c>
      <c r="N229" s="3">
        <v>42443.470995370371</v>
      </c>
      <c r="O229" t="s">
        <v>21</v>
      </c>
      <c r="P229" t="s">
        <v>25</v>
      </c>
    </row>
    <row r="230" spans="1:16" x14ac:dyDescent="0.25">
      <c r="A230" t="str">
        <f>HYPERLINK("https://www.grants.gov/view-opportunity.html?oppId=282010","RFA-FD-16-013")</f>
        <v>RFA-FD-16-013</v>
      </c>
      <c r="B230" t="s">
        <v>297</v>
      </c>
      <c r="C230" t="s">
        <v>17</v>
      </c>
      <c r="D230" t="s">
        <v>18</v>
      </c>
      <c r="E230">
        <v>125000</v>
      </c>
      <c r="F230">
        <v>1</v>
      </c>
      <c r="G230" s="1" t="s">
        <v>203</v>
      </c>
      <c r="I230" t="s">
        <v>204</v>
      </c>
      <c r="L230" s="2">
        <v>42436</v>
      </c>
      <c r="M230" s="2">
        <v>42522</v>
      </c>
      <c r="N230" s="3">
        <v>42506.491157407407</v>
      </c>
      <c r="O230" t="s">
        <v>36</v>
      </c>
      <c r="P230" t="s">
        <v>25</v>
      </c>
    </row>
    <row r="231" spans="1:16" x14ac:dyDescent="0.25">
      <c r="A231" t="str">
        <f>HYPERLINK("https://www.grants.gov/view-opportunity.html?oppId=281831","RFA-FD-16-014")</f>
        <v>RFA-FD-16-014</v>
      </c>
      <c r="B231" t="s">
        <v>298</v>
      </c>
      <c r="C231" t="s">
        <v>17</v>
      </c>
      <c r="D231" t="s">
        <v>18</v>
      </c>
      <c r="E231">
        <v>3500000</v>
      </c>
      <c r="F231">
        <v>1</v>
      </c>
      <c r="G231" s="1" t="s">
        <v>203</v>
      </c>
      <c r="I231" t="s">
        <v>204</v>
      </c>
      <c r="L231" s="2">
        <v>42429</v>
      </c>
      <c r="M231" s="2">
        <v>42489</v>
      </c>
      <c r="N231" s="3">
        <v>42429.47047453704</v>
      </c>
      <c r="O231" t="s">
        <v>21</v>
      </c>
      <c r="P231" t="s">
        <v>25</v>
      </c>
    </row>
    <row r="232" spans="1:16" x14ac:dyDescent="0.25">
      <c r="A232" t="str">
        <f>HYPERLINK("https://www.grants.gov/view-opportunity.html?oppId=281542","PAR-16-099")</f>
        <v>PAR-16-099</v>
      </c>
      <c r="B232" t="s">
        <v>299</v>
      </c>
      <c r="C232" t="s">
        <v>17</v>
      </c>
      <c r="D232" t="s">
        <v>18</v>
      </c>
      <c r="E232">
        <v>5000000</v>
      </c>
      <c r="F232">
        <v>30</v>
      </c>
      <c r="G232" s="1" t="s">
        <v>198</v>
      </c>
      <c r="I232" t="s">
        <v>244</v>
      </c>
      <c r="L232" s="2">
        <v>42416</v>
      </c>
      <c r="M232" s="2">
        <v>43952</v>
      </c>
      <c r="N232" s="3">
        <v>43509.440428240741</v>
      </c>
      <c r="O232" t="s">
        <v>24</v>
      </c>
      <c r="P232" t="s">
        <v>25</v>
      </c>
    </row>
    <row r="233" spans="1:16" x14ac:dyDescent="0.25">
      <c r="A233" t="str">
        <f>HYPERLINK("https://www.grants.gov/view-opportunity.html?oppId=281417","RFA-FD-16-006")</f>
        <v>RFA-FD-16-006</v>
      </c>
      <c r="B233" t="s">
        <v>300</v>
      </c>
      <c r="C233" t="s">
        <v>17</v>
      </c>
      <c r="D233" t="s">
        <v>18</v>
      </c>
      <c r="E233">
        <v>500000</v>
      </c>
      <c r="F233">
        <v>1</v>
      </c>
      <c r="G233" s="1" t="s">
        <v>203</v>
      </c>
      <c r="I233" t="s">
        <v>204</v>
      </c>
      <c r="L233" s="2">
        <v>42408</v>
      </c>
      <c r="M233" s="2">
        <v>42468</v>
      </c>
      <c r="N233" s="3">
        <v>42408.489675925928</v>
      </c>
      <c r="O233" t="s">
        <v>21</v>
      </c>
      <c r="P233" t="s">
        <v>25</v>
      </c>
    </row>
    <row r="234" spans="1:16" x14ac:dyDescent="0.25">
      <c r="A234" t="str">
        <f>HYPERLINK("https://www.grants.gov/view-opportunity.html?oppId=281240","RFA-FD-16-001")</f>
        <v>RFA-FD-16-001</v>
      </c>
      <c r="B234" t="s">
        <v>301</v>
      </c>
      <c r="C234" t="s">
        <v>17</v>
      </c>
      <c r="D234" t="s">
        <v>18</v>
      </c>
      <c r="E234">
        <v>750000</v>
      </c>
      <c r="F234">
        <v>1</v>
      </c>
      <c r="G234" s="1" t="s">
        <v>268</v>
      </c>
      <c r="I234" t="s">
        <v>269</v>
      </c>
      <c r="L234" s="2">
        <v>42398</v>
      </c>
      <c r="M234" s="2">
        <v>42481</v>
      </c>
      <c r="N234" s="3">
        <v>42405.487557870372</v>
      </c>
      <c r="O234" t="s">
        <v>24</v>
      </c>
      <c r="P234" t="s">
        <v>25</v>
      </c>
    </row>
    <row r="235" spans="1:16" x14ac:dyDescent="0.25">
      <c r="A235" t="str">
        <f>HYPERLINK("https://www.grants.gov/view-opportunity.html?oppId=278714","RFA-FD-16-005")</f>
        <v>RFA-FD-16-005</v>
      </c>
      <c r="B235" t="s">
        <v>302</v>
      </c>
      <c r="C235" t="s">
        <v>17</v>
      </c>
      <c r="D235" t="s">
        <v>18</v>
      </c>
      <c r="E235">
        <v>950000</v>
      </c>
      <c r="F235">
        <v>2</v>
      </c>
      <c r="G235" s="1" t="s">
        <v>303</v>
      </c>
      <c r="I235" t="s">
        <v>259</v>
      </c>
      <c r="L235" s="2">
        <v>42243</v>
      </c>
      <c r="M235" s="2">
        <v>42311</v>
      </c>
      <c r="N235" s="3">
        <v>42243.730868055558</v>
      </c>
      <c r="O235" t="s">
        <v>21</v>
      </c>
      <c r="P235" t="s">
        <v>25</v>
      </c>
    </row>
    <row r="236" spans="1:16" x14ac:dyDescent="0.25">
      <c r="A236" t="str">
        <f>HYPERLINK("https://www.grants.gov/view-opportunity.html?oppId=278211","RFA-FD-16-003")</f>
        <v>RFA-FD-16-003</v>
      </c>
      <c r="B236" t="s">
        <v>304</v>
      </c>
      <c r="C236" t="s">
        <v>17</v>
      </c>
      <c r="D236" t="s">
        <v>18</v>
      </c>
      <c r="E236">
        <v>2000000</v>
      </c>
      <c r="F236">
        <v>2</v>
      </c>
      <c r="G236" s="1" t="s">
        <v>305</v>
      </c>
      <c r="I236" t="s">
        <v>269</v>
      </c>
      <c r="L236" s="2">
        <v>42216</v>
      </c>
      <c r="M236" s="2">
        <v>42293</v>
      </c>
      <c r="N236" s="3">
        <v>42216.635081018518</v>
      </c>
      <c r="O236" t="s">
        <v>21</v>
      </c>
      <c r="P236" t="s">
        <v>25</v>
      </c>
    </row>
    <row r="237" spans="1:16" x14ac:dyDescent="0.25">
      <c r="A237" t="str">
        <f>HYPERLINK("https://www.grants.gov/view-opportunity.html?oppId=278213","RFA-FD-16-004")</f>
        <v>RFA-FD-16-004</v>
      </c>
      <c r="B237" t="s">
        <v>306</v>
      </c>
      <c r="C237" t="s">
        <v>17</v>
      </c>
      <c r="D237" t="s">
        <v>18</v>
      </c>
      <c r="E237">
        <v>1000000</v>
      </c>
      <c r="F237">
        <v>2</v>
      </c>
      <c r="G237" s="1" t="s">
        <v>305</v>
      </c>
      <c r="I237" t="s">
        <v>269</v>
      </c>
      <c r="L237" s="2">
        <v>42216</v>
      </c>
      <c r="M237" s="2">
        <v>42293</v>
      </c>
      <c r="N237" s="3">
        <v>42216.63994212963</v>
      </c>
      <c r="O237" t="s">
        <v>21</v>
      </c>
      <c r="P237" t="s">
        <v>25</v>
      </c>
    </row>
    <row r="238" spans="1:16" x14ac:dyDescent="0.25">
      <c r="A238" t="str">
        <f>HYPERLINK("https://www.grants.gov/view-opportunity.html?oppId=278015","RFA-FD-15-035")</f>
        <v>RFA-FD-15-035</v>
      </c>
      <c r="B238" t="s">
        <v>307</v>
      </c>
      <c r="C238" t="s">
        <v>17</v>
      </c>
      <c r="D238" t="s">
        <v>18</v>
      </c>
      <c r="E238">
        <v>5000000</v>
      </c>
      <c r="F238">
        <v>1</v>
      </c>
      <c r="G238" s="1" t="s">
        <v>308</v>
      </c>
      <c r="I238" t="s">
        <v>259</v>
      </c>
      <c r="L238" s="2">
        <v>42207</v>
      </c>
      <c r="M238" s="2">
        <v>42240</v>
      </c>
      <c r="N238" s="3">
        <v>42207.666921296295</v>
      </c>
      <c r="O238" t="s">
        <v>24</v>
      </c>
      <c r="P238" t="s">
        <v>25</v>
      </c>
    </row>
    <row r="239" spans="1:16" x14ac:dyDescent="0.25">
      <c r="A239" t="str">
        <f>HYPERLINK("https://www.grants.gov/view-opportunity.html?oppId=278004","RFA-FD-15-038")</f>
        <v>RFA-FD-15-038</v>
      </c>
      <c r="B239" t="s">
        <v>309</v>
      </c>
      <c r="C239" t="s">
        <v>17</v>
      </c>
      <c r="D239" t="s">
        <v>18</v>
      </c>
      <c r="E239">
        <v>250000</v>
      </c>
      <c r="F239">
        <v>1</v>
      </c>
      <c r="G239" s="1" t="s">
        <v>310</v>
      </c>
      <c r="I239" t="s">
        <v>311</v>
      </c>
      <c r="L239" s="2">
        <v>42206</v>
      </c>
      <c r="M239" s="2">
        <v>42240</v>
      </c>
      <c r="N239" s="3">
        <v>42234.448819444442</v>
      </c>
      <c r="O239" t="s">
        <v>36</v>
      </c>
      <c r="P239" t="s">
        <v>25</v>
      </c>
    </row>
    <row r="240" spans="1:16" x14ac:dyDescent="0.25">
      <c r="A240" t="str">
        <f>HYPERLINK("https://www.grants.gov/view-opportunity.html?oppId=277668","RFA-FD-15-041")</f>
        <v>RFA-FD-15-041</v>
      </c>
      <c r="B240" t="s">
        <v>312</v>
      </c>
      <c r="C240" t="s">
        <v>17</v>
      </c>
      <c r="D240" t="s">
        <v>18</v>
      </c>
      <c r="E240">
        <v>2000000</v>
      </c>
      <c r="F240">
        <v>2</v>
      </c>
      <c r="G240" s="1" t="s">
        <v>145</v>
      </c>
      <c r="I240" t="s">
        <v>146</v>
      </c>
      <c r="L240" s="2">
        <v>42191</v>
      </c>
      <c r="M240" s="2">
        <v>42215</v>
      </c>
      <c r="N240" s="3">
        <v>42191.426458333335</v>
      </c>
      <c r="O240" t="s">
        <v>21</v>
      </c>
      <c r="P240" t="s">
        <v>25</v>
      </c>
    </row>
    <row r="241" spans="1:16" x14ac:dyDescent="0.25">
      <c r="A241" t="str">
        <f>HYPERLINK("https://www.grants.gov/view-opportunity.html?oppId=277310","RFA-FD-15-039")</f>
        <v>RFA-FD-15-039</v>
      </c>
      <c r="B241" t="s">
        <v>313</v>
      </c>
      <c r="C241" t="s">
        <v>17</v>
      </c>
      <c r="D241" t="s">
        <v>18</v>
      </c>
      <c r="E241">
        <v>1000000</v>
      </c>
      <c r="F241">
        <v>1</v>
      </c>
      <c r="G241" s="1" t="s">
        <v>145</v>
      </c>
      <c r="I241" t="s">
        <v>146</v>
      </c>
      <c r="L241" s="2">
        <v>42174</v>
      </c>
      <c r="M241" s="2">
        <v>42214</v>
      </c>
      <c r="N241" s="3">
        <v>42174.462719907409</v>
      </c>
      <c r="O241" t="s">
        <v>21</v>
      </c>
      <c r="P241" t="s">
        <v>25</v>
      </c>
    </row>
    <row r="242" spans="1:16" x14ac:dyDescent="0.25">
      <c r="A242" t="str">
        <f>HYPERLINK("https://www.grants.gov/view-opportunity.html?oppId=276933","RFA-FD-15-011")</f>
        <v>RFA-FD-15-011</v>
      </c>
      <c r="B242" t="s">
        <v>314</v>
      </c>
      <c r="C242" t="s">
        <v>17</v>
      </c>
      <c r="D242" t="s">
        <v>18</v>
      </c>
      <c r="E242">
        <v>452700</v>
      </c>
      <c r="F242">
        <v>1</v>
      </c>
      <c r="G242" s="1" t="s">
        <v>315</v>
      </c>
      <c r="I242" t="s">
        <v>316</v>
      </c>
      <c r="L242" s="2">
        <v>42153</v>
      </c>
      <c r="M242" s="2">
        <v>42187</v>
      </c>
      <c r="N242" s="3">
        <v>42153.625335648147</v>
      </c>
      <c r="O242" t="s">
        <v>21</v>
      </c>
      <c r="P242" t="s">
        <v>25</v>
      </c>
    </row>
    <row r="243" spans="1:16" x14ac:dyDescent="0.25">
      <c r="A243" t="str">
        <f>HYPERLINK("https://www.grants.gov/view-opportunity.html?oppId=276859","RFA-FD-15-023")</f>
        <v>RFA-FD-15-023</v>
      </c>
      <c r="B243" t="s">
        <v>317</v>
      </c>
      <c r="C243" t="s">
        <v>17</v>
      </c>
      <c r="D243" t="s">
        <v>18</v>
      </c>
      <c r="E243">
        <v>3000000</v>
      </c>
      <c r="F243">
        <v>10</v>
      </c>
      <c r="G243" s="1" t="s">
        <v>315</v>
      </c>
      <c r="I243" t="s">
        <v>318</v>
      </c>
      <c r="L243" s="2">
        <v>42151</v>
      </c>
      <c r="M243" s="2">
        <v>42187</v>
      </c>
      <c r="N243" s="3">
        <v>42151.523923611108</v>
      </c>
      <c r="O243" t="s">
        <v>21</v>
      </c>
      <c r="P243" t="s">
        <v>25</v>
      </c>
    </row>
    <row r="244" spans="1:16" x14ac:dyDescent="0.25">
      <c r="A244" t="str">
        <f>HYPERLINK("https://www.grants.gov/view-opportunity.html?oppId=276832","RFA-FD-15-012")</f>
        <v>RFA-FD-15-012</v>
      </c>
      <c r="B244" t="s">
        <v>319</v>
      </c>
      <c r="C244" t="s">
        <v>17</v>
      </c>
      <c r="D244" t="s">
        <v>18</v>
      </c>
      <c r="E244">
        <v>700000</v>
      </c>
      <c r="F244">
        <v>1</v>
      </c>
      <c r="G244" s="1" t="s">
        <v>320</v>
      </c>
      <c r="I244" t="s">
        <v>311</v>
      </c>
      <c r="L244" s="2">
        <v>42151</v>
      </c>
      <c r="M244" s="2">
        <v>42205</v>
      </c>
      <c r="N244" s="3">
        <v>42151.553784722222</v>
      </c>
      <c r="O244" t="s">
        <v>21</v>
      </c>
      <c r="P244" t="s">
        <v>25</v>
      </c>
    </row>
    <row r="245" spans="1:16" x14ac:dyDescent="0.25">
      <c r="A245" t="str">
        <f>HYPERLINK("https://www.grants.gov/view-opportunity.html?oppId=276822","RFA-FD-15-026")</f>
        <v>RFA-FD-15-026</v>
      </c>
      <c r="B245" t="s">
        <v>321</v>
      </c>
      <c r="C245" t="s">
        <v>17</v>
      </c>
      <c r="D245" t="s">
        <v>18</v>
      </c>
      <c r="E245">
        <v>3000000</v>
      </c>
      <c r="F245">
        <v>1</v>
      </c>
      <c r="G245" s="1" t="s">
        <v>305</v>
      </c>
      <c r="I245" t="s">
        <v>269</v>
      </c>
      <c r="L245" s="2">
        <v>42150</v>
      </c>
      <c r="M245" s="2">
        <v>42277</v>
      </c>
      <c r="N245" s="3">
        <v>42198.67931712963</v>
      </c>
      <c r="O245" t="s">
        <v>24</v>
      </c>
      <c r="P245" t="s">
        <v>25</v>
      </c>
    </row>
    <row r="246" spans="1:16" x14ac:dyDescent="0.25">
      <c r="A246" t="str">
        <f>HYPERLINK("https://www.grants.gov/view-opportunity.html?oppId=276770","RFA-FD-15-029")</f>
        <v>RFA-FD-15-029</v>
      </c>
      <c r="B246" t="s">
        <v>322</v>
      </c>
      <c r="C246" t="s">
        <v>17</v>
      </c>
      <c r="D246" t="s">
        <v>18</v>
      </c>
      <c r="E246">
        <v>278000</v>
      </c>
      <c r="F246">
        <v>1</v>
      </c>
      <c r="G246" s="1" t="s">
        <v>320</v>
      </c>
      <c r="I246" t="s">
        <v>311</v>
      </c>
      <c r="L246" s="2">
        <v>42146</v>
      </c>
      <c r="M246" s="2">
        <v>42206</v>
      </c>
      <c r="N246" s="3">
        <v>42146.444004629629</v>
      </c>
      <c r="O246" t="s">
        <v>21</v>
      </c>
      <c r="P246" t="s">
        <v>25</v>
      </c>
    </row>
    <row r="247" spans="1:16" x14ac:dyDescent="0.25">
      <c r="A247" t="str">
        <f>HYPERLINK("https://www.grants.gov/view-opportunity.html?oppId=276649","RFA-FD-15-014")</f>
        <v>RFA-FD-15-014</v>
      </c>
      <c r="B247" t="s">
        <v>323</v>
      </c>
      <c r="C247" t="s">
        <v>17</v>
      </c>
      <c r="D247" t="s">
        <v>18</v>
      </c>
      <c r="E247">
        <v>500000</v>
      </c>
      <c r="F247">
        <v>1</v>
      </c>
      <c r="G247" s="1" t="s">
        <v>305</v>
      </c>
      <c r="I247" t="s">
        <v>269</v>
      </c>
      <c r="L247" s="2">
        <v>42142</v>
      </c>
      <c r="M247" s="2">
        <v>42356</v>
      </c>
      <c r="N247" s="3">
        <v>42333.42528935185</v>
      </c>
      <c r="O247" t="s">
        <v>28</v>
      </c>
      <c r="P247" t="s">
        <v>25</v>
      </c>
    </row>
    <row r="248" spans="1:16" x14ac:dyDescent="0.25">
      <c r="A248" t="str">
        <f>HYPERLINK("https://www.grants.gov/view-opportunity.html?oppId=276597","RFA-FD-15-040")</f>
        <v>RFA-FD-15-040</v>
      </c>
      <c r="B248" t="s">
        <v>324</v>
      </c>
      <c r="C248" t="s">
        <v>17</v>
      </c>
      <c r="D248" t="s">
        <v>18</v>
      </c>
      <c r="E248">
        <v>1000000</v>
      </c>
      <c r="F248">
        <v>1</v>
      </c>
      <c r="G248" s="1" t="s">
        <v>325</v>
      </c>
      <c r="I248" t="s">
        <v>326</v>
      </c>
      <c r="L248" s="2">
        <v>42138</v>
      </c>
      <c r="M248" s="2">
        <v>42202</v>
      </c>
      <c r="N248" s="3">
        <v>42195.457754629628</v>
      </c>
      <c r="O248" t="s">
        <v>24</v>
      </c>
      <c r="P248" t="s">
        <v>25</v>
      </c>
    </row>
    <row r="249" spans="1:16" x14ac:dyDescent="0.25">
      <c r="A249" t="str">
        <f>HYPERLINK("https://www.grants.gov/view-opportunity.html?oppId=276601","RFA-FD-15-036")</f>
        <v>RFA-FD-15-036</v>
      </c>
      <c r="B249" t="s">
        <v>306</v>
      </c>
      <c r="C249" t="s">
        <v>17</v>
      </c>
      <c r="D249" t="s">
        <v>18</v>
      </c>
      <c r="E249">
        <v>1000000</v>
      </c>
      <c r="F249">
        <v>2</v>
      </c>
      <c r="G249" s="1" t="s">
        <v>305</v>
      </c>
      <c r="I249" t="s">
        <v>269</v>
      </c>
      <c r="L249" s="2">
        <v>42138</v>
      </c>
      <c r="M249" s="2">
        <v>42187</v>
      </c>
      <c r="N249" s="3">
        <v>42167.445277777777</v>
      </c>
      <c r="O249" t="s">
        <v>24</v>
      </c>
      <c r="P249" t="s">
        <v>25</v>
      </c>
    </row>
    <row r="250" spans="1:16" x14ac:dyDescent="0.25">
      <c r="A250" t="str">
        <f>HYPERLINK("https://www.grants.gov/view-opportunity.html?oppId=276522","RFA-FD-15-020")</f>
        <v>RFA-FD-15-020</v>
      </c>
      <c r="B250" t="s">
        <v>327</v>
      </c>
      <c r="C250" t="s">
        <v>17</v>
      </c>
      <c r="D250" t="s">
        <v>18</v>
      </c>
      <c r="E250">
        <v>5400000</v>
      </c>
      <c r="F250">
        <v>18</v>
      </c>
      <c r="G250" s="1" t="s">
        <v>145</v>
      </c>
      <c r="I250" t="s">
        <v>146</v>
      </c>
      <c r="L250" s="2">
        <v>42135</v>
      </c>
      <c r="M250" s="2">
        <v>42437</v>
      </c>
      <c r="N250" s="3">
        <v>42135.673738425925</v>
      </c>
      <c r="O250" t="s">
        <v>21</v>
      </c>
      <c r="P250" t="s">
        <v>25</v>
      </c>
    </row>
    <row r="251" spans="1:16" x14ac:dyDescent="0.25">
      <c r="A251" t="str">
        <f>HYPERLINK("https://www.grants.gov/view-opportunity.html?oppId=276497","RFA-FD-15-021")</f>
        <v>RFA-FD-15-021</v>
      </c>
      <c r="B251" t="s">
        <v>328</v>
      </c>
      <c r="C251" t="s">
        <v>17</v>
      </c>
      <c r="D251" t="s">
        <v>18</v>
      </c>
      <c r="E251">
        <v>12600000</v>
      </c>
      <c r="F251">
        <v>24</v>
      </c>
      <c r="G251" s="1" t="s">
        <v>145</v>
      </c>
      <c r="I251" t="s">
        <v>146</v>
      </c>
      <c r="L251" s="2">
        <v>42135</v>
      </c>
      <c r="M251" s="2">
        <v>42200</v>
      </c>
      <c r="N251" s="3">
        <v>42135.575127314813</v>
      </c>
      <c r="O251" t="s">
        <v>21</v>
      </c>
      <c r="P251" t="s">
        <v>25</v>
      </c>
    </row>
    <row r="252" spans="1:16" x14ac:dyDescent="0.25">
      <c r="A252" t="str">
        <f>HYPERLINK("https://www.grants.gov/view-opportunity.html?oppId=276469","RFA-FD-15-018")</f>
        <v>RFA-FD-15-018</v>
      </c>
      <c r="B252" t="s">
        <v>329</v>
      </c>
      <c r="C252" t="s">
        <v>17</v>
      </c>
      <c r="D252" t="s">
        <v>18</v>
      </c>
      <c r="E252">
        <v>1495000</v>
      </c>
      <c r="F252">
        <v>22</v>
      </c>
      <c r="G252" s="1" t="s">
        <v>145</v>
      </c>
      <c r="I252" t="s">
        <v>146</v>
      </c>
      <c r="L252" s="2">
        <v>42132</v>
      </c>
      <c r="M252" s="2">
        <v>42200</v>
      </c>
      <c r="N252" s="3">
        <v>42132.488287037035</v>
      </c>
      <c r="O252" t="s">
        <v>21</v>
      </c>
      <c r="P252" t="s">
        <v>25</v>
      </c>
    </row>
    <row r="253" spans="1:16" x14ac:dyDescent="0.25">
      <c r="A253" t="str">
        <f>HYPERLINK("https://www.grants.gov/view-opportunity.html?oppId=276449","RFA-FD-15-025")</f>
        <v>RFA-FD-15-025</v>
      </c>
      <c r="B253" t="s">
        <v>296</v>
      </c>
      <c r="C253" t="s">
        <v>17</v>
      </c>
      <c r="D253" t="s">
        <v>18</v>
      </c>
      <c r="E253">
        <v>800000</v>
      </c>
      <c r="F253">
        <v>7</v>
      </c>
      <c r="G253" s="1" t="s">
        <v>145</v>
      </c>
      <c r="I253" t="s">
        <v>146</v>
      </c>
      <c r="L253" s="2">
        <v>42132</v>
      </c>
      <c r="M253" s="2">
        <v>42209</v>
      </c>
      <c r="N253" s="3">
        <v>42177.592615740738</v>
      </c>
      <c r="O253" t="s">
        <v>24</v>
      </c>
      <c r="P253" t="s">
        <v>25</v>
      </c>
    </row>
    <row r="254" spans="1:16" x14ac:dyDescent="0.25">
      <c r="A254" t="str">
        <f>HYPERLINK("https://www.grants.gov/view-opportunity.html?oppId=276447","RFA-FD-15-024")</f>
        <v>RFA-FD-15-024</v>
      </c>
      <c r="B254" t="s">
        <v>330</v>
      </c>
      <c r="C254" t="s">
        <v>17</v>
      </c>
      <c r="D254" t="s">
        <v>18</v>
      </c>
      <c r="E254">
        <v>680000</v>
      </c>
      <c r="F254">
        <v>1</v>
      </c>
      <c r="G254" s="1" t="s">
        <v>145</v>
      </c>
      <c r="I254" t="s">
        <v>146</v>
      </c>
      <c r="L254" s="2">
        <v>42132</v>
      </c>
      <c r="M254" s="2">
        <v>42200</v>
      </c>
      <c r="N254" s="3">
        <v>42132.563287037039</v>
      </c>
      <c r="O254" t="s">
        <v>21</v>
      </c>
      <c r="P254" t="s">
        <v>25</v>
      </c>
    </row>
    <row r="255" spans="1:16" x14ac:dyDescent="0.25">
      <c r="A255" t="str">
        <f>HYPERLINK("https://www.grants.gov/view-opportunity.html?oppId=276406","RFA-FD-15-022")</f>
        <v>RFA-FD-15-022</v>
      </c>
      <c r="B255" t="s">
        <v>331</v>
      </c>
      <c r="C255" t="s">
        <v>17</v>
      </c>
      <c r="D255" t="s">
        <v>18</v>
      </c>
      <c r="E255">
        <v>200000</v>
      </c>
      <c r="F255">
        <v>2</v>
      </c>
      <c r="G255" s="1" t="s">
        <v>332</v>
      </c>
      <c r="I255" t="s">
        <v>146</v>
      </c>
      <c r="L255" s="2">
        <v>42130</v>
      </c>
      <c r="M255" s="2">
        <v>43557</v>
      </c>
      <c r="N255" s="3">
        <v>42423.438460648147</v>
      </c>
      <c r="O255" t="s">
        <v>24</v>
      </c>
      <c r="P255" t="s">
        <v>25</v>
      </c>
    </row>
    <row r="256" spans="1:16" x14ac:dyDescent="0.25">
      <c r="A256" t="str">
        <f>HYPERLINK("https://www.grants.gov/view-opportunity.html?oppId=276357","RFA-FD-15-027")</f>
        <v>RFA-FD-15-027</v>
      </c>
      <c r="B256" t="s">
        <v>333</v>
      </c>
      <c r="C256" t="s">
        <v>17</v>
      </c>
      <c r="D256" t="s">
        <v>18</v>
      </c>
      <c r="E256">
        <v>200000</v>
      </c>
      <c r="F256">
        <v>1</v>
      </c>
      <c r="G256" s="1" t="s">
        <v>305</v>
      </c>
      <c r="I256" t="s">
        <v>269</v>
      </c>
      <c r="L256" s="2">
        <v>42129</v>
      </c>
      <c r="M256" s="2">
        <v>42192</v>
      </c>
      <c r="N256" s="3">
        <v>42191.451458333337</v>
      </c>
      <c r="O256" t="s">
        <v>24</v>
      </c>
      <c r="P256" t="s">
        <v>25</v>
      </c>
    </row>
    <row r="257" spans="1:16" x14ac:dyDescent="0.25">
      <c r="A257" t="str">
        <f>HYPERLINK("https://www.grants.gov/view-opportunity.html?oppId=276289","RFA-FD-15-033")</f>
        <v>RFA-FD-15-033</v>
      </c>
      <c r="B257" t="s">
        <v>334</v>
      </c>
      <c r="C257" t="s">
        <v>17</v>
      </c>
      <c r="D257" t="s">
        <v>18</v>
      </c>
      <c r="E257">
        <v>675000</v>
      </c>
      <c r="F257">
        <v>3</v>
      </c>
      <c r="G257" s="1" t="s">
        <v>310</v>
      </c>
      <c r="I257" t="s">
        <v>311</v>
      </c>
      <c r="L257" s="2">
        <v>42125</v>
      </c>
      <c r="M257" s="2">
        <v>42202</v>
      </c>
      <c r="N257" s="3">
        <v>42137.570983796293</v>
      </c>
      <c r="O257" t="s">
        <v>24</v>
      </c>
      <c r="P257" t="s">
        <v>25</v>
      </c>
    </row>
    <row r="258" spans="1:16" x14ac:dyDescent="0.25">
      <c r="A258" t="str">
        <f>HYPERLINK("https://www.grants.gov/view-opportunity.html?oppId=276240","RFA-FD-15-037")</f>
        <v>RFA-FD-15-037</v>
      </c>
      <c r="B258" t="s">
        <v>335</v>
      </c>
      <c r="C258" t="s">
        <v>17</v>
      </c>
      <c r="D258" t="s">
        <v>18</v>
      </c>
      <c r="E258">
        <v>1</v>
      </c>
      <c r="F258">
        <v>1</v>
      </c>
      <c r="G258" s="1" t="s">
        <v>145</v>
      </c>
      <c r="I258" t="s">
        <v>146</v>
      </c>
      <c r="L258" s="2">
        <v>42123</v>
      </c>
      <c r="M258" s="2">
        <v>42195</v>
      </c>
      <c r="N258" s="3">
        <v>42123.676724537036</v>
      </c>
      <c r="O258" t="s">
        <v>21</v>
      </c>
      <c r="P258" t="s">
        <v>25</v>
      </c>
    </row>
    <row r="259" spans="1:16" x14ac:dyDescent="0.25">
      <c r="A259" t="str">
        <f>HYPERLINK("https://www.grants.gov/view-opportunity.html?oppId=276228","RFA-FD-15-031")</f>
        <v>RFA-FD-15-031</v>
      </c>
      <c r="B259" t="s">
        <v>304</v>
      </c>
      <c r="C259" t="s">
        <v>17</v>
      </c>
      <c r="D259" t="s">
        <v>18</v>
      </c>
      <c r="E259">
        <v>2000000</v>
      </c>
      <c r="F259">
        <v>2</v>
      </c>
      <c r="G259" s="1" t="s">
        <v>336</v>
      </c>
      <c r="I259" t="s">
        <v>269</v>
      </c>
      <c r="L259" s="2">
        <v>42123</v>
      </c>
      <c r="M259" s="2">
        <v>42192</v>
      </c>
      <c r="N259" s="3">
        <v>42167.44458333333</v>
      </c>
      <c r="O259" t="s">
        <v>24</v>
      </c>
      <c r="P259" t="s">
        <v>25</v>
      </c>
    </row>
    <row r="260" spans="1:16" x14ac:dyDescent="0.25">
      <c r="A260" t="str">
        <f>HYPERLINK("https://www.grants.gov/view-opportunity.html?oppId=276031","RFA-FD-15-019")</f>
        <v>RFA-FD-15-019</v>
      </c>
      <c r="B260" t="s">
        <v>337</v>
      </c>
      <c r="C260" t="s">
        <v>17</v>
      </c>
      <c r="D260" t="s">
        <v>18</v>
      </c>
      <c r="E260">
        <v>1200000</v>
      </c>
      <c r="F260">
        <v>5</v>
      </c>
      <c r="G260" s="1" t="s">
        <v>332</v>
      </c>
      <c r="I260" t="s">
        <v>146</v>
      </c>
      <c r="L260" s="2">
        <v>42114</v>
      </c>
      <c r="M260" s="2">
        <v>42184</v>
      </c>
      <c r="N260" s="3">
        <v>42114.639120370368</v>
      </c>
      <c r="O260" t="s">
        <v>21</v>
      </c>
      <c r="P260" t="s">
        <v>25</v>
      </c>
    </row>
    <row r="261" spans="1:16" x14ac:dyDescent="0.25">
      <c r="A261" t="str">
        <f>HYPERLINK("https://www.grants.gov/view-opportunity.html?oppId=276023","PAR-15-187")</f>
        <v>PAR-15-187</v>
      </c>
      <c r="B261" t="s">
        <v>338</v>
      </c>
      <c r="C261" t="s">
        <v>17</v>
      </c>
      <c r="D261" t="s">
        <v>18</v>
      </c>
      <c r="E261">
        <v>6000000</v>
      </c>
      <c r="F261">
        <v>2</v>
      </c>
      <c r="G261" s="1" t="s">
        <v>305</v>
      </c>
      <c r="I261" t="s">
        <v>269</v>
      </c>
      <c r="L261" s="2">
        <v>42114</v>
      </c>
      <c r="M261" s="2">
        <v>43585</v>
      </c>
      <c r="N261" s="3">
        <v>42167.443888888891</v>
      </c>
      <c r="O261" t="s">
        <v>24</v>
      </c>
      <c r="P261" t="s">
        <v>25</v>
      </c>
    </row>
    <row r="262" spans="1:16" x14ac:dyDescent="0.25">
      <c r="A262" t="str">
        <f>HYPERLINK("https://www.grants.gov/view-opportunity.html?oppId=276024","RFA-FD-15-015")</f>
        <v>RFA-FD-15-015</v>
      </c>
      <c r="B262" t="s">
        <v>339</v>
      </c>
      <c r="C262" t="s">
        <v>17</v>
      </c>
      <c r="D262" t="s">
        <v>18</v>
      </c>
      <c r="E262">
        <v>500000</v>
      </c>
      <c r="F262">
        <v>1</v>
      </c>
      <c r="G262" s="1" t="s">
        <v>305</v>
      </c>
      <c r="I262" t="s">
        <v>269</v>
      </c>
      <c r="L262" s="2">
        <v>42114</v>
      </c>
      <c r="M262" s="2">
        <v>42184</v>
      </c>
      <c r="N262" s="3">
        <v>42114.575925925928</v>
      </c>
      <c r="O262" t="s">
        <v>21</v>
      </c>
      <c r="P262" t="s">
        <v>25</v>
      </c>
    </row>
    <row r="263" spans="1:16" x14ac:dyDescent="0.25">
      <c r="A263" t="str">
        <f>HYPERLINK("https://www.grants.gov/view-opportunity.html?oppId=275869","RFA-FD-15-010")</f>
        <v>RFA-FD-15-010</v>
      </c>
      <c r="B263" t="s">
        <v>340</v>
      </c>
      <c r="C263" t="s">
        <v>17</v>
      </c>
      <c r="D263" t="s">
        <v>18</v>
      </c>
      <c r="E263">
        <v>1000000</v>
      </c>
      <c r="F263">
        <v>1</v>
      </c>
      <c r="G263" s="1" t="s">
        <v>320</v>
      </c>
      <c r="I263" t="s">
        <v>311</v>
      </c>
      <c r="L263" s="2">
        <v>42109</v>
      </c>
      <c r="M263" s="2">
        <v>42170</v>
      </c>
      <c r="N263" s="3">
        <v>42109.568229166667</v>
      </c>
      <c r="O263" t="s">
        <v>24</v>
      </c>
      <c r="P263" t="s">
        <v>25</v>
      </c>
    </row>
    <row r="264" spans="1:16" x14ac:dyDescent="0.25">
      <c r="A264" t="str">
        <f>HYPERLINK("https://www.grants.gov/view-opportunity.html?oppId=275462","RFA-FD-15-009")</f>
        <v>RFA-FD-15-009</v>
      </c>
      <c r="B264" t="s">
        <v>341</v>
      </c>
      <c r="C264" t="s">
        <v>17</v>
      </c>
      <c r="D264" t="s">
        <v>18</v>
      </c>
      <c r="E264">
        <v>500000</v>
      </c>
      <c r="F264">
        <v>2</v>
      </c>
      <c r="G264" s="1" t="s">
        <v>310</v>
      </c>
      <c r="I264" t="s">
        <v>342</v>
      </c>
      <c r="L264" s="2">
        <v>42089</v>
      </c>
      <c r="M264" s="2">
        <v>42156</v>
      </c>
      <c r="N264" s="3">
        <v>42089.664884259262</v>
      </c>
      <c r="O264" t="s">
        <v>21</v>
      </c>
      <c r="P264" t="s">
        <v>25</v>
      </c>
    </row>
    <row r="265" spans="1:16" x14ac:dyDescent="0.25">
      <c r="A265" t="str">
        <f>HYPERLINK("https://www.grants.gov/view-opportunity.html?oppId=275419","RFA-FD-15-013")</f>
        <v>RFA-FD-15-013</v>
      </c>
      <c r="B265" t="s">
        <v>343</v>
      </c>
      <c r="C265" t="s">
        <v>17</v>
      </c>
      <c r="D265" t="s">
        <v>18</v>
      </c>
      <c r="E265">
        <v>250000</v>
      </c>
      <c r="F265">
        <v>1</v>
      </c>
      <c r="G265" s="1" t="s">
        <v>305</v>
      </c>
      <c r="I265" t="s">
        <v>269</v>
      </c>
      <c r="L265" s="2">
        <v>42088</v>
      </c>
      <c r="M265" s="2">
        <v>42158</v>
      </c>
      <c r="N265" s="3">
        <v>42088.573206018518</v>
      </c>
      <c r="O265" t="s">
        <v>21</v>
      </c>
      <c r="P265" t="s">
        <v>25</v>
      </c>
    </row>
    <row r="266" spans="1:16" x14ac:dyDescent="0.25">
      <c r="A266" t="str">
        <f>HYPERLINK("https://www.grants.gov/view-opportunity.html?oppId=275352","RFA-FD-15-032")</f>
        <v>RFA-FD-15-032</v>
      </c>
      <c r="B266" t="s">
        <v>344</v>
      </c>
      <c r="C266" t="s">
        <v>17</v>
      </c>
      <c r="D266" t="s">
        <v>18</v>
      </c>
      <c r="E266">
        <v>250000</v>
      </c>
      <c r="F266">
        <v>1</v>
      </c>
      <c r="G266" s="1" t="s">
        <v>305</v>
      </c>
      <c r="I266" t="s">
        <v>269</v>
      </c>
      <c r="L266" s="2">
        <v>42087</v>
      </c>
      <c r="M266" s="2">
        <v>42153</v>
      </c>
      <c r="N266" s="3">
        <v>42087.421805555554</v>
      </c>
      <c r="O266" t="s">
        <v>21</v>
      </c>
      <c r="P266" t="s">
        <v>25</v>
      </c>
    </row>
    <row r="267" spans="1:16" x14ac:dyDescent="0.25">
      <c r="A267" t="str">
        <f>HYPERLINK("https://www.grants.gov/view-opportunity.html?oppId=275307","RFA-FD-15-016")</f>
        <v>RFA-FD-15-016</v>
      </c>
      <c r="B267" t="s">
        <v>345</v>
      </c>
      <c r="C267" t="s">
        <v>17</v>
      </c>
      <c r="D267" t="s">
        <v>18</v>
      </c>
      <c r="E267">
        <v>800000</v>
      </c>
      <c r="F267">
        <v>1</v>
      </c>
      <c r="G267" s="1" t="s">
        <v>305</v>
      </c>
      <c r="I267" t="s">
        <v>269</v>
      </c>
      <c r="L267" s="2">
        <v>42083</v>
      </c>
      <c r="M267" s="2">
        <v>42153</v>
      </c>
      <c r="N267" s="3">
        <v>42145.561354166668</v>
      </c>
      <c r="O267" t="s">
        <v>24</v>
      </c>
      <c r="P267" t="s">
        <v>25</v>
      </c>
    </row>
    <row r="268" spans="1:16" x14ac:dyDescent="0.25">
      <c r="A268" t="str">
        <f>HYPERLINK("https://www.grants.gov/view-opportunity.html?oppId=275082","RFA-FD-15-004")</f>
        <v>RFA-FD-15-004</v>
      </c>
      <c r="B268" t="s">
        <v>346</v>
      </c>
      <c r="C268" t="s">
        <v>17</v>
      </c>
      <c r="D268" t="s">
        <v>18</v>
      </c>
      <c r="E268">
        <v>3000000</v>
      </c>
      <c r="F268">
        <v>10</v>
      </c>
      <c r="G268" s="1" t="s">
        <v>347</v>
      </c>
      <c r="I268" t="s">
        <v>318</v>
      </c>
      <c r="L268" s="2">
        <v>42074</v>
      </c>
      <c r="M268" s="2">
        <v>43113</v>
      </c>
      <c r="N268" s="3">
        <v>42172.61478009259</v>
      </c>
      <c r="O268" t="s">
        <v>36</v>
      </c>
      <c r="P268" t="s">
        <v>25</v>
      </c>
    </row>
    <row r="269" spans="1:16" x14ac:dyDescent="0.25">
      <c r="A269" t="str">
        <f>HYPERLINK("https://www.grants.gov/view-opportunity.html?oppId=274858","RFA-FD-15-005")</f>
        <v>RFA-FD-15-005</v>
      </c>
      <c r="B269" t="s">
        <v>348</v>
      </c>
      <c r="C269" t="s">
        <v>17</v>
      </c>
      <c r="D269" t="s">
        <v>18</v>
      </c>
      <c r="E269">
        <v>35000</v>
      </c>
      <c r="F269">
        <v>1</v>
      </c>
      <c r="G269" s="1" t="s">
        <v>320</v>
      </c>
      <c r="I269" t="s">
        <v>311</v>
      </c>
      <c r="L269" s="2">
        <v>42062</v>
      </c>
      <c r="M269" s="2">
        <v>42096</v>
      </c>
      <c r="N269" s="3">
        <v>42174.468969907408</v>
      </c>
      <c r="O269" t="s">
        <v>24</v>
      </c>
      <c r="P269" t="s">
        <v>25</v>
      </c>
    </row>
    <row r="270" spans="1:16" x14ac:dyDescent="0.25">
      <c r="A270" t="str">
        <f>HYPERLINK("https://www.grants.gov/view-opportunity.html?oppId=274613","RFA-FD-15-008")</f>
        <v>RFA-FD-15-008</v>
      </c>
      <c r="B270" t="s">
        <v>349</v>
      </c>
      <c r="C270" t="s">
        <v>17</v>
      </c>
      <c r="D270" t="s">
        <v>18</v>
      </c>
      <c r="E270">
        <v>600000</v>
      </c>
      <c r="F270">
        <v>3</v>
      </c>
      <c r="G270" s="1" t="s">
        <v>336</v>
      </c>
      <c r="I270" t="s">
        <v>269</v>
      </c>
      <c r="L270" s="2">
        <v>42052</v>
      </c>
      <c r="M270" s="2">
        <v>42121</v>
      </c>
      <c r="N270" s="3">
        <v>42052.456446759257</v>
      </c>
      <c r="O270" t="s">
        <v>21</v>
      </c>
      <c r="P270" t="s">
        <v>25</v>
      </c>
    </row>
    <row r="271" spans="1:16" x14ac:dyDescent="0.25">
      <c r="A271" t="str">
        <f>HYPERLINK("https://www.grants.gov/view-opportunity.html?oppId=274612","RFA-FD-15-007")</f>
        <v>RFA-FD-15-007</v>
      </c>
      <c r="B271" t="s">
        <v>350</v>
      </c>
      <c r="C271" t="s">
        <v>17</v>
      </c>
      <c r="D271" t="s">
        <v>18</v>
      </c>
      <c r="E271">
        <v>250000</v>
      </c>
      <c r="F271">
        <v>2</v>
      </c>
      <c r="G271" s="1" t="s">
        <v>305</v>
      </c>
      <c r="I271" t="s">
        <v>269</v>
      </c>
      <c r="L271" s="2">
        <v>42052</v>
      </c>
      <c r="M271" s="2">
        <v>42121</v>
      </c>
      <c r="N271" s="3">
        <v>42052.452280092592</v>
      </c>
      <c r="O271" t="s">
        <v>21</v>
      </c>
      <c r="P271" t="s">
        <v>25</v>
      </c>
    </row>
    <row r="272" spans="1:16" x14ac:dyDescent="0.25">
      <c r="A272" t="str">
        <f>HYPERLINK("https://www.grants.gov/view-opportunity.html?oppId=274611","RFA-FD-15-006")</f>
        <v>RFA-FD-15-006</v>
      </c>
      <c r="B272" t="s">
        <v>351</v>
      </c>
      <c r="C272" t="s">
        <v>17</v>
      </c>
      <c r="D272" t="s">
        <v>18</v>
      </c>
      <c r="E272">
        <v>125000</v>
      </c>
      <c r="F272">
        <v>1</v>
      </c>
      <c r="G272" s="1" t="s">
        <v>336</v>
      </c>
      <c r="I272" t="s">
        <v>269</v>
      </c>
      <c r="L272" s="2">
        <v>42052</v>
      </c>
      <c r="M272" s="2">
        <v>42121</v>
      </c>
      <c r="N272" s="3">
        <v>42052.439085648148</v>
      </c>
      <c r="O272" t="s">
        <v>21</v>
      </c>
      <c r="P272" t="s">
        <v>25</v>
      </c>
    </row>
    <row r="273" spans="1:16" x14ac:dyDescent="0.25">
      <c r="A273" t="str">
        <f>HYPERLINK("https://www.grants.gov/view-opportunity.html?oppId=271376","RFA-FD-15-003")</f>
        <v>RFA-FD-15-003</v>
      </c>
      <c r="B273" t="s">
        <v>352</v>
      </c>
      <c r="C273" t="s">
        <v>17</v>
      </c>
      <c r="D273" t="s">
        <v>18</v>
      </c>
      <c r="E273">
        <v>600000</v>
      </c>
      <c r="F273">
        <v>1</v>
      </c>
      <c r="G273" s="1" t="s">
        <v>353</v>
      </c>
      <c r="I273" t="s">
        <v>354</v>
      </c>
      <c r="L273" s="2">
        <v>42017</v>
      </c>
      <c r="M273" s="2">
        <v>42094</v>
      </c>
      <c r="N273" s="3">
        <v>42095.669456018521</v>
      </c>
      <c r="O273" t="s">
        <v>36</v>
      </c>
      <c r="P273" t="s">
        <v>25</v>
      </c>
    </row>
    <row r="274" spans="1:16" x14ac:dyDescent="0.25">
      <c r="A274" t="str">
        <f>HYPERLINK("https://www.grants.gov/view-opportunity.html?oppId=269013","RFA-FD-15-001")</f>
        <v>RFA-FD-15-001</v>
      </c>
      <c r="B274" t="s">
        <v>355</v>
      </c>
      <c r="C274" t="s">
        <v>17</v>
      </c>
      <c r="D274" t="s">
        <v>18</v>
      </c>
      <c r="E274">
        <v>14100000</v>
      </c>
      <c r="F274">
        <v>10</v>
      </c>
      <c r="G274" s="1" t="s">
        <v>356</v>
      </c>
      <c r="I274" t="s">
        <v>146</v>
      </c>
      <c r="L274" s="2">
        <v>41982</v>
      </c>
      <c r="M274" s="2">
        <v>43391</v>
      </c>
      <c r="N274" s="3">
        <v>42662.431469907409</v>
      </c>
      <c r="O274" t="s">
        <v>24</v>
      </c>
      <c r="P274" t="s">
        <v>25</v>
      </c>
    </row>
    <row r="275" spans="1:16" x14ac:dyDescent="0.25">
      <c r="A275" t="str">
        <f>HYPERLINK("https://www.grants.gov/view-opportunity.html?oppId=260090","RFA-FD-14-085")</f>
        <v>RFA-FD-14-085</v>
      </c>
      <c r="B275" t="s">
        <v>357</v>
      </c>
      <c r="C275" t="s">
        <v>17</v>
      </c>
      <c r="D275" t="s">
        <v>18</v>
      </c>
      <c r="E275">
        <v>3000000</v>
      </c>
      <c r="F275">
        <v>1</v>
      </c>
      <c r="G275" s="1" t="s">
        <v>315</v>
      </c>
      <c r="I275" t="s">
        <v>358</v>
      </c>
      <c r="L275" s="2">
        <v>41843</v>
      </c>
      <c r="M275" s="2">
        <v>41877</v>
      </c>
      <c r="N275" s="3">
        <v>41843.387766203705</v>
      </c>
      <c r="O275" t="s">
        <v>21</v>
      </c>
      <c r="P275" t="s">
        <v>25</v>
      </c>
    </row>
    <row r="276" spans="1:16" x14ac:dyDescent="0.25">
      <c r="A276" t="str">
        <f>HYPERLINK("https://www.grants.gov/view-opportunity.html?oppId=259290","RFA-FD-14-087")</f>
        <v>RFA-FD-14-087</v>
      </c>
      <c r="B276" t="s">
        <v>359</v>
      </c>
      <c r="C276" t="s">
        <v>17</v>
      </c>
      <c r="D276" t="s">
        <v>18</v>
      </c>
      <c r="E276">
        <v>3200000</v>
      </c>
      <c r="F276">
        <v>1</v>
      </c>
      <c r="G276" s="1" t="s">
        <v>315</v>
      </c>
      <c r="I276" t="s">
        <v>358</v>
      </c>
      <c r="L276" s="2">
        <v>41834</v>
      </c>
      <c r="M276" s="2">
        <v>41844</v>
      </c>
      <c r="N276" s="3">
        <v>41843.42596064815</v>
      </c>
      <c r="O276" t="s">
        <v>24</v>
      </c>
      <c r="P276" t="s">
        <v>25</v>
      </c>
    </row>
    <row r="277" spans="1:16" x14ac:dyDescent="0.25">
      <c r="A277" t="str">
        <f>HYPERLINK("https://www.grants.gov/view-opportunity.html?oppId=259293","RFA-FD-15-002")</f>
        <v>RFA-FD-15-002</v>
      </c>
      <c r="B277" t="s">
        <v>360</v>
      </c>
      <c r="C277" t="s">
        <v>17</v>
      </c>
      <c r="D277" t="s">
        <v>18</v>
      </c>
      <c r="E277">
        <v>10000000</v>
      </c>
      <c r="F277">
        <v>1</v>
      </c>
      <c r="G277" s="1" t="s">
        <v>315</v>
      </c>
      <c r="I277" t="s">
        <v>358</v>
      </c>
      <c r="L277" s="2">
        <v>41831</v>
      </c>
      <c r="M277" s="2">
        <v>41860</v>
      </c>
      <c r="N277" s="3">
        <v>41843.429432870369</v>
      </c>
      <c r="O277" t="s">
        <v>24</v>
      </c>
      <c r="P277" t="s">
        <v>25</v>
      </c>
    </row>
    <row r="278" spans="1:16" x14ac:dyDescent="0.25">
      <c r="A278" t="str">
        <f>HYPERLINK("https://www.grants.gov/view-opportunity.html?oppId=258034","RFA-FD-14-089")</f>
        <v>RFA-FD-14-089</v>
      </c>
      <c r="B278" t="s">
        <v>361</v>
      </c>
      <c r="C278" t="s">
        <v>17</v>
      </c>
      <c r="D278" t="s">
        <v>18</v>
      </c>
      <c r="E278">
        <v>10500000</v>
      </c>
      <c r="F278">
        <v>1</v>
      </c>
      <c r="G278" s="1" t="s">
        <v>145</v>
      </c>
      <c r="I278" t="s">
        <v>146</v>
      </c>
      <c r="L278" s="2">
        <v>41809</v>
      </c>
      <c r="M278" s="2">
        <v>41848</v>
      </c>
      <c r="N278" s="3">
        <v>41822.639606481483</v>
      </c>
      <c r="O278" t="s">
        <v>24</v>
      </c>
      <c r="P278" t="s">
        <v>25</v>
      </c>
    </row>
    <row r="279" spans="1:16" x14ac:dyDescent="0.25">
      <c r="A279" t="str">
        <f>HYPERLINK("https://www.grants.gov/view-opportunity.html?oppId=257134","RFA-FD-14-081")</f>
        <v>RFA-FD-14-081</v>
      </c>
      <c r="B279" t="s">
        <v>362</v>
      </c>
      <c r="C279" t="s">
        <v>17</v>
      </c>
      <c r="D279" t="s">
        <v>18</v>
      </c>
      <c r="E279">
        <v>100000</v>
      </c>
      <c r="F279">
        <v>1</v>
      </c>
      <c r="G279" s="1" t="s">
        <v>305</v>
      </c>
      <c r="I279" t="s">
        <v>269</v>
      </c>
      <c r="L279" s="2">
        <v>41800</v>
      </c>
      <c r="M279" s="2">
        <v>41835</v>
      </c>
      <c r="N279" s="3">
        <v>41800.41678240741</v>
      </c>
      <c r="O279" t="s">
        <v>21</v>
      </c>
      <c r="P279" t="s">
        <v>25</v>
      </c>
    </row>
    <row r="280" spans="1:16" x14ac:dyDescent="0.25">
      <c r="A280" t="str">
        <f>HYPERLINK("https://www.grants.gov/view-opportunity.html?oppId=257188","RFA-FD-14-018")</f>
        <v>RFA-FD-14-018</v>
      </c>
      <c r="B280" t="s">
        <v>363</v>
      </c>
      <c r="C280" t="s">
        <v>17</v>
      </c>
      <c r="D280" t="s">
        <v>18</v>
      </c>
      <c r="E280">
        <v>500000</v>
      </c>
      <c r="F280">
        <v>1</v>
      </c>
      <c r="G280" s="1" t="s">
        <v>305</v>
      </c>
      <c r="I280" t="s">
        <v>269</v>
      </c>
      <c r="L280" s="2">
        <v>41800</v>
      </c>
      <c r="M280" s="2">
        <v>41820</v>
      </c>
      <c r="N280" s="3">
        <v>41800.518865740742</v>
      </c>
      <c r="O280" t="s">
        <v>21</v>
      </c>
      <c r="P280" t="s">
        <v>25</v>
      </c>
    </row>
    <row r="281" spans="1:16" x14ac:dyDescent="0.25">
      <c r="A281" t="str">
        <f>HYPERLINK("https://www.grants.gov/view-opportunity.html?oppId=257068","RFA-FD-14-080")</f>
        <v>RFA-FD-14-080</v>
      </c>
      <c r="B281" t="s">
        <v>364</v>
      </c>
      <c r="C281" t="s">
        <v>17</v>
      </c>
      <c r="D281" t="s">
        <v>18</v>
      </c>
      <c r="E281">
        <v>100000</v>
      </c>
      <c r="F281">
        <v>1</v>
      </c>
      <c r="G281" s="1" t="s">
        <v>305</v>
      </c>
      <c r="I281" t="s">
        <v>269</v>
      </c>
      <c r="L281" s="2">
        <v>41799</v>
      </c>
      <c r="M281" s="2">
        <v>41835</v>
      </c>
      <c r="N281" s="3">
        <v>41799.638298611113</v>
      </c>
      <c r="O281" t="s">
        <v>21</v>
      </c>
      <c r="P281" t="s">
        <v>25</v>
      </c>
    </row>
    <row r="282" spans="1:16" x14ac:dyDescent="0.25">
      <c r="A282" t="str">
        <f>HYPERLINK("https://www.grants.gov/view-opportunity.html?oppId=256720","RFA-FD-14-088")</f>
        <v>RFA-FD-14-088</v>
      </c>
      <c r="B282" t="s">
        <v>365</v>
      </c>
      <c r="C282" t="s">
        <v>17</v>
      </c>
      <c r="D282" t="s">
        <v>18</v>
      </c>
      <c r="E282">
        <v>325000</v>
      </c>
      <c r="F282">
        <v>1</v>
      </c>
      <c r="G282" s="1" t="s">
        <v>336</v>
      </c>
      <c r="I282" t="s">
        <v>269</v>
      </c>
      <c r="L282" s="2">
        <v>41794</v>
      </c>
      <c r="M282" s="2">
        <v>41835</v>
      </c>
      <c r="N282" s="3">
        <v>41794.620185185187</v>
      </c>
      <c r="O282" t="s">
        <v>21</v>
      </c>
      <c r="P282" t="s">
        <v>25</v>
      </c>
    </row>
    <row r="283" spans="1:16" x14ac:dyDescent="0.25">
      <c r="A283" t="str">
        <f>HYPERLINK("https://www.grants.gov/view-opportunity.html?oppId=256108","RFA-FD-14-017")</f>
        <v>RFA-FD-14-017</v>
      </c>
      <c r="B283" t="s">
        <v>366</v>
      </c>
      <c r="C283" t="s">
        <v>17</v>
      </c>
      <c r="D283" t="s">
        <v>18</v>
      </c>
      <c r="E283">
        <v>7500000</v>
      </c>
      <c r="F283">
        <v>1</v>
      </c>
      <c r="G283" s="1" t="s">
        <v>336</v>
      </c>
      <c r="I283" t="s">
        <v>269</v>
      </c>
      <c r="L283" s="2">
        <v>41786</v>
      </c>
      <c r="M283" s="2">
        <v>41820</v>
      </c>
      <c r="N283" s="3">
        <v>41786.828784722224</v>
      </c>
      <c r="O283" t="s">
        <v>24</v>
      </c>
      <c r="P283" t="s">
        <v>25</v>
      </c>
    </row>
    <row r="284" spans="1:16" x14ac:dyDescent="0.25">
      <c r="A284" t="str">
        <f>HYPERLINK("https://www.grants.gov/view-opportunity.html?oppId=255528","RFA-FD-14-082")</f>
        <v>RFA-FD-14-082</v>
      </c>
      <c r="B284" t="s">
        <v>367</v>
      </c>
      <c r="C284" t="s">
        <v>17</v>
      </c>
      <c r="D284" t="s">
        <v>18</v>
      </c>
      <c r="E284">
        <v>600000</v>
      </c>
      <c r="F284">
        <v>1</v>
      </c>
      <c r="G284" s="1" t="s">
        <v>336</v>
      </c>
      <c r="I284" t="s">
        <v>269</v>
      </c>
      <c r="L284" s="2">
        <v>41778</v>
      </c>
      <c r="M284" s="2">
        <v>41820</v>
      </c>
      <c r="N284" s="3">
        <v>41778.857164351852</v>
      </c>
      <c r="O284" t="s">
        <v>21</v>
      </c>
      <c r="P284" t="s">
        <v>25</v>
      </c>
    </row>
    <row r="285" spans="1:16" x14ac:dyDescent="0.25">
      <c r="A285" t="str">
        <f>HYPERLINK("https://www.grants.gov/view-opportunity.html?oppId=255529","RFA-FD-14-083")</f>
        <v>RFA-FD-14-083</v>
      </c>
      <c r="B285" t="s">
        <v>368</v>
      </c>
      <c r="C285" t="s">
        <v>17</v>
      </c>
      <c r="D285" t="s">
        <v>18</v>
      </c>
      <c r="E285">
        <v>400000</v>
      </c>
      <c r="F285">
        <v>2</v>
      </c>
      <c r="G285" s="1" t="s">
        <v>305</v>
      </c>
      <c r="I285" t="s">
        <v>269</v>
      </c>
      <c r="L285" s="2">
        <v>41778</v>
      </c>
      <c r="M285" s="2">
        <v>41827</v>
      </c>
      <c r="N285" s="3">
        <v>41808.584930555553</v>
      </c>
      <c r="O285" t="s">
        <v>24</v>
      </c>
      <c r="P285" t="s">
        <v>25</v>
      </c>
    </row>
    <row r="286" spans="1:16" x14ac:dyDescent="0.25">
      <c r="A286" t="str">
        <f>HYPERLINK("https://www.grants.gov/view-opportunity.html?oppId=254499","RFA-FD-14-004")</f>
        <v>RFA-FD-14-004</v>
      </c>
      <c r="B286" t="s">
        <v>369</v>
      </c>
      <c r="C286" t="s">
        <v>17</v>
      </c>
      <c r="D286" t="s">
        <v>18</v>
      </c>
      <c r="E286">
        <v>1000000</v>
      </c>
      <c r="F286">
        <v>4</v>
      </c>
      <c r="G286" s="1" t="s">
        <v>370</v>
      </c>
      <c r="I286" t="s">
        <v>371</v>
      </c>
      <c r="L286" s="2">
        <v>41758</v>
      </c>
      <c r="M286" s="2">
        <v>41806</v>
      </c>
      <c r="N286" s="3">
        <v>41775.713379629633</v>
      </c>
      <c r="O286" t="s">
        <v>24</v>
      </c>
      <c r="P286" t="s">
        <v>25</v>
      </c>
    </row>
    <row r="287" spans="1:16" x14ac:dyDescent="0.25">
      <c r="A287" t="str">
        <f>HYPERLINK("https://www.grants.gov/view-opportunity.html?oppId=254468","RFA-FD-14-013")</f>
        <v>RFA-FD-14-013</v>
      </c>
      <c r="B287" t="s">
        <v>372</v>
      </c>
      <c r="C287" t="s">
        <v>17</v>
      </c>
      <c r="D287" t="s">
        <v>18</v>
      </c>
      <c r="E287">
        <v>400000</v>
      </c>
      <c r="F287">
        <v>2</v>
      </c>
      <c r="G287" s="1" t="s">
        <v>373</v>
      </c>
      <c r="I287" t="s">
        <v>259</v>
      </c>
      <c r="L287" s="2">
        <v>41758</v>
      </c>
      <c r="M287" s="2">
        <v>41811</v>
      </c>
      <c r="N287" s="3">
        <v>41758.433668981481</v>
      </c>
      <c r="O287" t="s">
        <v>21</v>
      </c>
      <c r="P287" t="s">
        <v>25</v>
      </c>
    </row>
    <row r="288" spans="1:16" x14ac:dyDescent="0.25">
      <c r="A288" t="str">
        <f>HYPERLINK("https://www.grants.gov/view-opportunity.html?oppId=254474","RFA-FD-14-015")</f>
        <v>RFA-FD-14-015</v>
      </c>
      <c r="B288" t="s">
        <v>374</v>
      </c>
      <c r="C288" t="s">
        <v>17</v>
      </c>
      <c r="D288" t="s">
        <v>18</v>
      </c>
      <c r="E288">
        <v>1000000</v>
      </c>
      <c r="F288">
        <v>1</v>
      </c>
      <c r="G288" s="1" t="s">
        <v>373</v>
      </c>
      <c r="I288" t="s">
        <v>259</v>
      </c>
      <c r="L288" s="2">
        <v>41758</v>
      </c>
      <c r="M288" s="2">
        <v>41801</v>
      </c>
      <c r="N288" s="3">
        <v>41758.494085648148</v>
      </c>
      <c r="O288" t="s">
        <v>21</v>
      </c>
      <c r="P288" t="s">
        <v>25</v>
      </c>
    </row>
    <row r="289" spans="1:16" x14ac:dyDescent="0.25">
      <c r="A289" t="str">
        <f>HYPERLINK("https://www.grants.gov/view-opportunity.html?oppId=254473","RFA-FD-14-014")</f>
        <v>RFA-FD-14-014</v>
      </c>
      <c r="B289" t="s">
        <v>375</v>
      </c>
      <c r="C289" t="s">
        <v>17</v>
      </c>
      <c r="D289" t="s">
        <v>18</v>
      </c>
      <c r="E289">
        <v>400000</v>
      </c>
      <c r="F289">
        <v>2</v>
      </c>
      <c r="G289" s="1" t="s">
        <v>373</v>
      </c>
      <c r="I289" t="s">
        <v>259</v>
      </c>
      <c r="L289" s="2">
        <v>41758</v>
      </c>
      <c r="M289" s="2">
        <v>41811</v>
      </c>
      <c r="N289" s="3">
        <v>41758.469085648147</v>
      </c>
      <c r="O289" t="s">
        <v>21</v>
      </c>
      <c r="P289" t="s">
        <v>25</v>
      </c>
    </row>
    <row r="290" spans="1:16" x14ac:dyDescent="0.25">
      <c r="A290" t="str">
        <f>HYPERLINK("https://www.grants.gov/view-opportunity.html?oppId=254080","RFA-FD-14-021")</f>
        <v>RFA-FD-14-021</v>
      </c>
      <c r="B290" t="s">
        <v>376</v>
      </c>
      <c r="C290" t="s">
        <v>17</v>
      </c>
      <c r="D290" t="s">
        <v>18</v>
      </c>
      <c r="E290">
        <v>2000000</v>
      </c>
      <c r="F290">
        <v>1</v>
      </c>
      <c r="G290" s="1" t="s">
        <v>370</v>
      </c>
      <c r="I290" t="s">
        <v>371</v>
      </c>
      <c r="L290" s="2">
        <v>41747</v>
      </c>
      <c r="M290" s="2">
        <v>41811</v>
      </c>
      <c r="N290" s="3">
        <v>41747.448819444442</v>
      </c>
      <c r="O290" t="s">
        <v>21</v>
      </c>
      <c r="P290" t="s">
        <v>25</v>
      </c>
    </row>
    <row r="291" spans="1:16" x14ac:dyDescent="0.25">
      <c r="A291" t="str">
        <f>HYPERLINK("https://www.grants.gov/view-opportunity.html?oppId=254037","RFA-FD-14-025")</f>
        <v>RFA-FD-14-025</v>
      </c>
      <c r="B291" t="s">
        <v>377</v>
      </c>
      <c r="C291" t="s">
        <v>17</v>
      </c>
      <c r="D291" t="s">
        <v>18</v>
      </c>
      <c r="E291">
        <v>500000</v>
      </c>
      <c r="F291">
        <v>1</v>
      </c>
      <c r="G291" s="1" t="s">
        <v>373</v>
      </c>
      <c r="I291" t="s">
        <v>259</v>
      </c>
      <c r="L291" s="2">
        <v>41747</v>
      </c>
      <c r="M291" s="2">
        <v>41792</v>
      </c>
      <c r="N291" s="3">
        <v>41746.404363425929</v>
      </c>
      <c r="O291" t="s">
        <v>21</v>
      </c>
      <c r="P291" t="s">
        <v>25</v>
      </c>
    </row>
    <row r="292" spans="1:16" x14ac:dyDescent="0.25">
      <c r="A292" t="str">
        <f>HYPERLINK("https://www.grants.gov/view-opportunity.html?oppId=254083","RFA-FD-14-020")</f>
        <v>RFA-FD-14-020</v>
      </c>
      <c r="B292" t="s">
        <v>378</v>
      </c>
      <c r="C292" t="s">
        <v>17</v>
      </c>
      <c r="D292" t="s">
        <v>18</v>
      </c>
      <c r="E292">
        <v>4000000</v>
      </c>
      <c r="F292">
        <v>1</v>
      </c>
      <c r="G292" s="1" t="s">
        <v>370</v>
      </c>
      <c r="I292" t="s">
        <v>371</v>
      </c>
      <c r="L292" s="2">
        <v>41747</v>
      </c>
      <c r="M292" s="2">
        <v>41811</v>
      </c>
      <c r="N292" s="3">
        <v>41747.481458333335</v>
      </c>
      <c r="O292" t="s">
        <v>21</v>
      </c>
      <c r="P292" t="s">
        <v>25</v>
      </c>
    </row>
    <row r="293" spans="1:16" x14ac:dyDescent="0.25">
      <c r="A293" t="str">
        <f>HYPERLINK("https://www.grants.gov/view-opportunity.html?oppId=254076","RFA-FD-14-019")</f>
        <v>RFA-FD-14-019</v>
      </c>
      <c r="B293" t="s">
        <v>379</v>
      </c>
      <c r="C293" t="s">
        <v>17</v>
      </c>
      <c r="D293" t="s">
        <v>18</v>
      </c>
      <c r="E293">
        <v>15000000</v>
      </c>
      <c r="F293">
        <v>1</v>
      </c>
      <c r="G293" s="1" t="s">
        <v>370</v>
      </c>
      <c r="I293" t="s">
        <v>371</v>
      </c>
      <c r="L293" s="2">
        <v>41747</v>
      </c>
      <c r="M293" s="2">
        <v>41809</v>
      </c>
      <c r="N293" s="3">
        <v>41747.434930555559</v>
      </c>
      <c r="O293" t="s">
        <v>21</v>
      </c>
      <c r="P293" t="s">
        <v>25</v>
      </c>
    </row>
    <row r="294" spans="1:16" x14ac:dyDescent="0.25">
      <c r="A294" t="str">
        <f>HYPERLINK("https://www.grants.gov/view-opportunity.html?oppId=254082","RFA-FD-14-024")</f>
        <v>RFA-FD-14-024</v>
      </c>
      <c r="B294" t="s">
        <v>380</v>
      </c>
      <c r="C294" t="s">
        <v>17</v>
      </c>
      <c r="D294" t="s">
        <v>18</v>
      </c>
      <c r="E294">
        <v>3000000</v>
      </c>
      <c r="F294">
        <v>1</v>
      </c>
      <c r="G294" s="1" t="s">
        <v>370</v>
      </c>
      <c r="I294" t="s">
        <v>371</v>
      </c>
      <c r="L294" s="2">
        <v>41747</v>
      </c>
      <c r="M294" s="2">
        <v>41792</v>
      </c>
      <c r="N294" s="3">
        <v>41747.464791666665</v>
      </c>
      <c r="O294" t="s">
        <v>21</v>
      </c>
      <c r="P294" t="s">
        <v>25</v>
      </c>
    </row>
    <row r="295" spans="1:16" x14ac:dyDescent="0.25">
      <c r="A295" t="str">
        <f>HYPERLINK("https://www.grants.gov/view-opportunity.html?oppId=254081","RFA-FD-14-023")</f>
        <v>RFA-FD-14-023</v>
      </c>
      <c r="B295" t="s">
        <v>381</v>
      </c>
      <c r="C295" t="s">
        <v>17</v>
      </c>
      <c r="D295" t="s">
        <v>18</v>
      </c>
      <c r="E295">
        <v>1500000</v>
      </c>
      <c r="F295">
        <v>1</v>
      </c>
      <c r="G295" s="1" t="s">
        <v>370</v>
      </c>
      <c r="I295" t="s">
        <v>371</v>
      </c>
      <c r="L295" s="2">
        <v>41747</v>
      </c>
      <c r="M295" s="2">
        <v>41809</v>
      </c>
      <c r="N295" s="3">
        <v>41747.459236111114</v>
      </c>
      <c r="O295" t="s">
        <v>21</v>
      </c>
      <c r="P295" t="s">
        <v>25</v>
      </c>
    </row>
    <row r="296" spans="1:16" x14ac:dyDescent="0.25">
      <c r="A296" t="str">
        <f>HYPERLINK("https://www.grants.gov/view-opportunity.html?oppId=253189","RFA-FD-14-008")</f>
        <v>RFA-FD-14-008</v>
      </c>
      <c r="B296" t="s">
        <v>382</v>
      </c>
      <c r="C296" t="s">
        <v>17</v>
      </c>
      <c r="D296" t="s">
        <v>18</v>
      </c>
      <c r="E296">
        <v>700000</v>
      </c>
      <c r="F296">
        <v>5</v>
      </c>
      <c r="G296" s="1" t="s">
        <v>383</v>
      </c>
      <c r="I296" t="s">
        <v>371</v>
      </c>
      <c r="L296" s="2">
        <v>41729</v>
      </c>
      <c r="M296" s="2">
        <v>41761</v>
      </c>
      <c r="N296" s="3">
        <v>41736.716053240743</v>
      </c>
      <c r="O296" t="s">
        <v>28</v>
      </c>
      <c r="P296" t="s">
        <v>25</v>
      </c>
    </row>
    <row r="297" spans="1:16" x14ac:dyDescent="0.25">
      <c r="A297" t="str">
        <f>HYPERLINK("https://www.grants.gov/view-opportunity.html?oppId=253191","RFA-FD-14-009")</f>
        <v>RFA-FD-14-009</v>
      </c>
      <c r="B297" t="s">
        <v>384</v>
      </c>
      <c r="C297" t="s">
        <v>17</v>
      </c>
      <c r="D297" t="s">
        <v>18</v>
      </c>
      <c r="E297">
        <v>500000</v>
      </c>
      <c r="F297">
        <v>5</v>
      </c>
      <c r="G297" s="1" t="s">
        <v>383</v>
      </c>
      <c r="I297" t="s">
        <v>371</v>
      </c>
      <c r="L297" s="2">
        <v>41729</v>
      </c>
      <c r="M297" s="2">
        <v>41767</v>
      </c>
      <c r="N297" s="3">
        <v>41730.614594907405</v>
      </c>
      <c r="O297" t="s">
        <v>24</v>
      </c>
      <c r="P297" t="s">
        <v>25</v>
      </c>
    </row>
    <row r="298" spans="1:16" x14ac:dyDescent="0.25">
      <c r="A298" t="str">
        <f>HYPERLINK("https://www.grants.gov/view-opportunity.html?oppId=253193","RFA-FD-14-022")</f>
        <v>RFA-FD-14-022</v>
      </c>
      <c r="B298" t="s">
        <v>385</v>
      </c>
      <c r="C298" t="s">
        <v>17</v>
      </c>
      <c r="D298" t="s">
        <v>18</v>
      </c>
      <c r="E298">
        <v>1000000</v>
      </c>
      <c r="F298">
        <v>5</v>
      </c>
      <c r="G298" s="1" t="s">
        <v>383</v>
      </c>
      <c r="I298" t="s">
        <v>371</v>
      </c>
      <c r="L298" s="2">
        <v>41729</v>
      </c>
      <c r="M298" s="2">
        <v>41793</v>
      </c>
      <c r="N298" s="3">
        <v>41730.664594907408</v>
      </c>
      <c r="O298" t="s">
        <v>24</v>
      </c>
      <c r="P298" t="s">
        <v>25</v>
      </c>
    </row>
    <row r="299" spans="1:16" x14ac:dyDescent="0.25">
      <c r="A299" t="str">
        <f>HYPERLINK("https://www.grants.gov/view-opportunity.html?oppId=253194","RFA-FD-14-003")</f>
        <v>RFA-FD-14-003</v>
      </c>
      <c r="B299" t="s">
        <v>386</v>
      </c>
      <c r="C299" t="s">
        <v>17</v>
      </c>
      <c r="D299" t="s">
        <v>18</v>
      </c>
      <c r="E299">
        <v>600000</v>
      </c>
      <c r="F299">
        <v>5</v>
      </c>
      <c r="G299" s="1" t="s">
        <v>383</v>
      </c>
      <c r="I299" t="s">
        <v>371</v>
      </c>
      <c r="L299" s="2">
        <v>41729</v>
      </c>
      <c r="M299" s="2">
        <v>41792</v>
      </c>
      <c r="N299" s="3">
        <v>41728.619791666664</v>
      </c>
      <c r="O299" t="s">
        <v>21</v>
      </c>
      <c r="P299" t="s">
        <v>25</v>
      </c>
    </row>
    <row r="300" spans="1:16" x14ac:dyDescent="0.25">
      <c r="A300" t="str">
        <f>HYPERLINK("https://www.grants.gov/view-opportunity.html?oppId=253192","RFA-FD-14-016")</f>
        <v>RFA-FD-14-016</v>
      </c>
      <c r="B300" t="s">
        <v>387</v>
      </c>
      <c r="C300" t="s">
        <v>17</v>
      </c>
      <c r="D300" t="s">
        <v>18</v>
      </c>
      <c r="E300">
        <v>500000</v>
      </c>
      <c r="F300">
        <v>5</v>
      </c>
      <c r="G300" s="1" t="s">
        <v>388</v>
      </c>
      <c r="I300" t="s">
        <v>371</v>
      </c>
      <c r="L300" s="2">
        <v>41729</v>
      </c>
      <c r="M300" s="2">
        <v>41806</v>
      </c>
      <c r="N300" s="3">
        <v>41799.593159722222</v>
      </c>
      <c r="O300" t="s">
        <v>178</v>
      </c>
      <c r="P300" t="s">
        <v>25</v>
      </c>
    </row>
    <row r="301" spans="1:16" x14ac:dyDescent="0.25">
      <c r="A301" t="str">
        <f>HYPERLINK("https://www.grants.gov/view-opportunity.html?oppId=253190","RFA-FD14-007")</f>
        <v>RFA-FD14-007</v>
      </c>
      <c r="B301" t="s">
        <v>389</v>
      </c>
      <c r="C301" t="s">
        <v>17</v>
      </c>
      <c r="D301" t="s">
        <v>18</v>
      </c>
      <c r="E301">
        <v>1000000</v>
      </c>
      <c r="F301">
        <v>5</v>
      </c>
      <c r="G301" s="1" t="s">
        <v>383</v>
      </c>
      <c r="I301" t="s">
        <v>371</v>
      </c>
      <c r="L301" s="2">
        <v>41729</v>
      </c>
      <c r="M301" s="2">
        <v>41761</v>
      </c>
      <c r="N301" s="3">
        <v>41736.722303240742</v>
      </c>
      <c r="O301" t="s">
        <v>36</v>
      </c>
      <c r="P301" t="s">
        <v>25</v>
      </c>
    </row>
    <row r="302" spans="1:16" x14ac:dyDescent="0.25">
      <c r="A302" t="str">
        <f>HYPERLINK("https://www.grants.gov/view-opportunity.html?oppId=253188","RFA-FD-14-010")</f>
        <v>RFA-FD-14-010</v>
      </c>
      <c r="B302" t="s">
        <v>390</v>
      </c>
      <c r="C302" t="s">
        <v>17</v>
      </c>
      <c r="D302" t="s">
        <v>18</v>
      </c>
      <c r="E302">
        <v>1250000</v>
      </c>
      <c r="F302">
        <v>5</v>
      </c>
      <c r="G302" s="1" t="s">
        <v>383</v>
      </c>
      <c r="I302" t="s">
        <v>371</v>
      </c>
      <c r="L302" s="2">
        <v>41729</v>
      </c>
      <c r="M302" s="2">
        <v>41799</v>
      </c>
      <c r="N302" s="3">
        <v>41792.666689814818</v>
      </c>
      <c r="O302" t="s">
        <v>36</v>
      </c>
      <c r="P302" t="s">
        <v>25</v>
      </c>
    </row>
    <row r="303" spans="1:16" x14ac:dyDescent="0.25">
      <c r="A303" t="str">
        <f>HYPERLINK("https://www.grants.gov/view-opportunity.html?oppId=253186","RFA-FD-14-012")</f>
        <v>RFA-FD-14-012</v>
      </c>
      <c r="B303" t="s">
        <v>391</v>
      </c>
      <c r="C303" t="s">
        <v>17</v>
      </c>
      <c r="D303" t="s">
        <v>18</v>
      </c>
      <c r="E303">
        <v>1000000</v>
      </c>
      <c r="F303">
        <v>5</v>
      </c>
      <c r="G303" s="1" t="s">
        <v>383</v>
      </c>
      <c r="I303" t="s">
        <v>371</v>
      </c>
      <c r="L303" s="2">
        <v>41726</v>
      </c>
      <c r="M303" s="2">
        <v>41792</v>
      </c>
      <c r="N303" s="3">
        <v>41730.711122685185</v>
      </c>
      <c r="O303" t="s">
        <v>24</v>
      </c>
      <c r="P303" t="s">
        <v>25</v>
      </c>
    </row>
    <row r="304" spans="1:16" x14ac:dyDescent="0.25">
      <c r="A304" t="str">
        <f>HYPERLINK("https://www.grants.gov/view-opportunity.html?oppId=253187","RFA-FD-14-011")</f>
        <v>RFA-FD-14-011</v>
      </c>
      <c r="B304" t="s">
        <v>392</v>
      </c>
      <c r="C304" t="s">
        <v>17</v>
      </c>
      <c r="D304" t="s">
        <v>18</v>
      </c>
      <c r="E304">
        <v>1250000</v>
      </c>
      <c r="F304">
        <v>5</v>
      </c>
      <c r="G304" s="1" t="s">
        <v>383</v>
      </c>
      <c r="I304" t="s">
        <v>371</v>
      </c>
      <c r="L304" s="2">
        <v>41726</v>
      </c>
      <c r="M304" s="2">
        <v>41792</v>
      </c>
      <c r="N304" s="3">
        <v>41730.705567129633</v>
      </c>
      <c r="O304" t="s">
        <v>24</v>
      </c>
      <c r="P304" t="s">
        <v>25</v>
      </c>
    </row>
    <row r="305" spans="1:16" x14ac:dyDescent="0.25">
      <c r="A305" t="str">
        <f>HYPERLINK("https://www.grants.gov/view-opportunity.html?oppId=250023","RFA-FD-14-002")</f>
        <v>RFA-FD-14-002</v>
      </c>
      <c r="B305" t="s">
        <v>365</v>
      </c>
      <c r="C305" t="s">
        <v>17</v>
      </c>
      <c r="D305" t="s">
        <v>18</v>
      </c>
      <c r="E305">
        <v>225000</v>
      </c>
      <c r="F305">
        <v>1</v>
      </c>
      <c r="G305" s="1" t="s">
        <v>336</v>
      </c>
      <c r="I305" t="s">
        <v>269</v>
      </c>
      <c r="L305" s="2">
        <v>41653</v>
      </c>
      <c r="M305" s="2">
        <v>41712</v>
      </c>
      <c r="N305" s="3">
        <v>41691.409270833334</v>
      </c>
      <c r="O305" t="s">
        <v>24</v>
      </c>
      <c r="P305" t="s">
        <v>25</v>
      </c>
    </row>
    <row r="306" spans="1:16" x14ac:dyDescent="0.25">
      <c r="A306" t="str">
        <f>HYPERLINK("https://www.grants.gov/view-opportunity.html?oppId=243834","RFA-FD-14-001")</f>
        <v>RFA-FD-14-001</v>
      </c>
      <c r="B306" t="s">
        <v>393</v>
      </c>
      <c r="C306" t="s">
        <v>17</v>
      </c>
      <c r="D306" t="s">
        <v>18</v>
      </c>
      <c r="E306">
        <v>6700000</v>
      </c>
      <c r="F306">
        <v>1</v>
      </c>
      <c r="G306" s="1" t="s">
        <v>336</v>
      </c>
      <c r="I306" t="s">
        <v>269</v>
      </c>
      <c r="L306" s="2">
        <v>41544</v>
      </c>
      <c r="M306" s="2">
        <v>41593</v>
      </c>
      <c r="N306" s="3">
        <v>41544.461423611108</v>
      </c>
      <c r="O306" t="s">
        <v>21</v>
      </c>
      <c r="P306" t="s">
        <v>25</v>
      </c>
    </row>
    <row r="307" spans="1:16" x14ac:dyDescent="0.25">
      <c r="A307" t="str">
        <f>HYPERLINK("https://www.grants.gov/view-opportunity.html?oppId=239276","RFA-FD-13-037")</f>
        <v>RFA-FD-13-037</v>
      </c>
      <c r="B307" t="s">
        <v>394</v>
      </c>
      <c r="C307" t="s">
        <v>17</v>
      </c>
      <c r="D307" t="s">
        <v>18</v>
      </c>
      <c r="E307">
        <v>3750000</v>
      </c>
      <c r="F307">
        <v>1</v>
      </c>
      <c r="G307" s="1" t="s">
        <v>395</v>
      </c>
      <c r="I307" t="s">
        <v>371</v>
      </c>
      <c r="L307" s="2">
        <v>41491</v>
      </c>
      <c r="M307" s="2">
        <v>41518</v>
      </c>
      <c r="N307" s="3">
        <v>41491.515335648146</v>
      </c>
      <c r="O307" t="s">
        <v>21</v>
      </c>
      <c r="P307" t="s">
        <v>25</v>
      </c>
    </row>
    <row r="308" spans="1:16" x14ac:dyDescent="0.25">
      <c r="A308" t="str">
        <f>HYPERLINK("https://www.grants.gov/view-opportunity.html?oppId=237973","RFA--FD-13-035")</f>
        <v>RFA--FD-13-035</v>
      </c>
      <c r="B308" t="s">
        <v>396</v>
      </c>
      <c r="C308" t="s">
        <v>17</v>
      </c>
      <c r="D308" t="s">
        <v>18</v>
      </c>
      <c r="E308">
        <v>250000</v>
      </c>
      <c r="F308">
        <v>3</v>
      </c>
      <c r="G308" s="1" t="s">
        <v>397</v>
      </c>
      <c r="I308" t="s">
        <v>318</v>
      </c>
      <c r="L308" s="2">
        <v>41474</v>
      </c>
      <c r="M308" s="2">
        <v>41501</v>
      </c>
      <c r="N308" s="3">
        <v>41474.468275462961</v>
      </c>
      <c r="O308" t="s">
        <v>21</v>
      </c>
      <c r="P308" t="s">
        <v>25</v>
      </c>
    </row>
    <row r="309" spans="1:16" x14ac:dyDescent="0.25">
      <c r="A309" t="str">
        <f>HYPERLINK("https://www.grants.gov/view-opportunity.html?oppId=227976","RFA-FD-13-032")</f>
        <v>RFA-FD-13-032</v>
      </c>
      <c r="B309" t="s">
        <v>223</v>
      </c>
      <c r="C309" t="s">
        <v>17</v>
      </c>
      <c r="D309" t="s">
        <v>18</v>
      </c>
      <c r="E309">
        <v>1000000</v>
      </c>
      <c r="F309">
        <v>1</v>
      </c>
      <c r="G309" s="1" t="s">
        <v>336</v>
      </c>
      <c r="I309" t="s">
        <v>269</v>
      </c>
      <c r="L309" s="2">
        <v>41450</v>
      </c>
      <c r="M309" s="2">
        <v>41486</v>
      </c>
      <c r="N309" s="3">
        <v>41450.412789351853</v>
      </c>
      <c r="O309" t="s">
        <v>21</v>
      </c>
      <c r="P309" t="s">
        <v>25</v>
      </c>
    </row>
    <row r="310" spans="1:16" x14ac:dyDescent="0.25">
      <c r="A310" t="str">
        <f>HYPERLINK("https://www.grants.gov/view-opportunity.html?oppId=236673","RFA-FD-13-031")</f>
        <v>RFA-FD-13-031</v>
      </c>
      <c r="B310" t="s">
        <v>398</v>
      </c>
      <c r="C310" t="s">
        <v>17</v>
      </c>
      <c r="D310" t="s">
        <v>18</v>
      </c>
      <c r="E310">
        <v>50000</v>
      </c>
      <c r="F310">
        <v>1</v>
      </c>
      <c r="G310" s="1" t="s">
        <v>336</v>
      </c>
      <c r="I310" t="s">
        <v>269</v>
      </c>
      <c r="L310" s="2">
        <v>41446</v>
      </c>
      <c r="M310" s="2">
        <v>41470</v>
      </c>
      <c r="N310" s="3">
        <v>41446.436354166668</v>
      </c>
      <c r="O310" t="s">
        <v>21</v>
      </c>
      <c r="P310" t="s">
        <v>25</v>
      </c>
    </row>
    <row r="311" spans="1:16" x14ac:dyDescent="0.25">
      <c r="A311" t="str">
        <f>HYPERLINK("https://www.grants.gov/view-opportunity.html?oppId=236637","RFA-FD-13-038")</f>
        <v>RFA-FD-13-038</v>
      </c>
      <c r="B311" t="s">
        <v>335</v>
      </c>
      <c r="C311" t="s">
        <v>17</v>
      </c>
      <c r="D311" t="s">
        <v>18</v>
      </c>
      <c r="E311">
        <v>600000</v>
      </c>
      <c r="F311">
        <v>1</v>
      </c>
      <c r="G311" s="1" t="s">
        <v>399</v>
      </c>
      <c r="I311" t="s">
        <v>146</v>
      </c>
      <c r="L311" s="2">
        <v>41445</v>
      </c>
      <c r="M311" s="2">
        <v>41474</v>
      </c>
      <c r="N311" s="3">
        <v>41445.469675925924</v>
      </c>
      <c r="O311" t="s">
        <v>21</v>
      </c>
      <c r="P311" t="s">
        <v>25</v>
      </c>
    </row>
    <row r="312" spans="1:16" x14ac:dyDescent="0.25">
      <c r="A312" t="str">
        <f>HYPERLINK("https://www.grants.gov/view-opportunity.html?oppId=236381","PA-13-244")</f>
        <v>PA-13-244</v>
      </c>
      <c r="B312" t="s">
        <v>400</v>
      </c>
      <c r="C312" t="s">
        <v>17</v>
      </c>
      <c r="D312" t="s">
        <v>18</v>
      </c>
      <c r="E312">
        <v>700000</v>
      </c>
      <c r="F312">
        <v>9</v>
      </c>
      <c r="G312" s="1" t="s">
        <v>397</v>
      </c>
      <c r="I312" t="s">
        <v>318</v>
      </c>
      <c r="L312" s="2">
        <v>41439</v>
      </c>
      <c r="M312" s="2">
        <v>42095</v>
      </c>
      <c r="N312" s="3">
        <v>41439.464050925926</v>
      </c>
      <c r="O312" t="s">
        <v>21</v>
      </c>
      <c r="P312" t="s">
        <v>25</v>
      </c>
    </row>
    <row r="313" spans="1:16" x14ac:dyDescent="0.25">
      <c r="A313" t="str">
        <f>HYPERLINK("https://www.grants.gov/view-opportunity.html?oppId=235342","PAR-13-232")</f>
        <v>PAR-13-232</v>
      </c>
      <c r="B313" t="s">
        <v>401</v>
      </c>
      <c r="C313" t="s">
        <v>17</v>
      </c>
      <c r="D313" t="s">
        <v>18</v>
      </c>
      <c r="E313">
        <v>1100000</v>
      </c>
      <c r="G313" s="1" t="s">
        <v>268</v>
      </c>
      <c r="I313" t="s">
        <v>402</v>
      </c>
      <c r="L313" s="2">
        <v>41416</v>
      </c>
      <c r="M313" s="2">
        <v>42503</v>
      </c>
      <c r="N313" s="3">
        <v>42479.596053240741</v>
      </c>
      <c r="O313" t="s">
        <v>119</v>
      </c>
      <c r="P313" t="s">
        <v>25</v>
      </c>
    </row>
    <row r="314" spans="1:16" x14ac:dyDescent="0.25">
      <c r="A314" t="str">
        <f>HYPERLINK("https://www.grants.gov/view-opportunity.html?oppId=234933","RFA-FD-13-003")</f>
        <v>RFA-FD-13-003</v>
      </c>
      <c r="B314" t="s">
        <v>403</v>
      </c>
      <c r="C314" t="s">
        <v>17</v>
      </c>
      <c r="D314" t="s">
        <v>18</v>
      </c>
      <c r="E314">
        <v>200000</v>
      </c>
      <c r="F314">
        <v>1</v>
      </c>
      <c r="G314" s="1" t="s">
        <v>404</v>
      </c>
      <c r="I314" t="s">
        <v>259</v>
      </c>
      <c r="L314" s="2">
        <v>41411</v>
      </c>
      <c r="M314" s="2">
        <v>41471</v>
      </c>
      <c r="N314" s="3">
        <v>41410.570324074077</v>
      </c>
      <c r="O314" t="s">
        <v>21</v>
      </c>
      <c r="P314" t="s">
        <v>25</v>
      </c>
    </row>
    <row r="315" spans="1:16" x14ac:dyDescent="0.25">
      <c r="A315" t="str">
        <f>HYPERLINK("https://www.grants.gov/view-opportunity.html?oppId=235074","RFA-FD-13-034")</f>
        <v>RFA-FD-13-034</v>
      </c>
      <c r="B315" t="s">
        <v>251</v>
      </c>
      <c r="C315" t="s">
        <v>17</v>
      </c>
      <c r="D315" t="s">
        <v>18</v>
      </c>
      <c r="E315">
        <v>1400000</v>
      </c>
      <c r="F315">
        <v>2</v>
      </c>
      <c r="G315" s="1" t="s">
        <v>405</v>
      </c>
      <c r="I315" t="s">
        <v>311</v>
      </c>
      <c r="L315" s="2">
        <v>41411</v>
      </c>
      <c r="M315" s="2">
        <v>41463</v>
      </c>
      <c r="N315" s="3">
        <v>41450.50167824074</v>
      </c>
      <c r="O315" t="s">
        <v>28</v>
      </c>
      <c r="P315" t="s">
        <v>25</v>
      </c>
    </row>
    <row r="316" spans="1:16" x14ac:dyDescent="0.25">
      <c r="A316" t="str">
        <f>HYPERLINK("https://www.grants.gov/view-opportunity.html?oppId=233481","RFA-FD-13-013")</f>
        <v>RFA-FD-13-013</v>
      </c>
      <c r="B316" t="s">
        <v>406</v>
      </c>
      <c r="C316" t="s">
        <v>17</v>
      </c>
      <c r="D316" t="s">
        <v>18</v>
      </c>
      <c r="E316">
        <v>500000</v>
      </c>
      <c r="F316">
        <v>7</v>
      </c>
      <c r="G316" s="1" t="s">
        <v>395</v>
      </c>
      <c r="I316" t="s">
        <v>371</v>
      </c>
      <c r="L316" s="2">
        <v>41401</v>
      </c>
      <c r="M316" s="2">
        <v>41456</v>
      </c>
      <c r="N316" s="3">
        <v>41401.527858796297</v>
      </c>
      <c r="O316" t="s">
        <v>21</v>
      </c>
      <c r="P316" t="s">
        <v>25</v>
      </c>
    </row>
    <row r="317" spans="1:16" x14ac:dyDescent="0.25">
      <c r="A317" t="str">
        <f>HYPERLINK("https://www.grants.gov/view-opportunity.html?oppId=233482","RFA-FD-13-015")</f>
        <v>RFA-FD-13-015</v>
      </c>
      <c r="B317" t="s">
        <v>407</v>
      </c>
      <c r="C317" t="s">
        <v>17</v>
      </c>
      <c r="D317" t="s">
        <v>18</v>
      </c>
      <c r="E317">
        <v>500000</v>
      </c>
      <c r="F317">
        <v>7</v>
      </c>
      <c r="G317" s="1" t="s">
        <v>395</v>
      </c>
      <c r="I317" t="s">
        <v>371</v>
      </c>
      <c r="L317" s="2">
        <v>41401</v>
      </c>
      <c r="M317" s="2">
        <v>41426</v>
      </c>
      <c r="N317" s="3">
        <v>41401.534803240742</v>
      </c>
      <c r="O317" t="s">
        <v>21</v>
      </c>
      <c r="P317" t="s">
        <v>25</v>
      </c>
    </row>
    <row r="318" spans="1:16" x14ac:dyDescent="0.25">
      <c r="A318" t="str">
        <f>HYPERLINK("https://www.grants.gov/view-opportunity.html?oppId=233480","RFA-FD-13-014")</f>
        <v>RFA-FD-13-014</v>
      </c>
      <c r="B318" t="s">
        <v>408</v>
      </c>
      <c r="C318" t="s">
        <v>17</v>
      </c>
      <c r="D318" t="s">
        <v>18</v>
      </c>
      <c r="E318">
        <v>60000</v>
      </c>
      <c r="F318">
        <v>7</v>
      </c>
      <c r="G318" s="1" t="s">
        <v>383</v>
      </c>
      <c r="I318" t="s">
        <v>371</v>
      </c>
      <c r="L318" s="2">
        <v>41401</v>
      </c>
      <c r="M318" s="2">
        <v>41457</v>
      </c>
      <c r="N318" s="3">
        <v>41401.517442129632</v>
      </c>
      <c r="O318" t="s">
        <v>21</v>
      </c>
      <c r="P318" t="s">
        <v>25</v>
      </c>
    </row>
    <row r="319" spans="1:16" x14ac:dyDescent="0.25">
      <c r="A319" t="str">
        <f>HYPERLINK("https://www.grants.gov/view-opportunity.html?oppId=233484","RFA-FD-13-016")</f>
        <v>RFA-FD-13-016</v>
      </c>
      <c r="B319" t="s">
        <v>409</v>
      </c>
      <c r="C319" t="s">
        <v>17</v>
      </c>
      <c r="D319" t="s">
        <v>18</v>
      </c>
      <c r="E319">
        <v>500000</v>
      </c>
      <c r="F319">
        <v>7</v>
      </c>
      <c r="G319" s="1" t="s">
        <v>395</v>
      </c>
      <c r="I319" t="s">
        <v>371</v>
      </c>
      <c r="L319" s="2">
        <v>41401</v>
      </c>
      <c r="M319" s="2">
        <v>41426</v>
      </c>
      <c r="N319" s="3">
        <v>41401.545219907406</v>
      </c>
      <c r="O319" t="s">
        <v>21</v>
      </c>
      <c r="P319" t="s">
        <v>25</v>
      </c>
    </row>
    <row r="320" spans="1:16" x14ac:dyDescent="0.25">
      <c r="A320" t="str">
        <f>HYPERLINK("https://www.grants.gov/view-opportunity.html?oppId=231013","PAR-13-200")</f>
        <v>PAR-13-200</v>
      </c>
      <c r="B320" t="s">
        <v>410</v>
      </c>
      <c r="C320" t="s">
        <v>17</v>
      </c>
      <c r="D320" t="s">
        <v>18</v>
      </c>
      <c r="E320">
        <v>150000</v>
      </c>
      <c r="F320">
        <v>15</v>
      </c>
      <c r="G320" s="1" t="s">
        <v>411</v>
      </c>
      <c r="I320" t="s">
        <v>259</v>
      </c>
      <c r="L320" s="2">
        <v>41389</v>
      </c>
      <c r="M320" s="2">
        <v>42187</v>
      </c>
      <c r="N320" s="3">
        <v>41389.321122685185</v>
      </c>
      <c r="O320" t="s">
        <v>24</v>
      </c>
      <c r="P320" t="s">
        <v>25</v>
      </c>
    </row>
    <row r="321" spans="1:16" x14ac:dyDescent="0.25">
      <c r="A321" t="str">
        <f>HYPERLINK("https://www.grants.gov/view-opportunity.html?oppId=231113","PAR-13-202")</f>
        <v>PAR-13-202</v>
      </c>
      <c r="B321" t="s">
        <v>412</v>
      </c>
      <c r="C321" t="s">
        <v>17</v>
      </c>
      <c r="D321" t="s">
        <v>18</v>
      </c>
      <c r="E321">
        <v>300000</v>
      </c>
      <c r="F321">
        <v>2</v>
      </c>
      <c r="G321" s="1" t="s">
        <v>336</v>
      </c>
      <c r="I321" t="s">
        <v>269</v>
      </c>
      <c r="L321" s="2">
        <v>41383</v>
      </c>
      <c r="M321" s="2">
        <v>42503</v>
      </c>
      <c r="N321" s="3">
        <v>42479.593969907408</v>
      </c>
      <c r="O321" t="s">
        <v>28</v>
      </c>
      <c r="P321" t="s">
        <v>25</v>
      </c>
    </row>
    <row r="322" spans="1:16" x14ac:dyDescent="0.25">
      <c r="A322" t="str">
        <f>HYPERLINK("https://www.grants.gov/view-opportunity.html?oppId=231020","RFA-FD-13-029")</f>
        <v>RFA-FD-13-029</v>
      </c>
      <c r="B322" t="s">
        <v>413</v>
      </c>
      <c r="C322" t="s">
        <v>17</v>
      </c>
      <c r="D322" t="s">
        <v>18</v>
      </c>
      <c r="E322">
        <v>500000</v>
      </c>
      <c r="F322">
        <v>1</v>
      </c>
      <c r="G322" s="1" t="s">
        <v>414</v>
      </c>
      <c r="I322" t="s">
        <v>415</v>
      </c>
      <c r="L322" s="2">
        <v>41382</v>
      </c>
      <c r="M322" s="2">
        <v>41428</v>
      </c>
      <c r="N322" s="3">
        <v>41428.474340277775</v>
      </c>
      <c r="O322" t="s">
        <v>36</v>
      </c>
      <c r="P322" t="s">
        <v>22</v>
      </c>
    </row>
    <row r="323" spans="1:16" x14ac:dyDescent="0.25">
      <c r="A323" t="str">
        <f>HYPERLINK("https://www.grants.gov/view-opportunity.html?oppId=231024","RFA-FD-13-030")</f>
        <v>RFA-FD-13-030</v>
      </c>
      <c r="B323" t="s">
        <v>416</v>
      </c>
      <c r="C323" t="s">
        <v>17</v>
      </c>
      <c r="D323" t="s">
        <v>18</v>
      </c>
      <c r="E323">
        <v>500000</v>
      </c>
      <c r="F323">
        <v>1</v>
      </c>
      <c r="G323" s="1" t="s">
        <v>414</v>
      </c>
      <c r="I323" t="s">
        <v>415</v>
      </c>
      <c r="L323" s="2">
        <v>41382</v>
      </c>
      <c r="M323" s="2">
        <v>41429</v>
      </c>
      <c r="N323" s="3">
        <v>41428.614618055559</v>
      </c>
      <c r="O323" t="s">
        <v>28</v>
      </c>
      <c r="P323" t="s">
        <v>22</v>
      </c>
    </row>
    <row r="324" spans="1:16" x14ac:dyDescent="0.25">
      <c r="A324" t="str">
        <f>HYPERLINK("https://www.grants.gov/view-opportunity.html?oppId=229074","RFA-FD-13-019")</f>
        <v>RFA-FD-13-019</v>
      </c>
      <c r="B324" t="s">
        <v>417</v>
      </c>
      <c r="C324" t="s">
        <v>17</v>
      </c>
      <c r="D324" t="s">
        <v>18</v>
      </c>
      <c r="E324">
        <v>1000000</v>
      </c>
      <c r="F324">
        <v>2</v>
      </c>
      <c r="G324" s="1" t="s">
        <v>336</v>
      </c>
      <c r="I324" t="s">
        <v>269</v>
      </c>
      <c r="L324" s="2">
        <v>41367</v>
      </c>
      <c r="M324" s="2">
        <v>41418</v>
      </c>
      <c r="N324" s="3">
        <v>41411.554363425923</v>
      </c>
      <c r="O324" t="s">
        <v>24</v>
      </c>
      <c r="P324" t="s">
        <v>25</v>
      </c>
    </row>
    <row r="325" spans="1:16" x14ac:dyDescent="0.25">
      <c r="A325" t="str">
        <f>HYPERLINK("https://www.grants.gov/view-opportunity.html?oppId=228878","RFA-FD-13-017")</f>
        <v>RFA-FD-13-017</v>
      </c>
      <c r="B325" t="s">
        <v>418</v>
      </c>
      <c r="C325" t="s">
        <v>17</v>
      </c>
      <c r="D325" t="s">
        <v>18</v>
      </c>
      <c r="E325">
        <v>500000</v>
      </c>
      <c r="F325">
        <v>1</v>
      </c>
      <c r="G325" s="1" t="s">
        <v>336</v>
      </c>
      <c r="I325" t="s">
        <v>269</v>
      </c>
      <c r="L325" s="2">
        <v>41366</v>
      </c>
      <c r="M325" s="2">
        <v>41418</v>
      </c>
      <c r="N325" s="3">
        <v>41366.480578703704</v>
      </c>
      <c r="O325" t="s">
        <v>21</v>
      </c>
      <c r="P325" t="s">
        <v>25</v>
      </c>
    </row>
    <row r="326" spans="1:16" x14ac:dyDescent="0.25">
      <c r="A326" t="str">
        <f>HYPERLINK("https://www.grants.gov/view-opportunity.html?oppId=228882","RFA-FD-13-020")</f>
        <v>RFA-FD-13-020</v>
      </c>
      <c r="B326" t="s">
        <v>419</v>
      </c>
      <c r="C326" t="s">
        <v>17</v>
      </c>
      <c r="D326" t="s">
        <v>18</v>
      </c>
      <c r="E326">
        <v>500000</v>
      </c>
      <c r="F326">
        <v>2</v>
      </c>
      <c r="G326" s="1" t="s">
        <v>336</v>
      </c>
      <c r="I326" t="s">
        <v>269</v>
      </c>
      <c r="L326" s="2">
        <v>41366</v>
      </c>
      <c r="M326" s="2">
        <v>41411</v>
      </c>
      <c r="N326" s="3">
        <v>41411.553668981483</v>
      </c>
      <c r="O326" t="s">
        <v>24</v>
      </c>
      <c r="P326" t="s">
        <v>25</v>
      </c>
    </row>
    <row r="327" spans="1:16" x14ac:dyDescent="0.25">
      <c r="A327" t="str">
        <f>HYPERLINK("https://www.grants.gov/view-opportunity.html?oppId=228859","RFA-FD-13-021")</f>
        <v>RFA-FD-13-021</v>
      </c>
      <c r="B327" t="s">
        <v>420</v>
      </c>
      <c r="C327" t="s">
        <v>17</v>
      </c>
      <c r="D327" t="s">
        <v>18</v>
      </c>
      <c r="E327">
        <v>800000</v>
      </c>
      <c r="F327">
        <v>1</v>
      </c>
      <c r="G327" s="1" t="s">
        <v>336</v>
      </c>
      <c r="I327" t="s">
        <v>269</v>
      </c>
      <c r="L327" s="2">
        <v>41366</v>
      </c>
      <c r="M327" s="2">
        <v>41425</v>
      </c>
      <c r="N327" s="3">
        <v>41366.43891203704</v>
      </c>
      <c r="O327" t="s">
        <v>21</v>
      </c>
      <c r="P327" t="s">
        <v>25</v>
      </c>
    </row>
    <row r="328" spans="1:16" x14ac:dyDescent="0.25">
      <c r="A328" t="str">
        <f>HYPERLINK("https://www.grants.gov/view-opportunity.html?oppId=228854","RFA-FD-13-006")</f>
        <v>RFA-FD-13-006</v>
      </c>
      <c r="B328" t="s">
        <v>421</v>
      </c>
      <c r="C328" t="s">
        <v>17</v>
      </c>
      <c r="D328" t="s">
        <v>18</v>
      </c>
      <c r="E328">
        <v>2700000</v>
      </c>
      <c r="F328">
        <v>9</v>
      </c>
      <c r="G328" s="1" t="s">
        <v>414</v>
      </c>
      <c r="I328" t="s">
        <v>415</v>
      </c>
      <c r="L328" s="2">
        <v>41366</v>
      </c>
      <c r="M328" s="2">
        <v>41456</v>
      </c>
      <c r="N328" s="3">
        <v>41382.646736111114</v>
      </c>
      <c r="O328" t="s">
        <v>36</v>
      </c>
      <c r="P328" t="s">
        <v>22</v>
      </c>
    </row>
    <row r="329" spans="1:16" x14ac:dyDescent="0.25">
      <c r="A329" t="str">
        <f>HYPERLINK("https://www.grants.gov/view-opportunity.html?oppId=228547","PAR-13-164")</f>
        <v>PAR-13-164</v>
      </c>
      <c r="B329" t="s">
        <v>422</v>
      </c>
      <c r="C329" t="s">
        <v>17</v>
      </c>
      <c r="D329" t="s">
        <v>18</v>
      </c>
      <c r="E329">
        <v>4500000</v>
      </c>
      <c r="F329">
        <v>15</v>
      </c>
      <c r="G329" s="1" t="s">
        <v>423</v>
      </c>
      <c r="I329" t="s">
        <v>318</v>
      </c>
      <c r="L329" s="2">
        <v>41362</v>
      </c>
      <c r="M329" s="2">
        <v>42159</v>
      </c>
      <c r="N329" s="3">
        <v>41362.518391203703</v>
      </c>
      <c r="O329" t="s">
        <v>21</v>
      </c>
      <c r="P329" t="s">
        <v>25</v>
      </c>
    </row>
    <row r="330" spans="1:16" x14ac:dyDescent="0.25">
      <c r="A330" t="str">
        <f>HYPERLINK("https://www.grants.gov/view-opportunity.html?oppId=228554","RFA-FD-13-022")</f>
        <v>RFA-FD-13-022</v>
      </c>
      <c r="B330" t="s">
        <v>424</v>
      </c>
      <c r="C330" t="s">
        <v>17</v>
      </c>
      <c r="D330" t="s">
        <v>18</v>
      </c>
      <c r="E330">
        <v>250000</v>
      </c>
      <c r="F330">
        <v>1</v>
      </c>
      <c r="G330" s="1" t="s">
        <v>336</v>
      </c>
      <c r="I330" t="s">
        <v>269</v>
      </c>
      <c r="L330" s="2">
        <v>41362</v>
      </c>
      <c r="M330" s="2">
        <v>41404</v>
      </c>
      <c r="N330" s="3">
        <v>41362.565613425926</v>
      </c>
      <c r="O330" t="s">
        <v>21</v>
      </c>
      <c r="P330" t="s">
        <v>25</v>
      </c>
    </row>
    <row r="331" spans="1:16" x14ac:dyDescent="0.25">
      <c r="A331" t="str">
        <f>HYPERLINK("https://www.grants.gov/view-opportunity.html?oppId=227914","RFA-FD-13-011")</f>
        <v>RFA-FD-13-011</v>
      </c>
      <c r="B331" t="s">
        <v>425</v>
      </c>
      <c r="C331" t="s">
        <v>17</v>
      </c>
      <c r="D331" t="s">
        <v>18</v>
      </c>
      <c r="E331">
        <v>1400000</v>
      </c>
      <c r="F331">
        <v>20</v>
      </c>
      <c r="G331" s="1" t="s">
        <v>399</v>
      </c>
      <c r="I331" t="s">
        <v>146</v>
      </c>
      <c r="L331" s="2">
        <v>41355</v>
      </c>
      <c r="M331" s="2">
        <v>41410</v>
      </c>
      <c r="N331" s="3">
        <v>41355.577337962961</v>
      </c>
      <c r="O331" t="s">
        <v>21</v>
      </c>
      <c r="P331" t="s">
        <v>25</v>
      </c>
    </row>
    <row r="332" spans="1:16" x14ac:dyDescent="0.25">
      <c r="A332" t="str">
        <f>HYPERLINK("https://www.grants.gov/view-opportunity.html?oppId=227517","RFA-FD-13-010")</f>
        <v>RFA-FD-13-010</v>
      </c>
      <c r="B332" t="s">
        <v>426</v>
      </c>
      <c r="C332" t="s">
        <v>17</v>
      </c>
      <c r="D332" t="s">
        <v>18</v>
      </c>
      <c r="E332">
        <v>3000000</v>
      </c>
      <c r="F332">
        <v>5</v>
      </c>
      <c r="G332" s="1" t="s">
        <v>427</v>
      </c>
      <c r="I332" t="s">
        <v>311</v>
      </c>
      <c r="L332" s="2">
        <v>41352</v>
      </c>
      <c r="M332" s="2">
        <v>41427</v>
      </c>
      <c r="N332" s="3">
        <v>41352.70716435185</v>
      </c>
      <c r="O332" t="s">
        <v>36</v>
      </c>
      <c r="P332" t="s">
        <v>25</v>
      </c>
    </row>
    <row r="333" spans="1:16" x14ac:dyDescent="0.25">
      <c r="A333" t="str">
        <f>HYPERLINK("https://www.grants.gov/view-opportunity.html?oppId=218154","RFA-FD-13-002")</f>
        <v>RFA-FD-13-002</v>
      </c>
      <c r="B333" t="s">
        <v>428</v>
      </c>
      <c r="C333" t="s">
        <v>17</v>
      </c>
      <c r="D333" t="s">
        <v>18</v>
      </c>
      <c r="E333">
        <v>2000000</v>
      </c>
      <c r="F333">
        <v>7</v>
      </c>
      <c r="G333" s="1" t="s">
        <v>395</v>
      </c>
      <c r="I333" t="s">
        <v>371</v>
      </c>
      <c r="L333" s="2">
        <v>41304</v>
      </c>
      <c r="M333" s="2">
        <v>41366</v>
      </c>
      <c r="N333" s="3">
        <v>41303.644780092596</v>
      </c>
      <c r="O333" t="s">
        <v>21</v>
      </c>
      <c r="P333" t="s">
        <v>25</v>
      </c>
    </row>
    <row r="334" spans="1:16" x14ac:dyDescent="0.25">
      <c r="A334" t="str">
        <f>HYPERLINK("https://www.grants.gov/view-opportunity.html?oppId=189254","RFA-FD-13-001")</f>
        <v>RFA-FD-13-001</v>
      </c>
      <c r="B334" t="s">
        <v>355</v>
      </c>
      <c r="C334" t="s">
        <v>17</v>
      </c>
      <c r="D334" t="s">
        <v>18</v>
      </c>
      <c r="E334">
        <v>14100000</v>
      </c>
      <c r="F334">
        <v>40</v>
      </c>
      <c r="G334" s="1" t="s">
        <v>429</v>
      </c>
      <c r="I334" t="s">
        <v>311</v>
      </c>
      <c r="L334" s="2">
        <v>41253</v>
      </c>
      <c r="M334" s="2">
        <v>41928</v>
      </c>
      <c r="N334" s="3">
        <v>41648.686909722222</v>
      </c>
      <c r="O334" t="s">
        <v>36</v>
      </c>
      <c r="P334" t="s">
        <v>25</v>
      </c>
    </row>
    <row r="335" spans="1:16" x14ac:dyDescent="0.25">
      <c r="A335" t="str">
        <f>HYPERLINK("https://www.grants.gov/view-opportunity.html?oppId=177973","RFA-FD-12-027")</f>
        <v>RFA-FD-12-027</v>
      </c>
      <c r="B335" t="s">
        <v>430</v>
      </c>
      <c r="C335" t="s">
        <v>17</v>
      </c>
      <c r="D335" t="s">
        <v>18</v>
      </c>
      <c r="E335">
        <v>2000000</v>
      </c>
      <c r="F335">
        <v>20</v>
      </c>
      <c r="G335" s="1" t="s">
        <v>431</v>
      </c>
      <c r="I335" t="s">
        <v>146</v>
      </c>
      <c r="L335" s="2">
        <v>41079</v>
      </c>
      <c r="M335" s="2">
        <v>41120</v>
      </c>
      <c r="N335" s="3">
        <v>41081.619687500002</v>
      </c>
      <c r="O335" t="s">
        <v>36</v>
      </c>
      <c r="P335" t="s">
        <v>25</v>
      </c>
    </row>
    <row r="336" spans="1:16" x14ac:dyDescent="0.25">
      <c r="A336" t="str">
        <f>HYPERLINK("https://www.grants.gov/view-opportunity.html?oppId=175375","RFA-FD-12-026")</f>
        <v>RFA-FD-12-026</v>
      </c>
      <c r="B336" t="s">
        <v>432</v>
      </c>
      <c r="C336" t="s">
        <v>17</v>
      </c>
      <c r="D336" t="s">
        <v>18</v>
      </c>
      <c r="E336">
        <v>2000000</v>
      </c>
      <c r="F336">
        <v>20</v>
      </c>
      <c r="G336" s="1" t="s">
        <v>399</v>
      </c>
      <c r="I336" t="s">
        <v>146</v>
      </c>
      <c r="L336" s="2">
        <v>41068</v>
      </c>
      <c r="M336" s="2">
        <v>41102</v>
      </c>
      <c r="N336" s="3">
        <v>41068.527175925927</v>
      </c>
      <c r="O336" t="s">
        <v>21</v>
      </c>
      <c r="P336" t="s">
        <v>25</v>
      </c>
    </row>
    <row r="337" spans="1:16" x14ac:dyDescent="0.25">
      <c r="A337" t="str">
        <f>HYPERLINK("https://www.grants.gov/view-opportunity.html?oppId=175393","RFA-FD-12-025")</f>
        <v>RFA-FD-12-025</v>
      </c>
      <c r="B337" t="s">
        <v>433</v>
      </c>
      <c r="C337" t="s">
        <v>17</v>
      </c>
      <c r="D337" t="s">
        <v>18</v>
      </c>
      <c r="E337">
        <v>1500000</v>
      </c>
      <c r="F337">
        <v>1</v>
      </c>
      <c r="G337" s="1" t="s">
        <v>399</v>
      </c>
      <c r="I337" t="s">
        <v>146</v>
      </c>
      <c r="L337" s="2">
        <v>41068</v>
      </c>
      <c r="M337" s="2">
        <v>41106</v>
      </c>
      <c r="N337" s="3">
        <v>41068.539675925924</v>
      </c>
      <c r="O337" t="s">
        <v>21</v>
      </c>
      <c r="P337" t="s">
        <v>25</v>
      </c>
    </row>
    <row r="338" spans="1:16" x14ac:dyDescent="0.25">
      <c r="A338" t="str">
        <f>HYPERLINK("https://www.grants.gov/view-opportunity.html?oppId=174093","RFA-FD-12-011")</f>
        <v>RFA-FD-12-011</v>
      </c>
      <c r="B338" t="s">
        <v>329</v>
      </c>
      <c r="C338" t="s">
        <v>17</v>
      </c>
      <c r="D338" t="s">
        <v>18</v>
      </c>
      <c r="E338">
        <v>4200000</v>
      </c>
      <c r="F338">
        <v>60</v>
      </c>
      <c r="G338" s="1" t="s">
        <v>399</v>
      </c>
      <c r="I338" t="s">
        <v>146</v>
      </c>
      <c r="L338" s="2">
        <v>41064</v>
      </c>
      <c r="M338" s="2">
        <v>41106</v>
      </c>
      <c r="N338" s="3">
        <v>41081.618298611109</v>
      </c>
      <c r="O338" t="s">
        <v>24</v>
      </c>
      <c r="P338" t="s">
        <v>25</v>
      </c>
    </row>
    <row r="339" spans="1:16" x14ac:dyDescent="0.25">
      <c r="A339" t="str">
        <f>HYPERLINK("https://www.grants.gov/view-opportunity.html?oppId=174153","PA-12-194")</f>
        <v>PA-12-194</v>
      </c>
      <c r="B339" t="s">
        <v>434</v>
      </c>
      <c r="C339" t="s">
        <v>17</v>
      </c>
      <c r="D339" t="s">
        <v>18</v>
      </c>
      <c r="E339">
        <v>500000</v>
      </c>
      <c r="F339">
        <v>30</v>
      </c>
      <c r="G339" s="1" t="s">
        <v>435</v>
      </c>
      <c r="I339" t="s">
        <v>318</v>
      </c>
      <c r="L339" s="2">
        <v>41064</v>
      </c>
      <c r="M339" s="2">
        <v>41927</v>
      </c>
      <c r="N339" s="3">
        <v>41807.46130787037</v>
      </c>
      <c r="O339" t="s">
        <v>24</v>
      </c>
      <c r="P339" t="s">
        <v>25</v>
      </c>
    </row>
    <row r="340" spans="1:16" x14ac:dyDescent="0.25">
      <c r="A340" t="str">
        <f>HYPERLINK("https://www.grants.gov/view-opportunity.html?oppId=170816","RFA-FD-12-028")</f>
        <v>RFA-FD-12-028</v>
      </c>
      <c r="B340" t="s">
        <v>436</v>
      </c>
      <c r="C340" t="s">
        <v>17</v>
      </c>
      <c r="D340" t="s">
        <v>18</v>
      </c>
      <c r="E340">
        <v>250000</v>
      </c>
      <c r="F340">
        <v>2</v>
      </c>
      <c r="G340" s="1" t="s">
        <v>336</v>
      </c>
      <c r="I340" t="s">
        <v>269</v>
      </c>
      <c r="L340" s="2">
        <v>41044</v>
      </c>
      <c r="M340" s="2">
        <v>41085</v>
      </c>
      <c r="N340" s="3">
        <v>41044.689756944441</v>
      </c>
      <c r="O340" t="s">
        <v>21</v>
      </c>
      <c r="P340" t="s">
        <v>25</v>
      </c>
    </row>
    <row r="341" spans="1:16" x14ac:dyDescent="0.25">
      <c r="A341" t="str">
        <f>HYPERLINK("https://www.grants.gov/view-opportunity.html?oppId=169219","RFA-FD-12-018")</f>
        <v>RFA-FD-12-018</v>
      </c>
      <c r="B341" t="s">
        <v>437</v>
      </c>
      <c r="C341" t="s">
        <v>17</v>
      </c>
      <c r="D341" t="s">
        <v>18</v>
      </c>
      <c r="E341">
        <v>4000000</v>
      </c>
      <c r="F341">
        <v>15</v>
      </c>
      <c r="G341" s="1" t="s">
        <v>438</v>
      </c>
      <c r="I341" t="s">
        <v>371</v>
      </c>
      <c r="L341" s="2">
        <v>41033</v>
      </c>
      <c r="M341" s="2">
        <v>41092</v>
      </c>
      <c r="N341" s="3">
        <v>41044.652951388889</v>
      </c>
      <c r="O341" t="s">
        <v>24</v>
      </c>
      <c r="P341" t="s">
        <v>25</v>
      </c>
    </row>
    <row r="342" spans="1:16" x14ac:dyDescent="0.25">
      <c r="A342" t="str">
        <f>HYPERLINK("https://www.grants.gov/view-opportunity.html?oppId=169215","RFA-FD-12-023")</f>
        <v>RFA-FD-12-023</v>
      </c>
      <c r="B342" t="s">
        <v>439</v>
      </c>
      <c r="C342" t="s">
        <v>17</v>
      </c>
      <c r="D342" t="s">
        <v>18</v>
      </c>
      <c r="E342">
        <v>400000</v>
      </c>
      <c r="F342">
        <v>1</v>
      </c>
      <c r="G342" s="1" t="s">
        <v>440</v>
      </c>
      <c r="I342" t="s">
        <v>371</v>
      </c>
      <c r="L342" s="2">
        <v>41033</v>
      </c>
      <c r="M342" s="2">
        <v>41076</v>
      </c>
      <c r="N342" s="3">
        <v>41075.782812500001</v>
      </c>
      <c r="O342" t="s">
        <v>28</v>
      </c>
      <c r="P342" t="s">
        <v>25</v>
      </c>
    </row>
    <row r="343" spans="1:16" x14ac:dyDescent="0.25">
      <c r="A343" t="str">
        <f>HYPERLINK("https://www.grants.gov/view-opportunity.html?oppId=169053","RFA-FD-12-013")</f>
        <v>RFA-FD-12-013</v>
      </c>
      <c r="B343" t="s">
        <v>441</v>
      </c>
      <c r="C343" t="s">
        <v>17</v>
      </c>
      <c r="D343" t="s">
        <v>18</v>
      </c>
      <c r="E343">
        <v>3000000</v>
      </c>
      <c r="F343">
        <v>10</v>
      </c>
      <c r="G343" s="1" t="s">
        <v>305</v>
      </c>
      <c r="I343" t="s">
        <v>269</v>
      </c>
      <c r="L343" s="2">
        <v>41032</v>
      </c>
      <c r="M343" s="2">
        <v>41096</v>
      </c>
      <c r="N343" s="3">
        <v>41073.714039351849</v>
      </c>
      <c r="O343" t="s">
        <v>24</v>
      </c>
      <c r="P343" t="s">
        <v>25</v>
      </c>
    </row>
    <row r="344" spans="1:16" x14ac:dyDescent="0.25">
      <c r="A344" t="str">
        <f>HYPERLINK("https://www.grants.gov/view-opportunity.html?oppId=169054","RFA-FD-12-014")</f>
        <v>RFA-FD-12-014</v>
      </c>
      <c r="B344" t="s">
        <v>442</v>
      </c>
      <c r="C344" t="s">
        <v>17</v>
      </c>
      <c r="D344" t="s">
        <v>18</v>
      </c>
      <c r="E344">
        <v>1500000</v>
      </c>
      <c r="F344">
        <v>3</v>
      </c>
      <c r="G344" s="1" t="s">
        <v>336</v>
      </c>
      <c r="I344" t="s">
        <v>269</v>
      </c>
      <c r="L344" s="2">
        <v>41032</v>
      </c>
      <c r="M344" s="2">
        <v>41096</v>
      </c>
      <c r="N344" s="3">
        <v>41032.690312500003</v>
      </c>
      <c r="O344" t="s">
        <v>21</v>
      </c>
      <c r="P344" t="s">
        <v>25</v>
      </c>
    </row>
    <row r="345" spans="1:16" x14ac:dyDescent="0.25">
      <c r="A345" t="str">
        <f>HYPERLINK("https://www.grants.gov/view-opportunity.html?oppId=168013","RFA-FD-12-019")</f>
        <v>RFA-FD-12-019</v>
      </c>
      <c r="B345" t="s">
        <v>443</v>
      </c>
      <c r="C345" t="s">
        <v>17</v>
      </c>
      <c r="D345" t="s">
        <v>18</v>
      </c>
      <c r="E345">
        <v>300000</v>
      </c>
      <c r="F345">
        <v>1</v>
      </c>
      <c r="G345" s="1" t="s">
        <v>305</v>
      </c>
      <c r="I345" t="s">
        <v>269</v>
      </c>
      <c r="L345" s="2">
        <v>41026</v>
      </c>
      <c r="M345" s="2">
        <v>41068</v>
      </c>
      <c r="N345" s="3">
        <v>41046.444641203707</v>
      </c>
      <c r="O345" t="s">
        <v>36</v>
      </c>
      <c r="P345" t="s">
        <v>25</v>
      </c>
    </row>
    <row r="346" spans="1:16" x14ac:dyDescent="0.25">
      <c r="A346" t="str">
        <f>HYPERLINK("https://www.grants.gov/view-opportunity.html?oppId=168033","RFA-FD-12-020")</f>
        <v>RFA-FD-12-020</v>
      </c>
      <c r="B346" t="s">
        <v>444</v>
      </c>
      <c r="C346" t="s">
        <v>17</v>
      </c>
      <c r="D346" t="s">
        <v>18</v>
      </c>
      <c r="E346">
        <v>500000</v>
      </c>
      <c r="F346">
        <v>1</v>
      </c>
      <c r="G346" s="1" t="s">
        <v>305</v>
      </c>
      <c r="I346" t="s">
        <v>269</v>
      </c>
      <c r="L346" s="2">
        <v>41026</v>
      </c>
      <c r="M346" s="2">
        <v>41082</v>
      </c>
      <c r="N346" s="3">
        <v>41033.49796296296</v>
      </c>
      <c r="O346" t="s">
        <v>36</v>
      </c>
      <c r="P346" t="s">
        <v>25</v>
      </c>
    </row>
    <row r="347" spans="1:16" x14ac:dyDescent="0.25">
      <c r="A347" t="str">
        <f>HYPERLINK("https://www.grants.gov/view-opportunity.html?oppId=168034","RFA-FD-12-021")</f>
        <v>RFA-FD-12-021</v>
      </c>
      <c r="B347" t="s">
        <v>445</v>
      </c>
      <c r="C347" t="s">
        <v>17</v>
      </c>
      <c r="D347" t="s">
        <v>18</v>
      </c>
      <c r="E347">
        <v>2700000</v>
      </c>
      <c r="F347">
        <v>1</v>
      </c>
      <c r="G347" s="1" t="s">
        <v>336</v>
      </c>
      <c r="I347" t="s">
        <v>269</v>
      </c>
      <c r="L347" s="2">
        <v>41026</v>
      </c>
      <c r="M347" s="2">
        <v>41068</v>
      </c>
      <c r="N347" s="3">
        <v>41039.577893518515</v>
      </c>
      <c r="O347" t="s">
        <v>28</v>
      </c>
      <c r="P347" t="s">
        <v>25</v>
      </c>
    </row>
    <row r="348" spans="1:16" x14ac:dyDescent="0.25">
      <c r="A348" t="str">
        <f>HYPERLINK("https://www.grants.gov/view-opportunity.html?oppId=155593","RFA-FD-12-010")</f>
        <v>RFA-FD-12-010</v>
      </c>
      <c r="B348" t="s">
        <v>446</v>
      </c>
      <c r="C348" t="s">
        <v>17</v>
      </c>
      <c r="D348" t="s">
        <v>18</v>
      </c>
      <c r="E348">
        <v>2680000</v>
      </c>
      <c r="F348">
        <v>1</v>
      </c>
      <c r="G348" s="1" t="s">
        <v>336</v>
      </c>
      <c r="I348" t="s">
        <v>269</v>
      </c>
      <c r="L348" s="2">
        <v>40987</v>
      </c>
      <c r="M348" s="2">
        <v>41029</v>
      </c>
      <c r="N348" s="3">
        <v>40987.453692129631</v>
      </c>
      <c r="O348" t="s">
        <v>21</v>
      </c>
      <c r="P348" t="s">
        <v>25</v>
      </c>
    </row>
    <row r="349" spans="1:16" x14ac:dyDescent="0.25">
      <c r="A349" t="str">
        <f>HYPERLINK("https://www.grants.gov/view-opportunity.html?oppId=153713","RFA-FD-12-005")</f>
        <v>RFA-FD-12-005</v>
      </c>
      <c r="B349" t="s">
        <v>447</v>
      </c>
      <c r="C349" t="s">
        <v>17</v>
      </c>
      <c r="D349" t="s">
        <v>18</v>
      </c>
      <c r="E349">
        <v>300000</v>
      </c>
      <c r="F349">
        <v>4</v>
      </c>
      <c r="G349" s="1" t="s">
        <v>448</v>
      </c>
      <c r="I349" t="s">
        <v>449</v>
      </c>
      <c r="L349" s="2">
        <v>40983</v>
      </c>
      <c r="M349" s="2">
        <v>41038</v>
      </c>
      <c r="N349" s="3">
        <v>40983.562673611108</v>
      </c>
      <c r="O349" t="s">
        <v>21</v>
      </c>
      <c r="P349" t="s">
        <v>25</v>
      </c>
    </row>
    <row r="350" spans="1:16" x14ac:dyDescent="0.25">
      <c r="A350" t="str">
        <f>HYPERLINK("https://www.grants.gov/view-opportunity.html?oppId=153853","RFA-FD-12-002")</f>
        <v>RFA-FD-12-002</v>
      </c>
      <c r="B350" t="s">
        <v>450</v>
      </c>
      <c r="C350" t="s">
        <v>17</v>
      </c>
      <c r="D350" t="s">
        <v>18</v>
      </c>
      <c r="F350">
        <v>15</v>
      </c>
      <c r="G350" s="1" t="s">
        <v>448</v>
      </c>
      <c r="I350" t="s">
        <v>449</v>
      </c>
      <c r="L350" s="2">
        <v>40983</v>
      </c>
      <c r="M350" s="2">
        <v>41038</v>
      </c>
      <c r="N350" s="3">
        <v>41026.571840277778</v>
      </c>
      <c r="O350" t="s">
        <v>28</v>
      </c>
      <c r="P350" t="s">
        <v>25</v>
      </c>
    </row>
    <row r="351" spans="1:16" x14ac:dyDescent="0.25">
      <c r="A351" t="str">
        <f>HYPERLINK("https://www.grants.gov/view-opportunity.html?oppId=153116","PAR-12-116")</f>
        <v>PAR-12-116</v>
      </c>
      <c r="B351" t="s">
        <v>451</v>
      </c>
      <c r="C351" t="s">
        <v>17</v>
      </c>
      <c r="D351" t="s">
        <v>18</v>
      </c>
      <c r="E351">
        <v>300000</v>
      </c>
      <c r="F351">
        <v>3</v>
      </c>
      <c r="G351" s="1" t="s">
        <v>452</v>
      </c>
      <c r="I351" t="s">
        <v>453</v>
      </c>
      <c r="L351" s="2">
        <v>40982</v>
      </c>
      <c r="M351" s="2">
        <v>41805</v>
      </c>
      <c r="N351" s="3">
        <v>41380.682824074072</v>
      </c>
      <c r="O351" t="s">
        <v>24</v>
      </c>
      <c r="P351" t="s">
        <v>25</v>
      </c>
    </row>
    <row r="352" spans="1:16" x14ac:dyDescent="0.25">
      <c r="A352" t="str">
        <f>HYPERLINK("https://www.grants.gov/view-opportunity.html?oppId=146035","RFA-FD-12-003")</f>
        <v>RFA-FD-12-003</v>
      </c>
      <c r="B352" t="s">
        <v>454</v>
      </c>
      <c r="C352" t="s">
        <v>17</v>
      </c>
      <c r="D352" t="s">
        <v>18</v>
      </c>
      <c r="E352">
        <v>750000</v>
      </c>
      <c r="F352">
        <v>10</v>
      </c>
      <c r="G352" s="1" t="s">
        <v>455</v>
      </c>
      <c r="I352" t="s">
        <v>318</v>
      </c>
      <c r="L352" s="2">
        <v>40962</v>
      </c>
      <c r="M352" s="2">
        <v>42020</v>
      </c>
      <c r="N352" s="3">
        <v>41432.654942129629</v>
      </c>
      <c r="O352" t="s">
        <v>24</v>
      </c>
      <c r="P352" t="s">
        <v>25</v>
      </c>
    </row>
    <row r="353" spans="1:16" x14ac:dyDescent="0.25">
      <c r="A353" t="str">
        <f>HYPERLINK("https://www.grants.gov/view-opportunity.html?oppId=144253","RFA-FD-12-007")</f>
        <v>RFA-FD-12-007</v>
      </c>
      <c r="B353" t="s">
        <v>235</v>
      </c>
      <c r="C353" t="s">
        <v>17</v>
      </c>
      <c r="D353" t="s">
        <v>18</v>
      </c>
      <c r="E353">
        <v>11000000</v>
      </c>
      <c r="F353">
        <v>40</v>
      </c>
      <c r="G353" s="1" t="s">
        <v>456</v>
      </c>
      <c r="I353" t="s">
        <v>316</v>
      </c>
      <c r="L353" s="2">
        <v>40954</v>
      </c>
      <c r="M353" s="2">
        <v>41015</v>
      </c>
      <c r="N353" s="3">
        <v>40954.450173611112</v>
      </c>
      <c r="O353" t="s">
        <v>21</v>
      </c>
      <c r="P353" t="s">
        <v>25</v>
      </c>
    </row>
    <row r="354" spans="1:16" x14ac:dyDescent="0.25">
      <c r="A354" t="str">
        <f>HYPERLINK("https://www.grants.gov/view-opportunity.html?oppId=144036","RFA-FD-12-008")</f>
        <v>RFA-FD-12-008</v>
      </c>
      <c r="B354" t="s">
        <v>317</v>
      </c>
      <c r="C354" t="s">
        <v>17</v>
      </c>
      <c r="D354" t="s">
        <v>18</v>
      </c>
      <c r="E354">
        <v>8000000</v>
      </c>
      <c r="F354">
        <v>30</v>
      </c>
      <c r="G354" s="1" t="s">
        <v>456</v>
      </c>
      <c r="I354" t="s">
        <v>318</v>
      </c>
      <c r="L354" s="2">
        <v>40953</v>
      </c>
      <c r="M354" s="2">
        <v>41022</v>
      </c>
      <c r="N354" s="3">
        <v>40990.428726851853</v>
      </c>
      <c r="O354" t="s">
        <v>24</v>
      </c>
      <c r="P354" t="s">
        <v>25</v>
      </c>
    </row>
    <row r="355" spans="1:16" x14ac:dyDescent="0.25">
      <c r="A355" t="str">
        <f>HYPERLINK("https://www.grants.gov/view-opportunity.html?oppId=122373","PA-11-310")</f>
        <v>PA-11-310</v>
      </c>
      <c r="B355" t="s">
        <v>457</v>
      </c>
      <c r="C355" t="s">
        <v>17</v>
      </c>
      <c r="D355" t="s">
        <v>18</v>
      </c>
      <c r="G355" s="1" t="s">
        <v>303</v>
      </c>
      <c r="I355" t="s">
        <v>259</v>
      </c>
      <c r="L355" s="2">
        <v>40800</v>
      </c>
      <c r="M355" s="2">
        <v>41800</v>
      </c>
      <c r="N355" s="3">
        <v>41800.612615740742</v>
      </c>
      <c r="O355" t="s">
        <v>28</v>
      </c>
      <c r="P355" t="s">
        <v>25</v>
      </c>
    </row>
    <row r="356" spans="1:16" x14ac:dyDescent="0.25">
      <c r="A356" t="str">
        <f>HYPERLINK("https://www.grants.gov/view-opportunity.html?oppId=106035","RFA-FD-11-029")</f>
        <v>RFA-FD-11-029</v>
      </c>
      <c r="B356" t="s">
        <v>458</v>
      </c>
      <c r="C356" t="s">
        <v>17</v>
      </c>
      <c r="D356" t="s">
        <v>18</v>
      </c>
      <c r="E356">
        <v>160000</v>
      </c>
      <c r="F356">
        <v>1</v>
      </c>
      <c r="G356" s="1" t="s">
        <v>336</v>
      </c>
      <c r="I356" t="s">
        <v>269</v>
      </c>
      <c r="L356" s="2">
        <v>40742</v>
      </c>
      <c r="M356" s="2">
        <v>40770</v>
      </c>
      <c r="N356" s="3">
        <v>40742.393958333334</v>
      </c>
      <c r="O356" t="s">
        <v>21</v>
      </c>
      <c r="P356" t="s">
        <v>25</v>
      </c>
    </row>
    <row r="357" spans="1:16" x14ac:dyDescent="0.25">
      <c r="A357" t="str">
        <f>HYPERLINK("https://www.grants.gov/view-opportunity.html?oppId=105953","RFA-FD-11-033")</f>
        <v>RFA-FD-11-033</v>
      </c>
      <c r="B357" t="s">
        <v>251</v>
      </c>
      <c r="C357" t="s">
        <v>17</v>
      </c>
      <c r="D357" t="s">
        <v>18</v>
      </c>
      <c r="E357">
        <v>2000000</v>
      </c>
      <c r="F357">
        <v>2</v>
      </c>
      <c r="G357" s="1" t="s">
        <v>459</v>
      </c>
      <c r="I357" t="s">
        <v>449</v>
      </c>
      <c r="L357" s="2">
        <v>40739</v>
      </c>
      <c r="M357" s="2">
        <v>40770</v>
      </c>
      <c r="N357" s="3">
        <v>40739.723090277781</v>
      </c>
      <c r="O357" t="s">
        <v>21</v>
      </c>
      <c r="P357" t="s">
        <v>25</v>
      </c>
    </row>
    <row r="358" spans="1:16" x14ac:dyDescent="0.25">
      <c r="A358" t="str">
        <f>HYPERLINK("https://www.grants.gov/view-opportunity.html?oppId=104573","RFA-FD-11-028")</f>
        <v>RFA-FD-11-028</v>
      </c>
      <c r="B358" t="s">
        <v>460</v>
      </c>
      <c r="C358" t="s">
        <v>17</v>
      </c>
      <c r="D358" t="s">
        <v>18</v>
      </c>
      <c r="E358">
        <v>3900000</v>
      </c>
      <c r="F358">
        <v>3</v>
      </c>
      <c r="G358" s="1" t="s">
        <v>461</v>
      </c>
      <c r="I358" t="s">
        <v>462</v>
      </c>
      <c r="L358" s="2">
        <v>40736</v>
      </c>
      <c r="M358" s="2">
        <v>40755</v>
      </c>
      <c r="N358" s="3">
        <v>40736.430694444447</v>
      </c>
      <c r="O358" t="s">
        <v>21</v>
      </c>
      <c r="P358" t="s">
        <v>25</v>
      </c>
    </row>
    <row r="359" spans="1:16" x14ac:dyDescent="0.25">
      <c r="A359" t="str">
        <f>HYPERLINK("https://www.grants.gov/view-opportunity.html?oppId=103993","RFA-FD-11-010")</f>
        <v>RFA-FD-11-010</v>
      </c>
      <c r="B359" t="s">
        <v>463</v>
      </c>
      <c r="C359" t="s">
        <v>17</v>
      </c>
      <c r="D359" t="s">
        <v>18</v>
      </c>
      <c r="E359">
        <v>660000</v>
      </c>
      <c r="F359">
        <v>11</v>
      </c>
      <c r="G359" s="1" t="s">
        <v>464</v>
      </c>
      <c r="I359" t="s">
        <v>465</v>
      </c>
      <c r="L359" s="2">
        <v>40732</v>
      </c>
      <c r="M359" s="2">
        <v>40770</v>
      </c>
      <c r="N359" s="3">
        <v>40732.598009259258</v>
      </c>
      <c r="O359" t="s">
        <v>21</v>
      </c>
      <c r="P359" t="s">
        <v>25</v>
      </c>
    </row>
    <row r="360" spans="1:16" x14ac:dyDescent="0.25">
      <c r="A360" t="str">
        <f>HYPERLINK("https://www.grants.gov/view-opportunity.html?oppId=100053","RFA-FD-11-024")</f>
        <v>RFA-FD-11-024</v>
      </c>
      <c r="B360" t="s">
        <v>466</v>
      </c>
      <c r="C360" t="s">
        <v>17</v>
      </c>
      <c r="D360" t="s">
        <v>18</v>
      </c>
      <c r="E360">
        <v>250000</v>
      </c>
      <c r="F360">
        <v>5</v>
      </c>
      <c r="G360" s="1" t="s">
        <v>467</v>
      </c>
      <c r="I360" t="s">
        <v>449</v>
      </c>
      <c r="L360" s="2">
        <v>40711</v>
      </c>
      <c r="M360" s="2">
        <v>40742</v>
      </c>
      <c r="N360" s="3">
        <v>40716.689837962964</v>
      </c>
      <c r="O360" t="s">
        <v>24</v>
      </c>
      <c r="P360" t="s">
        <v>25</v>
      </c>
    </row>
    <row r="361" spans="1:16" x14ac:dyDescent="0.25">
      <c r="A361" t="str">
        <f>HYPERLINK("https://www.grants.gov/view-opportunity.html?oppId=99513","RFA-FD-11-031")</f>
        <v>RFA-FD-11-031</v>
      </c>
      <c r="B361" t="s">
        <v>468</v>
      </c>
      <c r="C361" t="s">
        <v>17</v>
      </c>
      <c r="D361" t="s">
        <v>18</v>
      </c>
      <c r="E361">
        <v>500000</v>
      </c>
      <c r="F361">
        <v>2</v>
      </c>
      <c r="G361" s="1" t="s">
        <v>469</v>
      </c>
      <c r="I361" t="s">
        <v>449</v>
      </c>
      <c r="L361" s="2">
        <v>40709</v>
      </c>
      <c r="M361" s="2">
        <v>40737</v>
      </c>
      <c r="N361" s="3">
        <v>40709.409895833334</v>
      </c>
      <c r="O361" t="s">
        <v>24</v>
      </c>
      <c r="P361" t="s">
        <v>25</v>
      </c>
    </row>
    <row r="362" spans="1:16" x14ac:dyDescent="0.25">
      <c r="A362" t="str">
        <f>HYPERLINK("https://www.grants.gov/view-opportunity.html?oppId=99154","RFA-FD-11-011")</f>
        <v>RFA-FD-11-011</v>
      </c>
      <c r="B362" t="s">
        <v>470</v>
      </c>
      <c r="C362" t="s">
        <v>17</v>
      </c>
      <c r="D362" t="s">
        <v>18</v>
      </c>
      <c r="E362">
        <v>800000</v>
      </c>
      <c r="F362">
        <v>1</v>
      </c>
      <c r="G362" s="1" t="s">
        <v>427</v>
      </c>
      <c r="I362" t="s">
        <v>311</v>
      </c>
      <c r="L362" s="2">
        <v>40707</v>
      </c>
      <c r="M362" s="2">
        <v>40732</v>
      </c>
      <c r="N362" s="3">
        <v>40707.544594907406</v>
      </c>
      <c r="O362" t="s">
        <v>24</v>
      </c>
      <c r="P362" t="s">
        <v>25</v>
      </c>
    </row>
    <row r="363" spans="1:16" x14ac:dyDescent="0.25">
      <c r="A363" t="str">
        <f>HYPERLINK("https://www.grants.gov/view-opportunity.html?oppId=96294","RFA-FD-11-026")</f>
        <v>RFA-FD-11-026</v>
      </c>
      <c r="B363" t="s">
        <v>471</v>
      </c>
      <c r="C363" t="s">
        <v>17</v>
      </c>
      <c r="D363" t="s">
        <v>18</v>
      </c>
      <c r="E363">
        <v>500000</v>
      </c>
      <c r="F363">
        <v>6</v>
      </c>
      <c r="G363" s="1" t="s">
        <v>472</v>
      </c>
      <c r="I363" t="s">
        <v>462</v>
      </c>
      <c r="L363" s="2">
        <v>40686</v>
      </c>
      <c r="M363" s="2">
        <v>40726</v>
      </c>
      <c r="N363" s="3">
        <v>40688.642650462964</v>
      </c>
      <c r="O363" t="s">
        <v>24</v>
      </c>
      <c r="P363" t="s">
        <v>25</v>
      </c>
    </row>
    <row r="364" spans="1:16" x14ac:dyDescent="0.25">
      <c r="A364" t="str">
        <f>HYPERLINK("https://www.grants.gov/view-opportunity.html?oppId=93173","RFA-FD-11-013")</f>
        <v>RFA-FD-11-013</v>
      </c>
      <c r="B364" t="s">
        <v>442</v>
      </c>
      <c r="C364" t="s">
        <v>17</v>
      </c>
      <c r="D364" t="s">
        <v>18</v>
      </c>
      <c r="E364">
        <v>3000000</v>
      </c>
      <c r="F364">
        <v>6</v>
      </c>
      <c r="G364" s="1" t="s">
        <v>473</v>
      </c>
      <c r="I364" t="s">
        <v>462</v>
      </c>
      <c r="L364" s="2">
        <v>40674</v>
      </c>
      <c r="M364" s="2">
        <v>40709</v>
      </c>
      <c r="N364" s="3">
        <v>40674.488321759258</v>
      </c>
      <c r="O364" t="s">
        <v>21</v>
      </c>
      <c r="P364" t="s">
        <v>25</v>
      </c>
    </row>
    <row r="365" spans="1:16" x14ac:dyDescent="0.25">
      <c r="A365" t="str">
        <f>HYPERLINK("https://www.grants.gov/view-opportunity.html?oppId=91474","RFA-FD-11-017")</f>
        <v>RFA-FD-11-017</v>
      </c>
      <c r="B365" t="s">
        <v>474</v>
      </c>
      <c r="C365" t="s">
        <v>17</v>
      </c>
      <c r="D365" t="s">
        <v>18</v>
      </c>
      <c r="E365">
        <v>1000000</v>
      </c>
      <c r="F365">
        <v>20</v>
      </c>
      <c r="G365" s="1" t="s">
        <v>475</v>
      </c>
      <c r="I365" t="s">
        <v>462</v>
      </c>
      <c r="L365" s="2">
        <v>40668</v>
      </c>
      <c r="M365" s="2">
        <v>40710</v>
      </c>
      <c r="N365" s="3">
        <v>40668.764641203707</v>
      </c>
      <c r="O365" t="s">
        <v>24</v>
      </c>
      <c r="P365" t="s">
        <v>25</v>
      </c>
    </row>
    <row r="366" spans="1:16" x14ac:dyDescent="0.25">
      <c r="A366" t="str">
        <f>HYPERLINK("https://www.grants.gov/view-opportunity.html?oppId=91453","RFA-FD-11-016")</f>
        <v>RFA-FD-11-016</v>
      </c>
      <c r="B366" t="s">
        <v>476</v>
      </c>
      <c r="C366" t="s">
        <v>17</v>
      </c>
      <c r="D366" t="s">
        <v>18</v>
      </c>
      <c r="E366">
        <v>1000000</v>
      </c>
      <c r="F366">
        <v>20</v>
      </c>
      <c r="G366" s="1" t="s">
        <v>477</v>
      </c>
      <c r="I366" t="s">
        <v>462</v>
      </c>
      <c r="L366" s="2">
        <v>40666</v>
      </c>
      <c r="M366" s="2">
        <v>40710</v>
      </c>
      <c r="N366" s="3">
        <v>40668.770891203705</v>
      </c>
      <c r="O366" t="s">
        <v>24</v>
      </c>
      <c r="P366" t="s">
        <v>25</v>
      </c>
    </row>
    <row r="367" spans="1:16" x14ac:dyDescent="0.25">
      <c r="A367" t="str">
        <f>HYPERLINK("https://www.grants.gov/view-opportunity.html?oppId=91494","PAR-11-209")</f>
        <v>PAR-11-209</v>
      </c>
      <c r="B367" t="s">
        <v>478</v>
      </c>
      <c r="C367" t="s">
        <v>17</v>
      </c>
      <c r="D367" t="s">
        <v>18</v>
      </c>
      <c r="E367">
        <v>300000</v>
      </c>
      <c r="F367">
        <v>5</v>
      </c>
      <c r="G367" s="1" t="s">
        <v>475</v>
      </c>
      <c r="I367" t="s">
        <v>462</v>
      </c>
      <c r="L367" s="2">
        <v>40666</v>
      </c>
      <c r="M367" s="2">
        <v>40696</v>
      </c>
      <c r="N367" s="3">
        <v>41263.639120370368</v>
      </c>
      <c r="O367" t="s">
        <v>36</v>
      </c>
      <c r="P367" t="s">
        <v>25</v>
      </c>
    </row>
    <row r="368" spans="1:16" x14ac:dyDescent="0.25">
      <c r="A368" t="str">
        <f>HYPERLINK("https://www.grants.gov/view-opportunity.html?oppId=89154","RFA-FD-11-006")</f>
        <v>RFA-FD-11-006</v>
      </c>
      <c r="B368" t="s">
        <v>479</v>
      </c>
      <c r="C368" t="s">
        <v>17</v>
      </c>
      <c r="D368" t="s">
        <v>18</v>
      </c>
      <c r="E368">
        <v>1000000</v>
      </c>
      <c r="F368">
        <v>1</v>
      </c>
      <c r="G368" s="1" t="s">
        <v>427</v>
      </c>
      <c r="I368" t="s">
        <v>311</v>
      </c>
      <c r="L368" s="2">
        <v>40654</v>
      </c>
      <c r="M368" s="2">
        <v>40703</v>
      </c>
      <c r="N368" s="3">
        <v>40654.601631944446</v>
      </c>
      <c r="O368" t="s">
        <v>21</v>
      </c>
      <c r="P368" t="s">
        <v>25</v>
      </c>
    </row>
    <row r="369" spans="1:16" x14ac:dyDescent="0.25">
      <c r="A369" t="str">
        <f>HYPERLINK("https://www.grants.gov/view-opportunity.html?oppId=86514","RFA-FD-11-004")</f>
        <v>RFA-FD-11-004</v>
      </c>
      <c r="B369" t="s">
        <v>480</v>
      </c>
      <c r="C369" t="s">
        <v>17</v>
      </c>
      <c r="D369" t="s">
        <v>18</v>
      </c>
      <c r="E369">
        <v>2100000</v>
      </c>
      <c r="F369">
        <v>1</v>
      </c>
      <c r="G369" s="1" t="s">
        <v>405</v>
      </c>
      <c r="I369" t="s">
        <v>311</v>
      </c>
      <c r="L369" s="2">
        <v>40644</v>
      </c>
      <c r="M369" s="2">
        <v>40674</v>
      </c>
      <c r="N369" s="3">
        <v>40641.547314814816</v>
      </c>
      <c r="O369" t="s">
        <v>21</v>
      </c>
      <c r="P369" t="s">
        <v>25</v>
      </c>
    </row>
    <row r="370" spans="1:16" x14ac:dyDescent="0.25">
      <c r="A370" t="str">
        <f>HYPERLINK("https://www.grants.gov/view-opportunity.html?oppId=86093","RFA-FD-11-005")</f>
        <v>RFA-FD-11-005</v>
      </c>
      <c r="B370" t="s">
        <v>481</v>
      </c>
      <c r="C370" t="s">
        <v>17</v>
      </c>
      <c r="D370" t="s">
        <v>18</v>
      </c>
      <c r="E370">
        <v>1000000</v>
      </c>
      <c r="F370">
        <v>1</v>
      </c>
      <c r="G370" s="1" t="s">
        <v>482</v>
      </c>
      <c r="I370" t="s">
        <v>342</v>
      </c>
      <c r="L370" s="2">
        <v>40639</v>
      </c>
      <c r="M370" s="2">
        <v>40669</v>
      </c>
      <c r="N370" s="3">
        <v>40639.742430555554</v>
      </c>
      <c r="O370" t="s">
        <v>24</v>
      </c>
      <c r="P370" t="s">
        <v>25</v>
      </c>
    </row>
    <row r="371" spans="1:16" x14ac:dyDescent="0.25">
      <c r="A371" t="str">
        <f>HYPERLINK("https://www.grants.gov/view-opportunity.html?oppId=57180","RFA-FD-09-001")</f>
        <v>RFA-FD-09-001</v>
      </c>
      <c r="B371" t="s">
        <v>483</v>
      </c>
      <c r="C371" t="s">
        <v>17</v>
      </c>
      <c r="D371" t="s">
        <v>18</v>
      </c>
      <c r="E371">
        <v>41400000</v>
      </c>
      <c r="F371">
        <v>60</v>
      </c>
      <c r="G371" s="1" t="s">
        <v>484</v>
      </c>
      <c r="I371" t="s">
        <v>485</v>
      </c>
      <c r="L371" s="2">
        <v>40430</v>
      </c>
      <c r="M371" s="2">
        <v>40469</v>
      </c>
      <c r="N371" s="3">
        <v>40469.521736111114</v>
      </c>
      <c r="O371" t="s">
        <v>119</v>
      </c>
      <c r="P371" t="s">
        <v>25</v>
      </c>
    </row>
    <row r="372" spans="1:16" x14ac:dyDescent="0.25">
      <c r="A372" t="str">
        <f>HYPERLINK("https://www.grants.gov/view-opportunity.html?oppId=56100","RFA-FD-11-001")</f>
        <v>RFA-FD-11-001</v>
      </c>
      <c r="B372" t="s">
        <v>355</v>
      </c>
      <c r="C372" t="s">
        <v>17</v>
      </c>
      <c r="D372" t="s">
        <v>18</v>
      </c>
      <c r="E372">
        <v>4100000</v>
      </c>
      <c r="F372">
        <v>12</v>
      </c>
      <c r="G372" s="1" t="s">
        <v>405</v>
      </c>
      <c r="I372" t="s">
        <v>311</v>
      </c>
      <c r="L372" s="2">
        <v>40382</v>
      </c>
      <c r="M372" s="2">
        <v>41221</v>
      </c>
      <c r="N372" s="3">
        <v>41221.584120370368</v>
      </c>
      <c r="O372" t="s">
        <v>486</v>
      </c>
      <c r="P372" t="s">
        <v>25</v>
      </c>
    </row>
    <row r="373" spans="1:16" x14ac:dyDescent="0.25">
      <c r="A373" t="str">
        <f>HYPERLINK("https://www.grants.gov/view-opportunity.html?oppId=55745","RFA-FD-10-016")</f>
        <v>RFA-FD-10-016</v>
      </c>
      <c r="B373" t="s">
        <v>487</v>
      </c>
      <c r="C373" t="s">
        <v>17</v>
      </c>
      <c r="D373" t="s">
        <v>18</v>
      </c>
      <c r="E373">
        <v>3000000</v>
      </c>
      <c r="F373">
        <v>3</v>
      </c>
      <c r="G373" s="1" t="s">
        <v>411</v>
      </c>
      <c r="I373" t="s">
        <v>259</v>
      </c>
      <c r="L373" s="2">
        <v>40371</v>
      </c>
      <c r="M373" s="2">
        <v>40401</v>
      </c>
      <c r="N373" s="3">
        <v>40371.470277777778</v>
      </c>
      <c r="O373" t="s">
        <v>24</v>
      </c>
      <c r="P373" t="s">
        <v>22</v>
      </c>
    </row>
    <row r="374" spans="1:16" x14ac:dyDescent="0.25">
      <c r="A374" t="str">
        <f>HYPERLINK("https://www.grants.gov/view-opportunity.html?oppId=54453","RFA-FD-10-002")</f>
        <v>RFA-FD-10-002</v>
      </c>
      <c r="B374" t="s">
        <v>488</v>
      </c>
      <c r="C374" t="s">
        <v>17</v>
      </c>
      <c r="D374" t="s">
        <v>18</v>
      </c>
      <c r="E374">
        <v>3000000</v>
      </c>
      <c r="F374">
        <v>12</v>
      </c>
      <c r="G374" s="1" t="s">
        <v>489</v>
      </c>
      <c r="I374" t="s">
        <v>490</v>
      </c>
      <c r="L374" s="2">
        <v>40305</v>
      </c>
      <c r="M374" s="2">
        <v>40374</v>
      </c>
      <c r="N374" s="3">
        <v>40305.616747685184</v>
      </c>
      <c r="O374" t="s">
        <v>21</v>
      </c>
      <c r="P374" t="s">
        <v>22</v>
      </c>
    </row>
    <row r="375" spans="1:16" x14ac:dyDescent="0.25">
      <c r="A375" t="str">
        <f>HYPERLINK("https://www.grants.gov/view-opportunity.html?oppId=53981","RFA-FD-10-003")</f>
        <v>RFA-FD-10-003</v>
      </c>
      <c r="B375" t="s">
        <v>491</v>
      </c>
      <c r="C375" t="s">
        <v>17</v>
      </c>
      <c r="D375" t="s">
        <v>18</v>
      </c>
      <c r="E375">
        <v>4400000</v>
      </c>
      <c r="F375">
        <v>11</v>
      </c>
      <c r="G375" s="1" t="s">
        <v>492</v>
      </c>
      <c r="I375" t="s">
        <v>490</v>
      </c>
      <c r="L375" s="2">
        <v>40290</v>
      </c>
      <c r="M375" s="2">
        <v>40527</v>
      </c>
      <c r="N375" s="3">
        <v>40452.706261574072</v>
      </c>
      <c r="O375" t="s">
        <v>493</v>
      </c>
      <c r="P375" t="s">
        <v>22</v>
      </c>
    </row>
    <row r="376" spans="1:16" x14ac:dyDescent="0.25">
      <c r="A376" t="str">
        <f>HYPERLINK("https://www.grants.gov/view-opportunity.html?oppId=53984","RFA-FD-10-004")</f>
        <v>RFA-FD-10-004</v>
      </c>
      <c r="B376" t="s">
        <v>494</v>
      </c>
      <c r="C376" t="s">
        <v>17</v>
      </c>
      <c r="D376" t="s">
        <v>18</v>
      </c>
      <c r="E376">
        <v>1250000</v>
      </c>
      <c r="F376">
        <v>5</v>
      </c>
      <c r="G376" s="1" t="s">
        <v>495</v>
      </c>
      <c r="I376" t="s">
        <v>490</v>
      </c>
      <c r="L376" s="2">
        <v>40290</v>
      </c>
      <c r="M376" s="2">
        <v>40340</v>
      </c>
      <c r="N376" s="3">
        <v>40290.853032407409</v>
      </c>
      <c r="O376" t="s">
        <v>36</v>
      </c>
      <c r="P376" t="s">
        <v>22</v>
      </c>
    </row>
    <row r="377" spans="1:16" x14ac:dyDescent="0.25">
      <c r="A377" t="str">
        <f>HYPERLINK("https://www.grants.gov/view-opportunity.html?oppId=53836","RFA-FD-10-001")</f>
        <v>RFA-FD-10-001</v>
      </c>
      <c r="B377" t="s">
        <v>346</v>
      </c>
      <c r="C377" t="s">
        <v>17</v>
      </c>
      <c r="D377" t="s">
        <v>18</v>
      </c>
      <c r="E377">
        <v>750000</v>
      </c>
      <c r="F377">
        <v>10</v>
      </c>
      <c r="G377" s="1" t="s">
        <v>496</v>
      </c>
      <c r="I377" t="s">
        <v>465</v>
      </c>
      <c r="L377" s="2">
        <v>40284</v>
      </c>
      <c r="M377" s="2">
        <v>40312</v>
      </c>
      <c r="N377" s="3">
        <v>40627.516261574077</v>
      </c>
      <c r="O377" t="s">
        <v>497</v>
      </c>
      <c r="P377" t="s">
        <v>22</v>
      </c>
    </row>
    <row r="378" spans="1:16" x14ac:dyDescent="0.25">
      <c r="A378" t="str">
        <f>HYPERLINK("https://www.grants.gov/view-opportunity.html?oppId=48115","RFA-FD-09-012")</f>
        <v>RFA-FD-09-012</v>
      </c>
      <c r="B378" t="s">
        <v>498</v>
      </c>
      <c r="C378" t="s">
        <v>17</v>
      </c>
      <c r="D378" t="s">
        <v>18</v>
      </c>
      <c r="E378">
        <v>600000</v>
      </c>
      <c r="F378">
        <v>1</v>
      </c>
      <c r="G378" s="1" t="s">
        <v>499</v>
      </c>
      <c r="I378" t="s">
        <v>500</v>
      </c>
      <c r="L378" s="2">
        <v>39988</v>
      </c>
      <c r="M378" s="2">
        <v>40009</v>
      </c>
      <c r="N378" s="3">
        <v>39988.804444444446</v>
      </c>
      <c r="O378" t="s">
        <v>21</v>
      </c>
      <c r="P378" t="s">
        <v>25</v>
      </c>
    </row>
    <row r="379" spans="1:16" x14ac:dyDescent="0.25">
      <c r="A379" t="str">
        <f>HYPERLINK("https://www.grants.gov/view-opportunity.html?oppId=47843","PAR-09-203")</f>
        <v>PAR-09-203</v>
      </c>
      <c r="B379" t="s">
        <v>501</v>
      </c>
      <c r="C379" t="s">
        <v>17</v>
      </c>
      <c r="D379" t="s">
        <v>18</v>
      </c>
      <c r="E379">
        <v>300000</v>
      </c>
      <c r="F379">
        <v>3</v>
      </c>
      <c r="G379" s="1" t="s">
        <v>502</v>
      </c>
      <c r="I379" t="s">
        <v>503</v>
      </c>
      <c r="L379" s="2">
        <v>39969</v>
      </c>
      <c r="M379" s="2">
        <v>40739</v>
      </c>
      <c r="N379" s="3">
        <v>40681.635625000003</v>
      </c>
      <c r="O379" t="s">
        <v>504</v>
      </c>
      <c r="P379" t="s">
        <v>25</v>
      </c>
    </row>
    <row r="380" spans="1:16" x14ac:dyDescent="0.25">
      <c r="A380" t="str">
        <f>HYPERLINK("https://www.grants.gov/view-opportunity.html?oppId=47552","RFA-FD-09-008")</f>
        <v>RFA-FD-09-008</v>
      </c>
      <c r="B380" t="s">
        <v>346</v>
      </c>
      <c r="C380" t="s">
        <v>17</v>
      </c>
      <c r="D380" t="s">
        <v>18</v>
      </c>
      <c r="E380">
        <v>750000</v>
      </c>
      <c r="F380">
        <v>10</v>
      </c>
      <c r="G380" s="1" t="s">
        <v>505</v>
      </c>
      <c r="I380" t="s">
        <v>485</v>
      </c>
      <c r="L380" s="2">
        <v>39955</v>
      </c>
      <c r="M380" s="2">
        <v>39995</v>
      </c>
      <c r="N380" s="3">
        <v>39955.739837962959</v>
      </c>
      <c r="O380" t="s">
        <v>21</v>
      </c>
      <c r="P380" t="s">
        <v>25</v>
      </c>
    </row>
    <row r="381" spans="1:16" x14ac:dyDescent="0.25">
      <c r="A381" t="str">
        <f>HYPERLINK("https://www.grants.gov/view-opportunity.html?oppId=47278","PA-09-183")</f>
        <v>PA-09-183</v>
      </c>
      <c r="B381" t="s">
        <v>506</v>
      </c>
      <c r="C381" t="s">
        <v>17</v>
      </c>
      <c r="D381" t="s">
        <v>18</v>
      </c>
      <c r="E381">
        <v>1500000</v>
      </c>
      <c r="F381">
        <v>3</v>
      </c>
      <c r="G381" s="1" t="s">
        <v>507</v>
      </c>
      <c r="I381" t="s">
        <v>259</v>
      </c>
      <c r="L381" s="2">
        <v>39941</v>
      </c>
      <c r="M381" s="2">
        <v>40191</v>
      </c>
      <c r="N381" s="3">
        <v>40191.66265046296</v>
      </c>
      <c r="O381" t="s">
        <v>36</v>
      </c>
      <c r="P381" t="s">
        <v>25</v>
      </c>
    </row>
    <row r="382" spans="1:16" x14ac:dyDescent="0.25">
      <c r="A382" t="str">
        <f>HYPERLINK("https://www.grants.gov/view-opportunity.html?oppId=47243","RFA-FD-09-007")</f>
        <v>RFA-FD-09-007</v>
      </c>
      <c r="B382" t="s">
        <v>426</v>
      </c>
      <c r="C382" t="s">
        <v>17</v>
      </c>
      <c r="D382" t="s">
        <v>18</v>
      </c>
      <c r="E382">
        <v>2000000</v>
      </c>
      <c r="F382">
        <v>4</v>
      </c>
      <c r="G382" s="1" t="s">
        <v>508</v>
      </c>
      <c r="I382" t="s">
        <v>509</v>
      </c>
      <c r="L382" s="2">
        <v>39940</v>
      </c>
      <c r="M382" s="2">
        <v>39979</v>
      </c>
      <c r="N382" s="3">
        <v>39940.672303240739</v>
      </c>
      <c r="O382" t="s">
        <v>21</v>
      </c>
      <c r="P382" t="s">
        <v>25</v>
      </c>
    </row>
    <row r="383" spans="1:16" x14ac:dyDescent="0.25">
      <c r="A383" t="str">
        <f>HYPERLINK("https://www.grants.gov/view-opportunity.html?oppId=46196","PAR-09-123")</f>
        <v>PAR-09-123</v>
      </c>
      <c r="B383" t="s">
        <v>410</v>
      </c>
      <c r="C383" t="s">
        <v>17</v>
      </c>
      <c r="D383" t="s">
        <v>18</v>
      </c>
      <c r="E383">
        <v>310000</v>
      </c>
      <c r="F383">
        <v>32</v>
      </c>
      <c r="G383" s="1" t="s">
        <v>510</v>
      </c>
      <c r="I383" t="s">
        <v>511</v>
      </c>
      <c r="L383" s="2">
        <v>39894</v>
      </c>
      <c r="M383" s="2">
        <v>40998</v>
      </c>
      <c r="N383" s="3">
        <v>40848.585428240738</v>
      </c>
      <c r="O383" t="s">
        <v>512</v>
      </c>
      <c r="P383" t="s">
        <v>25</v>
      </c>
    </row>
    <row r="384" spans="1:16" x14ac:dyDescent="0.25">
      <c r="A384" t="str">
        <f>HYPERLINK("https://www.grants.gov/view-opportunity.html?oppId=44195","RFA-FD-08-003")</f>
        <v>RFA-FD-08-003</v>
      </c>
      <c r="B384" t="s">
        <v>513</v>
      </c>
      <c r="C384" t="s">
        <v>17</v>
      </c>
      <c r="D384" t="s">
        <v>18</v>
      </c>
      <c r="E384">
        <v>200000</v>
      </c>
      <c r="F384">
        <v>0</v>
      </c>
      <c r="G384" s="1" t="s">
        <v>514</v>
      </c>
      <c r="I384" t="s">
        <v>485</v>
      </c>
      <c r="L384" s="2">
        <v>39787</v>
      </c>
      <c r="M384" s="2">
        <v>40739</v>
      </c>
      <c r="N384" s="3">
        <v>40626.711388888885</v>
      </c>
      <c r="O384" t="s">
        <v>36</v>
      </c>
      <c r="P384"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grants-gov-opp-search--20230113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Condreay, Christina</cp:lastModifiedBy>
  <dcterms:created xsi:type="dcterms:W3CDTF">2023-01-13T22:02:07Z</dcterms:created>
  <dcterms:modified xsi:type="dcterms:W3CDTF">2023-01-13T22:02:07Z</dcterms:modified>
</cp:coreProperties>
</file>