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aw/Desktop/Boot Camp/Module 1/Module 1 Challenge/"/>
    </mc:Choice>
  </mc:AlternateContent>
  <xr:revisionPtr revIDLastSave="0" documentId="13_ncr:1_{3AE97E18-6881-774C-9D39-D9C4277EFC1F}" xr6:coauthVersionLast="46" xr6:coauthVersionMax="46" xr10:uidLastSave="{00000000-0000-0000-0000-000000000000}"/>
  <bookViews>
    <workbookView xWindow="33600" yWindow="1160" windowWidth="36160" windowHeight="14300" xr2:uid="{00000000-000D-0000-FFFF-FFFF00000000}"/>
  </bookViews>
  <sheets>
    <sheet name="Kickstarter" sheetId="1" r:id="rId1"/>
    <sheet name="Theater Outcomes by Launch Date" sheetId="14" r:id="rId2"/>
    <sheet name="Outcome Based On Goals" sheetId="15" r:id="rId3"/>
    <sheet name="Descriptive Statistics" sheetId="9" r:id="rId4"/>
    <sheet name="Category Statistics" sheetId="2" r:id="rId5"/>
    <sheet name="SubCategory Statistics" sheetId="3" r:id="rId6"/>
    <sheet name="Monthly Outcomes" sheetId="5" r:id="rId7"/>
    <sheet name="Edinburgh Research" sheetId="6" r:id="rId8"/>
  </sheets>
  <definedNames>
    <definedName name="_xlnm._FilterDatabase" localSheetId="0" hidden="1">Kickstarter!$A$1:$T$4115</definedName>
    <definedName name="goal">Kickstarter!$D:$D</definedName>
    <definedName name="outcomes">Kickstarter!$F:$F</definedName>
    <definedName name="Subcategory">Kickstarter!$R:$R</definedName>
  </definedNames>
  <calcPr calcId="191029"/>
  <pivotCaches>
    <pivotCache cacheId="34" r:id="rId9"/>
    <pivotCache cacheId="35" r:id="rId10"/>
    <pivotCache cacheId="59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5" l="1"/>
  <c r="C2" i="15"/>
  <c r="D2" i="15"/>
  <c r="B3" i="15"/>
  <c r="C3" i="15"/>
  <c r="D3" i="15"/>
  <c r="B4" i="15"/>
  <c r="C4" i="15"/>
  <c r="D4" i="15"/>
  <c r="B5" i="15"/>
  <c r="C5" i="15"/>
  <c r="D5" i="15"/>
  <c r="B6" i="15"/>
  <c r="C6" i="15"/>
  <c r="D6" i="15"/>
  <c r="B7" i="15"/>
  <c r="C7" i="15"/>
  <c r="D7" i="15"/>
  <c r="B8" i="15"/>
  <c r="C8" i="15"/>
  <c r="D8" i="15"/>
  <c r="B9" i="15"/>
  <c r="C9" i="15"/>
  <c r="D9" i="15"/>
  <c r="B10" i="15"/>
  <c r="C10" i="15"/>
  <c r="D10" i="15"/>
  <c r="B11" i="15"/>
  <c r="C11" i="15"/>
  <c r="D11" i="15"/>
  <c r="B12" i="15"/>
  <c r="C12" i="15"/>
  <c r="D12" i="15"/>
  <c r="B13" i="15"/>
  <c r="C13" i="15"/>
  <c r="D13" i="15"/>
  <c r="B13" i="9"/>
  <c r="B12" i="9"/>
  <c r="B11" i="9"/>
  <c r="C6" i="9"/>
  <c r="C5" i="9"/>
  <c r="C4" i="9"/>
  <c r="C13" i="9"/>
  <c r="C12" i="9"/>
  <c r="C14" i="9" s="1"/>
  <c r="C11" i="9"/>
  <c r="B6" i="9"/>
  <c r="B5" i="9"/>
  <c r="B7" i="9" s="1"/>
  <c r="B4" i="9"/>
  <c r="C3" i="9"/>
  <c r="C10" i="9"/>
  <c r="B10" i="9"/>
  <c r="B3" i="9"/>
  <c r="C9" i="9"/>
  <c r="B9" i="9"/>
  <c r="C2" i="9"/>
  <c r="B2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5" l="1"/>
  <c r="H13" i="15" s="1"/>
  <c r="E12" i="15"/>
  <c r="F12" i="15" s="1"/>
  <c r="E11" i="15"/>
  <c r="H11" i="15" s="1"/>
  <c r="E4" i="15"/>
  <c r="F4" i="15" s="1"/>
  <c r="E3" i="15"/>
  <c r="G3" i="15" s="1"/>
  <c r="E8" i="15"/>
  <c r="H8" i="15" s="1"/>
  <c r="E9" i="15"/>
  <c r="G9" i="15" s="1"/>
  <c r="E5" i="15"/>
  <c r="H5" i="15" s="1"/>
  <c r="E10" i="15"/>
  <c r="G10" i="15" s="1"/>
  <c r="E7" i="15"/>
  <c r="H7" i="15" s="1"/>
  <c r="E6" i="15"/>
  <c r="G6" i="15" s="1"/>
  <c r="E2" i="15"/>
  <c r="H2" i="15" s="1"/>
  <c r="B14" i="9"/>
  <c r="C7" i="9"/>
  <c r="F13" i="15" l="1"/>
  <c r="G7" i="15"/>
  <c r="H6" i="15"/>
  <c r="F11" i="15"/>
  <c r="G13" i="15"/>
  <c r="H9" i="15"/>
  <c r="G12" i="15"/>
  <c r="H12" i="15"/>
  <c r="F5" i="15"/>
  <c r="G4" i="15"/>
  <c r="F2" i="15"/>
  <c r="H4" i="15"/>
  <c r="F10" i="15"/>
  <c r="H10" i="15"/>
  <c r="F7" i="15"/>
  <c r="G2" i="15"/>
  <c r="F3" i="15"/>
  <c r="F6" i="15"/>
  <c r="G11" i="15"/>
  <c r="G5" i="15"/>
  <c r="G8" i="15"/>
  <c r="H3" i="15"/>
  <c r="F9" i="15"/>
  <c r="F8" i="15"/>
</calcChain>
</file>

<file path=xl/sharedStrings.xml><?xml version="1.0" encoding="utf-8"?>
<sst xmlns="http://schemas.openxmlformats.org/spreadsheetml/2006/main" count="33099" uniqueCount="8418">
  <si>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</si>
  <si>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</si>
  <si>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</si>
  <si>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</si>
  <si>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</si>
  <si>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</si>
  <si>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</si>
  <si>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</si>
  <si>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</si>
  <si>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</si>
  <si>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</si>
  <si>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</si>
  <si>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</si>
  <si>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</si>
  <si>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</si>
  <si>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</si>
  <si>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</si>
  <si>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</si>
  <si>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</si>
  <si>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</si>
  <si>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</si>
  <si>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</si>
  <si>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</si>
  <si>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</si>
  <si>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</si>
  <si>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</si>
  <si>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</si>
  <si>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</si>
  <si>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</si>
  <si>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</si>
  <si>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</si>
  <si>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</si>
  <si>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</si>
  <si>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</si>
  <si>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</si>
  <si>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</si>
  <si>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</si>
  <si>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</si>
  <si>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</si>
  <si>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</si>
  <si>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</si>
  <si>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</si>
  <si>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</si>
  <si>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</si>
  <si>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</si>
  <si>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</si>
  <si>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</si>
  <si>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</si>
  <si>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</si>
  <si>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</si>
  <si>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</si>
  <si>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</si>
  <si>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</si>
  <si>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</si>
  <si>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</si>
  <si>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</si>
  <si>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</si>
  <si>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</si>
  <si>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</si>
  <si>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</si>
  <si>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</si>
  <si>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</si>
  <si>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</si>
  <si>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</si>
  <si>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</si>
  <si>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</si>
  <si>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</si>
  <si>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</si>
  <si>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</si>
  <si>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</si>
  <si>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</si>
  <si>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</si>
  <si>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</si>
  <si>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</si>
  <si>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</si>
  <si>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</si>
  <si>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</si>
  <si>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</si>
  <si>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</si>
  <si>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</si>
  <si>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</si>
  <si>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</si>
  <si>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</si>
  <si>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</si>
  <si>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</si>
  <si>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</si>
  <si>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</si>
  <si>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</si>
  <si>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</si>
  <si>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</si>
  <si>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</si>
  <si>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</si>
  <si>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</si>
  <si>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</si>
  <si>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</si>
  <si>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</si>
  <si>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</si>
  <si>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</si>
  <si>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</si>
  <si>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</si>
  <si>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</si>
  <si>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</si>
  <si>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</si>
  <si>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</si>
  <si>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</si>
  <si>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</si>
  <si>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</si>
  <si>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</si>
  <si>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</si>
  <si>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</si>
  <si>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</si>
  <si>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</si>
  <si>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</si>
  <si>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</si>
  <si>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</si>
  <si>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</si>
  <si>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</si>
  <si>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</si>
  <si>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</si>
  <si>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</si>
  <si>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</si>
  <si>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</si>
  <si>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</si>
  <si>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</si>
  <si>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</si>
  <si>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</si>
  <si>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</si>
  <si>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</si>
  <si>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</si>
  <si>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</si>
  <si>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</si>
  <si>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</si>
  <si>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</si>
  <si>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</si>
  <si>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</si>
  <si>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</si>
  <si>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</si>
  <si>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</si>
  <si>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</si>
  <si>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</si>
  <si>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</si>
  <si>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</si>
  <si>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</si>
  <si>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</si>
  <si>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</si>
  <si>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</si>
  <si>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</si>
  <si>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</si>
  <si>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</si>
  <si>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</si>
  <si>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</si>
  <si>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</si>
  <si>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</si>
  <si>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</si>
  <si>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</si>
  <si>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</si>
  <si>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</si>
  <si>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</si>
  <si>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</si>
  <si>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</si>
  <si>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</si>
  <si>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</si>
  <si>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</si>
  <si>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</si>
  <si>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</si>
  <si>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</si>
  <si>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</si>
  <si>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</si>
  <si>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</si>
  <si>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</si>
  <si>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</si>
  <si>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</si>
  <si>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</si>
  <si>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</si>
  <si>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</si>
  <si>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</si>
  <si>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</si>
  <si>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</si>
  <si>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</si>
  <si>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</si>
  <si>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</si>
  <si>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</si>
  <si>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</si>
  <si>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</si>
  <si>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</si>
  <si>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</si>
  <si>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</si>
  <si>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</si>
  <si>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</si>
  <si>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</si>
  <si>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</si>
  <si>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</si>
  <si>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</si>
  <si>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</si>
  <si>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</si>
  <si>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</si>
  <si>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</si>
  <si>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</si>
  <si>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</si>
  <si>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</si>
  <si>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</si>
  <si>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</si>
  <si>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</si>
  <si>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</si>
  <si>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</si>
  <si>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</si>
  <si>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</si>
  <si>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</si>
  <si>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</si>
  <si>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</si>
  <si>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</si>
  <si>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</si>
  <si>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</si>
  <si>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</si>
  <si>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</si>
  <si>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</si>
  <si>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</si>
  <si>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</si>
  <si>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</si>
  <si>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</si>
  <si>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</si>
  <si>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</si>
  <si>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</si>
  <si>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</si>
  <si>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</si>
  <si>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</si>
  <si>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</si>
  <si>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</si>
  <si>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</si>
  <si>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</si>
  <si>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</si>
  <si>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</si>
  <si>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</si>
  <si>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</si>
  <si>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</si>
  <si>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</si>
  <si>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</si>
  <si>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</si>
  <si>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</si>
  <si>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</si>
  <si>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</si>
  <si>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</si>
  <si>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</si>
  <si>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</si>
  <si>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</si>
  <si>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</si>
  <si>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</si>
  <si>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</si>
  <si>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</si>
  <si>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</si>
  <si>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</si>
  <si>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</si>
  <si>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</si>
  <si>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</si>
  <si>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</si>
  <si>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</si>
  <si>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</si>
  <si>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</si>
  <si>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</si>
  <si>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</si>
  <si>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</si>
  <si>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</si>
  <si>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</si>
  <si>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</si>
  <si>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</si>
  <si>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</si>
  <si>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</si>
  <si>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</si>
  <si>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</si>
  <si>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</si>
  <si>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</si>
  <si>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</si>
  <si>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</si>
  <si>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</si>
  <si>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</si>
  <si>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</si>
  <si>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</si>
  <si>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</si>
  <si>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</si>
  <si>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</si>
  <si>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</si>
  <si>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</si>
  <si>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</si>
  <si>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</si>
  <si>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</si>
  <si>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</si>
  <si>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</si>
  <si>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</si>
  <si>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</si>
  <si>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</si>
  <si>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</si>
  <si>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</si>
  <si>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</si>
  <si>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</si>
  <si>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</si>
  <si>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</si>
  <si>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</si>
  <si>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</si>
  <si>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</si>
  <si>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</si>
  <si>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</si>
  <si>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</si>
  <si>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</si>
  <si>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</si>
  <si>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</si>
  <si>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</si>
  <si>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</si>
  <si>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</si>
  <si>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</si>
  <si>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</si>
  <si>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</si>
  <si>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</si>
  <si>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</si>
  <si>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</si>
  <si>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</si>
  <si>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</si>
  <si>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</si>
  <si>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</si>
  <si>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</si>
  <si>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</si>
  <si>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</si>
  <si>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</si>
  <si>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</si>
  <si>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</si>
  <si>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</si>
  <si>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</si>
  <si>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</si>
  <si>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</si>
  <si>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</si>
  <si>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</si>
  <si>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</si>
  <si>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</si>
  <si>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</si>
  <si>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</si>
  <si>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</si>
  <si>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</si>
  <si>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</si>
  <si>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</si>
  <si>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</si>
  <si>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</si>
  <si>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</si>
  <si>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</si>
  <si>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</si>
  <si>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</si>
  <si>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</si>
  <si>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</si>
  <si>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</si>
  <si>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</si>
  <si>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</si>
  <si>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</si>
  <si>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</si>
  <si>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</si>
  <si>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</si>
  <si>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</si>
  <si>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</si>
  <si>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</si>
  <si>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</si>
  <si>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</si>
  <si>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</si>
  <si>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</si>
  <si>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</si>
  <si>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</si>
  <si>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</si>
  <si>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</si>
  <si>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</si>
  <si>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</si>
  <si>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</si>
  <si>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</si>
  <si>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</si>
  <si>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</si>
  <si>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</si>
  <si>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</si>
  <si>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</si>
  <si>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</si>
  <si>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</si>
  <si>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</si>
  <si>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</si>
  <si>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</si>
  <si>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</si>
  <si>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</si>
  <si>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</si>
  <si>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</si>
  <si>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</si>
  <si>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</si>
  <si>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</si>
  <si>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</si>
  <si>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</si>
  <si>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</si>
  <si>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</si>
  <si>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</si>
  <si>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</si>
  <si>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</si>
  <si>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</si>
  <si>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</si>
  <si>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</si>
  <si>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</si>
  <si>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</si>
  <si>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</si>
  <si>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</si>
  <si>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</si>
  <si>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</si>
  <si>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</si>
  <si>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</si>
  <si>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</si>
  <si>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</si>
  <si>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</si>
  <si>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</si>
  <si>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</si>
  <si>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</si>
  <si>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</si>
  <si>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</si>
  <si>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</si>
  <si>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</si>
  <si>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</si>
  <si>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</si>
  <si>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</si>
  <si>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</si>
  <si>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</si>
  <si>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</si>
  <si>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</si>
  <si>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</si>
  <si>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</si>
  <si>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</si>
  <si>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</si>
  <si>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</si>
  <si>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</si>
  <si>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</si>
  <si>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</si>
  <si>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</si>
  <si>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</si>
  <si>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</si>
  <si>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</si>
  <si>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</si>
  <si>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</si>
  <si>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</si>
  <si>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</si>
  <si>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</si>
  <si>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</si>
  <si>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</si>
  <si>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</si>
  <si>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</si>
  <si>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</si>
  <si>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</si>
  <si>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</si>
  <si>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</si>
  <si>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</si>
  <si>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</si>
  <si>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</si>
  <si>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</si>
  <si>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</si>
  <si>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</si>
  <si>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</si>
  <si>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</si>
  <si>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</si>
  <si>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</si>
  <si>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</si>
  <si>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</si>
  <si>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</si>
  <si>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</si>
  <si>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</si>
  <si>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</si>
  <si>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</si>
  <si>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</si>
  <si>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</si>
  <si>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</si>
  <si>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</si>
  <si>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</si>
  <si>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</si>
  <si>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</si>
  <si>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</si>
  <si>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</si>
  <si>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</si>
  <si>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</si>
  <si>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</si>
  <si>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</si>
  <si>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</si>
  <si>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</si>
  <si>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</si>
  <si>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</si>
  <si>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</si>
  <si>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</si>
  <si>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</si>
  <si>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</si>
  <si>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</si>
  <si>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</si>
  <si>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</si>
  <si>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</si>
  <si>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</si>
  <si>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</si>
  <si>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</si>
  <si>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</si>
  <si>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</si>
  <si>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</si>
  <si>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</si>
  <si>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</si>
  <si>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</si>
  <si>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</si>
  <si>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</si>
  <si>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</si>
  <si>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</si>
  <si>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</si>
  <si>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</si>
  <si>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</si>
  <si>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</si>
  <si>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</si>
  <si>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</si>
  <si>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</si>
  <si>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</si>
  <si>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</si>
  <si>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</si>
  <si>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</si>
  <si>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</si>
  <si>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</si>
  <si>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</si>
  <si>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</si>
  <si>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</si>
  <si>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</si>
  <si>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</si>
  <si>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</si>
  <si>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</si>
  <si>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</si>
  <si>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</si>
  <si>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</si>
  <si>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</si>
  <si>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</si>
  <si>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</si>
  <si>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</si>
  <si>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</si>
  <si>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</si>
  <si>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</si>
  <si>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</si>
  <si>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</si>
  <si>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</si>
  <si>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</si>
  <si>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</si>
  <si>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</si>
  <si>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</si>
  <si>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</si>
  <si>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</si>
  <si>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</si>
  <si>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</si>
  <si>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</si>
  <si>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</si>
  <si>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</si>
  <si>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</si>
  <si>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</si>
  <si>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</si>
  <si>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</si>
  <si>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</si>
  <si>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</si>
  <si>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</si>
  <si>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</si>
  <si>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</si>
  <si>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</si>
  <si>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</si>
  <si>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</si>
  <si>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</si>
  <si>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</si>
  <si>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</si>
  <si>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</si>
  <si>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</si>
  <si>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</si>
  <si>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</si>
  <si>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</si>
  <si>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</si>
  <si>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</si>
  <si>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</si>
  <si>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</si>
  <si>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</si>
  <si>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</si>
  <si>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</si>
  <si>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</si>
  <si>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</si>
  <si>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</si>
  <si>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</si>
  <si>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</si>
  <si>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</si>
  <si>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</si>
  <si>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</si>
  <si>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</si>
  <si>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</si>
  <si>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</si>
  <si>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</si>
  <si>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</si>
  <si>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</si>
  <si>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</si>
  <si>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</si>
  <si>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</si>
  <si>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</si>
  <si>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</si>
  <si>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</si>
  <si>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</si>
  <si>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</si>
  <si>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</si>
  <si>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</si>
  <si>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</si>
  <si>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</si>
  <si>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</si>
  <si>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</si>
  <si>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</si>
  <si>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</si>
  <si>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</si>
  <si>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</si>
  <si>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</si>
  <si>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</si>
  <si>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</si>
  <si>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</si>
  <si>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</si>
  <si>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</si>
  <si>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</si>
  <si>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</si>
  <si>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</si>
  <si>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</si>
  <si>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</si>
  <si>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</si>
  <si>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</si>
  <si>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</si>
  <si>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</si>
  <si>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</si>
  <si>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</si>
  <si>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</si>
  <si>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</si>
  <si>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</si>
  <si>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</si>
  <si>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</si>
  <si>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</si>
  <si>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</si>
  <si>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</si>
  <si>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</si>
  <si>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</si>
  <si>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</si>
  <si>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</si>
  <si>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</si>
  <si>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</si>
  <si>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</si>
  <si>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</si>
  <si>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</si>
  <si>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</si>
  <si>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</si>
  <si>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</si>
  <si>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</si>
  <si>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</si>
  <si>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</si>
  <si>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</si>
  <si>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</si>
  <si>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</si>
  <si>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</si>
  <si>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</si>
  <si>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</si>
  <si>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</si>
  <si>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</si>
  <si>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</si>
  <si>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</si>
  <si>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</si>
  <si>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</si>
  <si>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</si>
  <si>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</si>
  <si>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</si>
  <si>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</si>
  <si>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</si>
  <si>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</si>
  <si>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</si>
  <si>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</si>
  <si>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</si>
  <si>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</si>
  <si>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</si>
  <si>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</si>
  <si>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</si>
  <si>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</si>
  <si>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</si>
  <si>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</si>
  <si>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</si>
  <si>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</si>
  <si>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</si>
  <si>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</si>
  <si>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</si>
  <si>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</si>
  <si>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</si>
  <si>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</si>
  <si>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</si>
  <si>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</si>
  <si>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</si>
  <si>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</si>
  <si>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</si>
  <si>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</si>
  <si>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</si>
  <si>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</si>
  <si>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</si>
  <si>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</si>
  <si>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</si>
  <si>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</si>
  <si>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</si>
  <si>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</si>
  <si>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</si>
  <si>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</si>
  <si>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</si>
  <si>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</si>
  <si>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</si>
  <si>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</si>
  <si>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</si>
  <si>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</si>
  <si>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</si>
  <si>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</si>
  <si>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</si>
  <si>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</si>
  <si>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</si>
  <si>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</si>
  <si>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</si>
  <si>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</si>
  <si>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</si>
  <si>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</si>
  <si>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</si>
  <si>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</si>
  <si>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</si>
  <si>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</si>
  <si>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</si>
  <si>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</si>
  <si>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</si>
  <si>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</si>
  <si>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</si>
  <si>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</si>
  <si>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</si>
  <si>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</si>
  <si>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</si>
  <si>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</si>
  <si>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</si>
  <si>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</si>
  <si>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</si>
  <si>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</si>
  <si>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</si>
  <si>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</si>
  <si>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</si>
  <si>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</si>
  <si>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</si>
  <si>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</si>
  <si>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</si>
  <si>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</si>
  <si>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</si>
  <si>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</si>
  <si>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</si>
  <si>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</si>
  <si>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</si>
  <si>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</si>
  <si>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</si>
  <si>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</si>
  <si>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</si>
  <si>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</si>
  <si>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</si>
  <si>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</si>
  <si>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</si>
  <si>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</si>
  <si>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</si>
  <si>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</si>
  <si>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</si>
  <si>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</si>
  <si>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</si>
  <si>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</si>
  <si>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</si>
  <si>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</si>
  <si>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</si>
  <si>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</si>
  <si>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</si>
  <si>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</si>
  <si>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</si>
  <si>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</si>
  <si>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</si>
  <si>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</si>
  <si>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</si>
  <si>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</si>
  <si>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</si>
  <si>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</si>
  <si>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</si>
  <si>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</si>
  <si>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</si>
  <si>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</si>
  <si>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</si>
  <si>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</si>
  <si>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</si>
  <si>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</si>
  <si>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</si>
  <si>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</si>
  <si>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</si>
  <si>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</si>
  <si>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</si>
  <si>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</si>
  <si>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</si>
  <si>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</si>
  <si>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</si>
  <si>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</si>
  <si>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</si>
  <si>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</si>
  <si>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</si>
  <si>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</si>
  <si>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</si>
  <si>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</si>
  <si>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</si>
  <si>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</si>
  <si>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</si>
  <si>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</si>
  <si>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</si>
  <si>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</si>
  <si>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</si>
  <si>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</si>
  <si>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</si>
  <si>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</si>
  <si>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</si>
  <si>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</si>
  <si>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</si>
  <si>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</si>
  <si>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</si>
  <si>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</si>
  <si>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</si>
  <si>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</si>
  <si>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</si>
  <si>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</si>
  <si>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</si>
  <si>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</si>
  <si>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</si>
  <si>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</si>
  <si>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</si>
  <si>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</si>
  <si>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</si>
  <si>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</si>
  <si>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</si>
  <si>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</si>
  <si>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</si>
  <si>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</si>
  <si>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</si>
  <si>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</si>
  <si>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</si>
  <si>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</si>
  <si>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</si>
  <si>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</si>
  <si>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</si>
  <si>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</si>
  <si>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</si>
  <si>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</si>
  <si>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</si>
  <si>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</si>
  <si>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</si>
  <si>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</si>
  <si>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</si>
  <si>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</si>
  <si>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</si>
  <si>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</si>
  <si>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</si>
  <si>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</si>
  <si>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</si>
  <si>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</si>
  <si>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</si>
  <si>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</si>
  <si>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</si>
  <si>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</si>
  <si>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</si>
  <si>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</si>
  <si>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</si>
  <si>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</si>
  <si>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</si>
  <si>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</si>
  <si>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</si>
  <si>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</si>
  <si>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</si>
  <si>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</si>
  <si>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</si>
  <si>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</si>
  <si>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</si>
  <si>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</si>
  <si>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</si>
  <si>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</si>
  <si>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</si>
  <si>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</si>
  <si>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</si>
  <si>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</si>
  <si>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</si>
  <si>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</si>
  <si>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</si>
  <si>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</si>
  <si>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</si>
  <si>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</si>
  <si>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</si>
  <si>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</si>
  <si>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</si>
  <si>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</si>
  <si>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</si>
  <si>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</si>
  <si>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</si>
  <si>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</si>
  <si>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</si>
  <si>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</si>
  <si>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</si>
  <si>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</si>
  <si>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</si>
  <si>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</si>
  <si>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</si>
  <si>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</si>
  <si>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</si>
  <si>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</si>
  <si>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</si>
  <si>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</si>
  <si>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</si>
  <si>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</si>
  <si>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</si>
  <si>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</si>
  <si>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</si>
  <si>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</si>
  <si>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</si>
  <si>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</si>
  <si>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</si>
  <si>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</si>
  <si>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</si>
  <si>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</si>
  <si>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</si>
  <si>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</si>
  <si>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</si>
  <si>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</si>
  <si>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</si>
  <si>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</si>
  <si>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</si>
  <si>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</si>
  <si>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</si>
  <si>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</si>
  <si>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</si>
  <si>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</si>
  <si>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</si>
  <si>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</si>
  <si>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</si>
  <si>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</si>
  <si>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</si>
  <si>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</si>
  <si>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</si>
  <si>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</si>
  <si>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</si>
  <si>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</si>
  <si>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</si>
  <si>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</si>
  <si>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</si>
  <si>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</si>
  <si>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</si>
  <si>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</si>
  <si>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</si>
  <si>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</si>
  <si>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</si>
  <si>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</si>
  <si>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</si>
  <si>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</si>
  <si>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</si>
  <si>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</si>
  <si>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</si>
  <si>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</si>
  <si>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</si>
  <si>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</si>
  <si>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</si>
  <si>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</si>
  <si>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</si>
  <si>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</si>
  <si>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</si>
  <si>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</si>
  <si>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</si>
  <si>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</si>
  <si>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</si>
  <si>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</si>
  <si>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</si>
  <si>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</si>
  <si>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</si>
  <si>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</si>
  <si>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</si>
  <si>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</si>
  <si>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</si>
  <si>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</si>
  <si>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</si>
  <si>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</si>
  <si>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</si>
  <si>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</si>
  <si>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</si>
  <si>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</si>
  <si>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</si>
  <si>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</si>
  <si>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</si>
  <si>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</si>
  <si>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</si>
  <si>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</si>
  <si>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</si>
  <si>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</si>
  <si>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</si>
  <si>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</si>
  <si>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</si>
  <si>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</si>
  <si>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</si>
  <si>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</si>
  <si>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</si>
  <si>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</si>
  <si>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</si>
  <si>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</si>
  <si>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</si>
  <si>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</si>
  <si>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</si>
  <si>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</si>
  <si>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</si>
  <si>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</si>
  <si>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</si>
  <si>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</si>
  <si>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</si>
  <si>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</si>
  <si>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</si>
  <si>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</si>
  <si>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</si>
  <si>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</si>
  <si>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</si>
  <si>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</si>
  <si>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</si>
  <si>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</si>
  <si>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</si>
  <si>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</si>
  <si>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</si>
  <si>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</si>
  <si>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</si>
  <si>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</si>
  <si>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</si>
  <si>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</si>
  <si>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</si>
  <si>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</si>
  <si>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</si>
  <si>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</si>
  <si>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</si>
  <si>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</si>
  <si>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</si>
  <si>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</si>
  <si>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</si>
  <si>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</si>
  <si>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</si>
  <si>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</si>
  <si>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</si>
  <si>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</si>
  <si>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</si>
  <si>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</si>
  <si>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</si>
  <si>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</si>
  <si>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</si>
  <si>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</si>
  <si>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</si>
  <si>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</si>
  <si>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</si>
  <si>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</si>
  <si>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</si>
  <si>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</si>
  <si>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</si>
  <si>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</si>
  <si>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</si>
  <si>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</si>
  <si>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</si>
  <si>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</si>
  <si>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</si>
  <si>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</si>
  <si>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</si>
  <si>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</si>
  <si>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</si>
  <si>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</si>
  <si>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</si>
  <si>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</si>
  <si>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</si>
  <si>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</si>
  <si>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</si>
  <si>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</si>
  <si>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</si>
  <si>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</si>
  <si>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</si>
  <si>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</si>
  <si>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</si>
  <si>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</si>
  <si>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</si>
  <si>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</si>
  <si>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</si>
  <si>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</si>
  <si>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</si>
  <si>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</si>
  <si>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</si>
  <si>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</si>
  <si>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</si>
  <si>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</si>
  <si>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</si>
  <si>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</si>
  <si>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</si>
  <si>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</si>
  <si>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</si>
  <si>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</si>
  <si>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</si>
  <si>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</si>
  <si>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</si>
  <si>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</si>
  <si>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</si>
  <si>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</si>
  <si>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</si>
  <si>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</si>
  <si>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</si>
  <si>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</si>
  <si>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</si>
  <si>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</si>
  <si>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</si>
  <si>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</si>
  <si>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</si>
  <si>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</si>
  <si>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</si>
  <si>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</si>
  <si>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</si>
  <si>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</si>
  <si>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</si>
  <si>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</si>
  <si>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</si>
  <si>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</si>
  <si>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</si>
  <si>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</si>
  <si>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</si>
  <si>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</si>
  <si>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</si>
  <si>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</si>
  <si>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</si>
  <si>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</si>
  <si>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</si>
  <si>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</si>
  <si>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</si>
  <si>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</si>
  <si>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</si>
  <si>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</si>
  <si>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</si>
  <si>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</si>
  <si>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</si>
  <si>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</si>
  <si>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</si>
  <si>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</si>
  <si>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</si>
  <si>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</si>
  <si>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</si>
  <si>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</si>
  <si>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</si>
  <si>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</si>
  <si>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</si>
  <si>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</si>
  <si>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</si>
  <si>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</si>
  <si>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</si>
  <si>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</si>
  <si>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</si>
  <si>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</si>
  <si>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</si>
  <si>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</si>
  <si>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</si>
  <si>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</si>
  <si>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</si>
  <si>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</si>
  <si>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</si>
  <si>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</si>
  <si>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</si>
  <si>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</si>
  <si>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</si>
  <si>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</si>
  <si>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</si>
  <si>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</si>
  <si>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</si>
  <si>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</si>
  <si>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</si>
  <si>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</si>
  <si>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</si>
  <si>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</si>
  <si>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</si>
  <si>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</si>
  <si>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</si>
  <si>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</si>
  <si>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</si>
  <si>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</si>
  <si>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</si>
  <si>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</si>
  <si>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</si>
  <si>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</si>
  <si>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</si>
  <si>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</si>
  <si>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</si>
  <si>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</si>
  <si>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</si>
  <si>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</si>
  <si>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</si>
  <si>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</si>
  <si>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</si>
  <si>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</si>
  <si>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</si>
  <si>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</si>
  <si>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</si>
  <si>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</si>
  <si>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</si>
  <si>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</si>
  <si>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</si>
  <si>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</si>
  <si>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</si>
  <si>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</si>
  <si>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</si>
  <si>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</si>
  <si>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</si>
  <si>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</si>
  <si>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</si>
  <si>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</si>
  <si>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</si>
  <si>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</si>
  <si>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</si>
  <si>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</si>
  <si>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</si>
  <si>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</si>
  <si>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</si>
  <si>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</si>
  <si>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</si>
  <si>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</si>
  <si>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</si>
  <si>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</si>
  <si>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</si>
  <si>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</si>
  <si>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</si>
  <si>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</si>
  <si>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</si>
  <si>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</si>
  <si>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</si>
  <si>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</si>
  <si>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</si>
  <si>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</si>
  <si>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</si>
  <si>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</si>
  <si>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</si>
  <si>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</si>
  <si>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</si>
  <si>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</si>
  <si>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</si>
  <si>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</si>
  <si>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</si>
  <si>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</si>
  <si>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</si>
  <si>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</si>
  <si>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</si>
  <si>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</si>
  <si>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</si>
  <si>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</si>
  <si>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</si>
  <si>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</si>
  <si>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</si>
  <si>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</si>
  <si>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</si>
  <si>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</si>
  <si>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</si>
  <si>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</si>
  <si>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</si>
  <si>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</si>
  <si>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</si>
  <si>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</si>
  <si>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</si>
  <si>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</si>
  <si>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</si>
  <si>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</si>
  <si>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</si>
  <si>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</si>
  <si>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</si>
  <si>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</si>
  <si>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</si>
  <si>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</si>
  <si>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</si>
  <si>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</si>
  <si>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</si>
  <si>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</si>
  <si>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</si>
  <si>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</si>
  <si>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</si>
  <si>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</si>
  <si>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</si>
  <si>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</si>
  <si>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</si>
  <si>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</si>
  <si>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</si>
  <si>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</si>
  <si>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</si>
  <si>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</si>
  <si>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</si>
  <si>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</si>
  <si>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</si>
  <si>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</si>
  <si>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</si>
  <si>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</si>
  <si>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</si>
  <si>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</si>
  <si>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</si>
  <si>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</si>
  <si>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</si>
  <si>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</si>
  <si>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</si>
  <si>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</si>
  <si>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</si>
  <si>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</si>
  <si>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</si>
  <si>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</si>
  <si>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</si>
  <si>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</si>
  <si>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</si>
  <si>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</si>
  <si>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</si>
  <si>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</si>
  <si>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</si>
  <si>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</si>
  <si>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</si>
  <si>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</si>
  <si>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</si>
  <si>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</si>
  <si>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</si>
  <si>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</si>
  <si>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</si>
  <si>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</si>
  <si>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</si>
  <si>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</si>
  <si>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</si>
  <si>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</si>
  <si>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</si>
  <si>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</si>
  <si>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</si>
  <si>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</si>
  <si>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</si>
  <si>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</si>
  <si>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</si>
  <si>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</si>
  <si>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</si>
  <si>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</si>
  <si>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</si>
  <si>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</si>
  <si>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</si>
  <si>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</si>
  <si>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</si>
  <si>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</si>
  <si>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</si>
  <si>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</si>
  <si>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</si>
  <si>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</si>
  <si>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</si>
  <si>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</si>
  <si>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</si>
  <si>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</si>
  <si>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</si>
  <si>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</si>
  <si>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</si>
  <si>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</si>
  <si>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</si>
  <si>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</si>
  <si>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</si>
  <si>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</si>
  <si>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</si>
  <si>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</si>
  <si>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</si>
  <si>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</si>
  <si>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</si>
  <si>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</si>
  <si>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</si>
  <si>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</si>
  <si>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</si>
  <si>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</si>
  <si>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</si>
  <si>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</si>
  <si>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</si>
  <si>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</si>
  <si>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</si>
  <si>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</si>
  <si>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</si>
  <si>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</si>
  <si>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</si>
  <si>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</si>
  <si>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</si>
  <si>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</si>
  <si>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</si>
  <si>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</si>
  <si>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</si>
  <si>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</si>
  <si>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</si>
  <si>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</si>
  <si>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</si>
  <si>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</si>
  <si>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</si>
  <si>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</si>
  <si>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</si>
  <si>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</si>
  <si>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</si>
  <si>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</si>
  <si>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</si>
  <si>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</si>
  <si>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</si>
  <si>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</si>
  <si>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</si>
  <si>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</si>
  <si>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</si>
  <si>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</si>
  <si>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</si>
  <si>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</si>
  <si>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</si>
  <si>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</si>
  <si>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</si>
  <si>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</si>
  <si>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</si>
  <si>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</si>
  <si>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</si>
  <si>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</si>
  <si>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</si>
  <si>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</si>
  <si>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</si>
  <si>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</si>
  <si>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</si>
  <si>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</si>
  <si>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</si>
  <si>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</si>
  <si>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</si>
  <si>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</si>
  <si>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</si>
  <si>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</si>
  <si>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</si>
  <si>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</si>
  <si>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</si>
  <si>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</si>
  <si>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</si>
  <si>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</si>
  <si>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</si>
  <si>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</si>
  <si>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</si>
  <si>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</si>
  <si>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</si>
  <si>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</si>
  <si>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</si>
  <si>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</si>
  <si>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</si>
  <si>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</si>
  <si>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</si>
  <si>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</si>
  <si>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</si>
  <si>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</si>
  <si>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</si>
  <si>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</si>
  <si>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</si>
  <si>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</si>
  <si>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</si>
  <si>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</si>
  <si>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</si>
  <si>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</si>
  <si>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</si>
  <si>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</si>
  <si>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</si>
  <si>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</si>
  <si>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</si>
  <si>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</si>
  <si>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</si>
  <si>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</si>
  <si>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</si>
  <si>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</si>
  <si>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</si>
  <si>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</si>
  <si>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</si>
  <si>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</si>
  <si>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</si>
  <si>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</si>
  <si>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</si>
  <si>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</si>
  <si>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</si>
  <si>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</si>
  <si>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</si>
  <si>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</si>
  <si>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</si>
  <si>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</si>
  <si>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</si>
  <si>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</si>
  <si>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</si>
  <si>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</si>
  <si>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</si>
  <si>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</si>
  <si>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</si>
  <si>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</si>
  <si>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</si>
  <si>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</si>
  <si>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</si>
  <si>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</si>
  <si>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</si>
  <si>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</si>
  <si>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</si>
  <si>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</si>
  <si>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</si>
  <si>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</si>
  <si>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</si>
  <si>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</si>
  <si>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</si>
  <si>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</si>
  <si>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</si>
  <si>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</si>
  <si>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</si>
  <si>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</si>
  <si>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</si>
  <si>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</si>
  <si>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</si>
  <si>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</si>
  <si>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</si>
  <si>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</si>
  <si>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</si>
  <si>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</si>
  <si>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</si>
  <si>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</si>
  <si>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</si>
  <si>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</si>
  <si>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</si>
  <si>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</si>
  <si>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</si>
  <si>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</si>
  <si>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</si>
  <si>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</si>
  <si>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</si>
  <si>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</si>
  <si>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</si>
  <si>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</si>
  <si>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</si>
  <si>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</si>
  <si>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</si>
  <si>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</si>
  <si>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</si>
  <si>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</si>
  <si>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</si>
  <si>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</si>
  <si>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</si>
  <si>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</si>
  <si>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</si>
  <si>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</si>
  <si>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</si>
  <si>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</si>
  <si>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</si>
  <si>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</si>
  <si>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</si>
  <si>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</si>
  <si>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</si>
  <si>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</si>
  <si>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</si>
  <si>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</si>
  <si>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</si>
  <si>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</si>
  <si>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</si>
  <si>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</si>
  <si>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</si>
  <si>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</si>
  <si>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</si>
  <si>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</si>
  <si>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</si>
  <si>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</si>
  <si>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</si>
  <si>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</si>
  <si>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</si>
  <si>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</si>
  <si>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</si>
  <si>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</si>
  <si>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</si>
  <si>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</si>
  <si>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</si>
  <si>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</si>
  <si>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</si>
  <si>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</si>
  <si>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</si>
  <si>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</si>
  <si>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</si>
  <si>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</si>
  <si>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</si>
  <si>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</si>
  <si>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</si>
  <si>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</si>
  <si>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</si>
  <si>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</si>
  <si>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</si>
  <si>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</si>
  <si>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</si>
  <si>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</si>
  <si>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</si>
  <si>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</si>
  <si>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</si>
  <si>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</si>
  <si>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</si>
  <si>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</si>
  <si>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</si>
  <si>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</si>
  <si>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</si>
  <si>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</si>
  <si>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</si>
  <si>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</si>
  <si>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</si>
  <si>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</si>
  <si>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</si>
  <si>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</si>
  <si>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</si>
  <si>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</si>
  <si>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</si>
  <si>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</si>
  <si>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</si>
  <si>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</si>
  <si>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</si>
  <si>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</si>
  <si>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</si>
  <si>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</si>
  <si>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</si>
  <si>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</si>
  <si>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</si>
  <si>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</si>
  <si>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</si>
  <si>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</si>
  <si>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</si>
  <si>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</si>
  <si>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</si>
  <si>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</si>
  <si>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</si>
  <si>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</si>
  <si>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</si>
  <si>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</si>
  <si>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</si>
  <si>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</si>
  <si>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</si>
  <si>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</si>
  <si>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</si>
  <si>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</si>
  <si>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</si>
  <si>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</si>
  <si>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</si>
  <si>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</si>
  <si>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</si>
  <si>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</si>
  <si>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</si>
  <si>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</si>
  <si>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</si>
  <si>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</si>
  <si>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</si>
  <si>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</si>
  <si>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</si>
  <si>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</si>
  <si>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</si>
  <si>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</si>
  <si>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</si>
  <si>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</si>
  <si>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</si>
  <si>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</si>
  <si>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</si>
  <si>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</si>
  <si>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</si>
  <si>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</si>
  <si>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</si>
  <si>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</si>
  <si>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</si>
  <si>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</si>
  <si>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</si>
  <si>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</si>
  <si>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</si>
  <si>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</si>
  <si>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</si>
  <si>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</si>
  <si>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</si>
  <si>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</si>
  <si>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</si>
  <si>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</si>
  <si>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</si>
  <si>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</si>
  <si>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</si>
  <si>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</si>
  <si>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</si>
  <si>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</si>
  <si>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</si>
  <si>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</si>
  <si>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</si>
  <si>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</si>
  <si>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</si>
  <si>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</si>
  <si>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</si>
  <si>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</si>
  <si>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</si>
  <si>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</si>
  <si>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</si>
  <si>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</si>
  <si>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</si>
  <si>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</si>
  <si>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</si>
  <si>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</si>
  <si>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</si>
  <si>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</si>
  <si>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</si>
  <si>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</si>
  <si>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</si>
  <si>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</si>
  <si>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</si>
  <si>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</si>
  <si>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</si>
  <si>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</si>
  <si>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</si>
  <si>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</si>
  <si>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</si>
  <si>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</si>
  <si>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</si>
  <si>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</si>
  <si>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</si>
  <si>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</si>
  <si>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</si>
  <si>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</si>
  <si>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</si>
  <si>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</si>
  <si>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</si>
  <si>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</si>
  <si>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</si>
  <si>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</si>
  <si>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</si>
  <si>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</si>
  <si>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</si>
  <si>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</si>
  <si>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</si>
  <si>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</si>
  <si>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</si>
  <si>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</si>
  <si>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</si>
  <si>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</si>
  <si>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</si>
  <si>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</si>
  <si>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</si>
  <si>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</si>
  <si>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</si>
  <si>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</si>
  <si>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</si>
  <si>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</si>
  <si>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</si>
  <si>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</si>
  <si>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</si>
  <si>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</si>
  <si>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</si>
  <si>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</si>
  <si>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</si>
  <si>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</si>
  <si>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</si>
  <si>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</si>
  <si>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</si>
  <si>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</si>
  <si>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</si>
  <si>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</si>
  <si>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</si>
  <si>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</si>
  <si>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</si>
  <si>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</si>
  <si>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</si>
  <si>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</si>
  <si>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</si>
  <si>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</si>
  <si>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</si>
  <si>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</si>
  <si>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</si>
  <si>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</si>
  <si>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</si>
  <si>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</si>
  <si>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</si>
  <si>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</si>
  <si>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</si>
  <si>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</si>
  <si>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</si>
  <si>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</si>
  <si>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</si>
  <si>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</si>
  <si>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</si>
  <si>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</si>
  <si>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</si>
  <si>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</si>
  <si>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</si>
  <si>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</si>
  <si>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</si>
  <si>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</si>
  <si>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</si>
  <si>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</si>
  <si>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</si>
  <si>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</si>
  <si>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</si>
  <si>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</si>
  <si>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</si>
  <si>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</si>
  <si>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</si>
  <si>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</si>
  <si>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</si>
  <si>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</si>
  <si>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</si>
  <si>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</si>
  <si>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</si>
  <si>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</si>
  <si>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</si>
  <si>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</si>
  <si>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</si>
  <si>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</si>
  <si>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</si>
  <si>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</si>
  <si>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</si>
  <si>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</si>
  <si>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</si>
  <si>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</si>
  <si>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</si>
  <si>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</si>
  <si>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</si>
  <si>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</si>
  <si>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</si>
  <si>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</si>
  <si>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</si>
  <si>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</si>
  <si>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</si>
  <si>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</si>
  <si>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</si>
  <si>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</si>
  <si>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</si>
  <si>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</si>
  <si>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</si>
  <si>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</si>
  <si>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</si>
  <si>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</si>
  <si>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</si>
  <si>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</si>
  <si>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</si>
  <si>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</si>
  <si>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</si>
  <si>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</si>
  <si>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</si>
  <si>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</si>
  <si>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</si>
  <si>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</si>
  <si>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</si>
  <si>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</si>
  <si>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</si>
  <si>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</si>
  <si>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</si>
  <si>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</si>
  <si>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</si>
  <si>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</si>
  <si>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</si>
  <si>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</si>
  <si>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</si>
  <si>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</si>
  <si>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</si>
  <si>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</si>
  <si>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</si>
  <si>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</si>
  <si>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</si>
  <si>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</si>
  <si>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</si>
  <si>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</si>
  <si>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</si>
  <si>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</si>
  <si>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</si>
  <si>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</si>
  <si>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</si>
  <si>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</si>
  <si>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</si>
  <si>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</si>
  <si>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</si>
  <si>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</si>
  <si>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</si>
  <si>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</si>
  <si>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</si>
  <si>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</si>
  <si>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</si>
  <si>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</si>
  <si>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</si>
  <si>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</si>
  <si>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</si>
  <si>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</si>
  <si>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</si>
  <si>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</si>
  <si>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</si>
  <si>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</si>
  <si>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</si>
  <si>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</si>
  <si>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</si>
  <si>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</si>
  <si>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</si>
  <si>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</si>
  <si>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</si>
  <si>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</si>
  <si>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</si>
  <si>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</si>
  <si>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</si>
  <si>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</si>
  <si>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</si>
  <si>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</si>
  <si>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</si>
  <si>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</si>
  <si>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</si>
  <si>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</si>
  <si>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</si>
  <si>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</si>
  <si>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</si>
  <si>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</si>
  <si>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</si>
  <si>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</si>
  <si>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</si>
  <si>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</si>
  <si>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</si>
  <si>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</si>
  <si>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</si>
  <si>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</si>
  <si>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</si>
  <si>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</si>
  <si>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</si>
  <si>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</si>
  <si>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</si>
  <si>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</si>
  <si>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</si>
  <si>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</si>
  <si>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</si>
  <si>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</si>
  <si>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</si>
  <si>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</si>
  <si>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</si>
  <si>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</si>
  <si>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</si>
  <si>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</si>
  <si>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</si>
  <si>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</si>
  <si>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</si>
  <si>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</si>
  <si>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</si>
  <si>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</si>
  <si>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</si>
  <si>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</si>
  <si>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</si>
  <si>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</si>
  <si>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</si>
  <si>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</si>
  <si>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</si>
  <si>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</si>
  <si>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</si>
  <si>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</si>
  <si>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</si>
  <si>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</si>
  <si>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</si>
  <si>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</si>
  <si>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</si>
  <si>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</si>
  <si>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</si>
  <si>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</si>
  <si>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</si>
  <si>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</si>
  <si>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</si>
  <si>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</si>
  <si>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</si>
  <si>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</si>
  <si>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</si>
  <si>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</si>
  <si>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</si>
  <si>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</si>
  <si>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</si>
  <si>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</si>
  <si>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</si>
  <si>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</si>
  <si>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</si>
  <si>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</si>
  <si>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</si>
  <si>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</si>
  <si>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</si>
  <si>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</si>
  <si>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</si>
  <si>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</si>
  <si>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</si>
  <si>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</si>
  <si>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</si>
  <si>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</si>
  <si>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</si>
  <si>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</si>
  <si>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</si>
  <si>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</si>
  <si>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</si>
  <si>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</si>
  <si>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</si>
  <si>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</si>
  <si>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</si>
  <si>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</si>
  <si>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</si>
  <si>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</si>
  <si>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</si>
  <si>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</si>
  <si>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</si>
  <si>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</si>
  <si>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</si>
  <si>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</si>
  <si>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</si>
  <si>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</si>
  <si>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</si>
  <si>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</si>
  <si>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</si>
  <si>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</si>
  <si>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</si>
  <si>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</si>
  <si>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</si>
  <si>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</si>
  <si>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</si>
  <si>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</si>
  <si>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</si>
  <si>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</si>
  <si>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</si>
  <si>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</si>
  <si>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</si>
  <si>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</si>
  <si>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</si>
  <si>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</si>
  <si>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</si>
  <si>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</si>
  <si>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</si>
  <si>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</si>
  <si>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</si>
  <si>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</si>
  <si>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</si>
  <si>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</si>
  <si>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</si>
  <si>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</si>
  <si>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</si>
  <si>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</si>
  <si>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</si>
  <si>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</si>
  <si>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</si>
  <si>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</si>
  <si>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</si>
  <si>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</si>
  <si>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</si>
  <si>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</si>
  <si>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</si>
  <si>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</si>
  <si>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</si>
  <si>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</si>
  <si>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</si>
  <si>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</si>
  <si>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</si>
  <si>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</si>
  <si>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</si>
  <si>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</si>
  <si>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</si>
  <si>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</si>
  <si>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</si>
  <si>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</si>
  <si>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</si>
  <si>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</si>
  <si>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</si>
  <si>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</si>
  <si>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</si>
  <si>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</si>
  <si>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</si>
  <si>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</si>
  <si>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</si>
  <si>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</si>
  <si>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</si>
  <si>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</si>
  <si>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</si>
  <si>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</si>
  <si>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</si>
  <si>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</si>
  <si>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</si>
  <si>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</si>
  <si>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</si>
  <si>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</si>
  <si>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</si>
  <si>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</si>
  <si>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</si>
  <si>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</si>
  <si>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</si>
  <si>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</si>
  <si>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</si>
  <si>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</si>
  <si>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</si>
  <si>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</si>
  <si>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</si>
  <si>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</si>
  <si>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</si>
  <si>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</si>
  <si>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</si>
  <si>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</si>
  <si>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</si>
  <si>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</si>
  <si>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</si>
  <si>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</si>
  <si>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</si>
  <si>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</si>
  <si>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</si>
  <si>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</si>
  <si>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</si>
  <si>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</si>
  <si>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</si>
  <si>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</si>
  <si>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</si>
  <si>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</si>
  <si>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</si>
  <si>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</si>
  <si>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</si>
  <si>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</si>
  <si>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</si>
  <si>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</si>
  <si>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</si>
  <si>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</si>
  <si>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</si>
  <si>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</si>
  <si>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</si>
  <si>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</si>
  <si>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</si>
  <si>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</si>
  <si>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</si>
  <si>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</si>
  <si>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</si>
  <si>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</si>
  <si>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</si>
  <si>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</si>
  <si>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</si>
  <si>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</si>
  <si>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</si>
  <si>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</si>
  <si>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</si>
  <si>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</si>
  <si>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</si>
  <si>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</si>
  <si>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</si>
  <si>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</si>
  <si>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</si>
  <si>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</si>
  <si>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</si>
  <si>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</si>
  <si>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</si>
  <si>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</si>
  <si>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</si>
  <si>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</si>
  <si>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</si>
  <si>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</si>
  <si>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</si>
  <si>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</si>
  <si>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</si>
  <si>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</si>
  <si>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</si>
  <si>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</si>
  <si>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</si>
  <si>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</si>
  <si>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</si>
  <si>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</si>
  <si>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</si>
  <si>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</si>
  <si>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</si>
  <si>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</si>
  <si>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</si>
  <si>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</si>
  <si>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</si>
  <si>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</si>
  <si>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</si>
  <si>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</si>
  <si>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</si>
  <si>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</si>
  <si>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</si>
  <si>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</si>
  <si>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</si>
  <si>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</si>
  <si>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</si>
  <si>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</si>
  <si>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</si>
  <si>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</si>
  <si>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</si>
  <si>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</si>
  <si>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</si>
  <si>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</si>
  <si>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</si>
  <si>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</si>
  <si>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</si>
  <si>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</si>
  <si>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</si>
  <si>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</si>
  <si>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</si>
  <si>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</si>
  <si>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</si>
  <si>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</si>
  <si>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</si>
  <si>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</si>
  <si>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</si>
  <si>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</si>
  <si>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</si>
  <si>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</si>
  <si>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</si>
  <si>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</si>
  <si>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</si>
  <si>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</si>
  <si>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</si>
  <si>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</si>
  <si>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</si>
  <si>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</si>
  <si>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</si>
  <si>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</si>
  <si>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</si>
  <si>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</si>
  <si>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</si>
  <si>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</si>
  <si>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</si>
  <si>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</si>
  <si>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</si>
  <si>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</si>
  <si>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</si>
  <si>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</si>
  <si>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</si>
  <si>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</si>
  <si>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</si>
  <si>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</si>
  <si>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</si>
  <si>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</si>
  <si>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</si>
  <si>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</si>
  <si>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</si>
  <si>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</si>
  <si>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</si>
  <si>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</si>
  <si>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</si>
  <si>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</si>
  <si>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</si>
  <si>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</si>
  <si>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</si>
  <si>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</si>
  <si>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</si>
  <si>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</si>
  <si>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</si>
  <si>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</si>
  <si>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</si>
  <si>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</si>
  <si>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</si>
  <si>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</si>
  <si>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</si>
  <si>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</si>
  <si>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</si>
  <si>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</si>
  <si>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</si>
  <si>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</si>
  <si>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</si>
  <si>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</si>
  <si>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</si>
  <si>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</si>
  <si>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</si>
  <si>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</si>
  <si>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</si>
  <si>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</si>
  <si>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</si>
  <si>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</si>
  <si>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</si>
  <si>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</si>
  <si>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</si>
  <si>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</si>
  <si>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</si>
  <si>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</si>
  <si>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</si>
  <si>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</si>
  <si>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</si>
  <si>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</si>
  <si>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</si>
  <si>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</si>
  <si>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</si>
  <si>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</si>
  <si>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</si>
  <si>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</si>
  <si>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</si>
  <si>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</si>
  <si>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</si>
  <si>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</si>
  <si>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</si>
  <si>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</si>
  <si>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</si>
  <si>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</si>
  <si>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</si>
  <si>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</si>
  <si>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</si>
  <si>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</si>
  <si>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</si>
  <si>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</si>
  <si>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</si>
  <si>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</si>
  <si>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</si>
  <si>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</si>
  <si>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</si>
  <si>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</si>
  <si>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</si>
  <si>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</si>
  <si>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</si>
  <si>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</si>
  <si>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</si>
  <si>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</si>
  <si>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</si>
  <si>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</si>
  <si>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</si>
  <si>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</si>
  <si>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</si>
  <si>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</si>
  <si>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</si>
  <si>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</si>
  <si>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</si>
  <si>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</si>
  <si>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</si>
  <si>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</si>
  <si>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</si>
  <si>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</si>
  <si>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</si>
  <si>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</si>
  <si>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</si>
  <si>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</si>
  <si>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</si>
  <si>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</si>
  <si>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</si>
  <si>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</si>
  <si>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</si>
  <si>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</si>
  <si>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</si>
  <si>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</si>
  <si>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</si>
  <si>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</si>
  <si>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</si>
  <si>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</si>
  <si>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</si>
  <si>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</si>
  <si>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</si>
  <si>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</si>
  <si>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</si>
  <si>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</si>
  <si>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</si>
  <si>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</si>
  <si>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</si>
  <si>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</si>
  <si>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</si>
  <si>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</si>
  <si>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</si>
  <si>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</si>
  <si>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</si>
  <si>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</si>
  <si>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</si>
  <si>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</si>
  <si>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</si>
  <si>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</si>
  <si>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</si>
  <si>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</si>
  <si>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</si>
  <si>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</si>
  <si>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</si>
  <si>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</si>
  <si>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</si>
  <si>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</si>
  <si>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</si>
  <si>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</si>
  <si>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</si>
  <si>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</si>
  <si>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</si>
  <si>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</si>
  <si>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</si>
  <si>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</si>
  <si>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</si>
  <si>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</si>
  <si>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</si>
  <si>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</si>
  <si>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</si>
  <si>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</si>
  <si>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</si>
  <si>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</si>
  <si>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</si>
  <si>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</si>
  <si>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</si>
  <si>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</si>
  <si>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</si>
  <si>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</si>
  <si>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</si>
  <si>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</si>
  <si>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</si>
  <si>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</si>
  <si>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</si>
  <si>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</si>
  <si>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</si>
  <si>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</si>
  <si>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</si>
  <si>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</si>
  <si>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</si>
  <si>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</si>
  <si>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</si>
  <si>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</si>
  <si>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</si>
  <si>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</si>
  <si>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</si>
  <si>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</si>
  <si>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</si>
  <si>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</si>
  <si>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</si>
  <si>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</si>
  <si>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</si>
  <si>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</si>
  <si>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</si>
  <si>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</si>
  <si>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</si>
  <si>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</si>
  <si>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</si>
  <si>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</si>
  <si>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</si>
  <si>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</si>
  <si>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</si>
  <si>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</si>
  <si>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</si>
  <si>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</si>
  <si>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</si>
  <si>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</si>
  <si>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</si>
  <si>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</si>
  <si>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</si>
  <si>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</si>
  <si>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</si>
  <si>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</si>
  <si>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</si>
  <si>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</si>
  <si>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</si>
  <si>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</si>
  <si>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</si>
  <si>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</si>
  <si>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</si>
  <si>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</si>
  <si>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</si>
  <si>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</si>
  <si>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</si>
  <si>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</si>
  <si>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</si>
  <si>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</si>
  <si>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</si>
  <si>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</si>
  <si>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</si>
  <si>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</si>
  <si>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</si>
  <si>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</si>
  <si>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</si>
  <si>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</si>
  <si>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</si>
  <si>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</si>
  <si>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</si>
  <si>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</si>
  <si>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</si>
  <si>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</si>
  <si>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</si>
  <si>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</si>
  <si>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</si>
  <si>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</si>
  <si>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</si>
  <si>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</si>
  <si>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</si>
  <si>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</si>
  <si>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</si>
  <si>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</si>
  <si>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</si>
  <si>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</si>
  <si>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</si>
  <si>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</si>
  <si>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</si>
  <si>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</si>
  <si>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</si>
  <si>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</si>
  <si>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</si>
  <si>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</si>
  <si>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</si>
  <si>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</si>
  <si>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</si>
  <si>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</si>
  <si>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</si>
  <si>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</si>
  <si>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</si>
  <si>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</si>
  <si>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</si>
  <si>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</si>
  <si>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</si>
  <si>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</si>
  <si>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</si>
  <si>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</si>
  <si>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</si>
  <si>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</si>
  <si>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</si>
  <si>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</si>
  <si>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</si>
  <si>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</si>
  <si>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</si>
  <si>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</si>
  <si>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</si>
  <si>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</si>
  <si>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</si>
  <si>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</si>
  <si>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</si>
  <si>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</si>
  <si>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</si>
  <si>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</si>
  <si>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</si>
  <si>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</si>
  <si>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</si>
  <si>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</si>
  <si>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</si>
  <si>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</si>
  <si>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</si>
  <si>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</si>
  <si>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</si>
  <si>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</si>
  <si>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</si>
  <si>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</si>
  <si>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</si>
  <si>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</si>
  <si>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</si>
  <si>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</si>
  <si>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</si>
  <si>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</si>
  <si>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</si>
  <si>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</si>
  <si>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</si>
  <si>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</si>
  <si>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</si>
  <si>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</si>
  <si>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</si>
  <si>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</si>
  <si>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</si>
  <si>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</si>
  <si>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</si>
  <si>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</si>
  <si>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</si>
  <si>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</si>
  <si>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</si>
  <si>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</si>
  <si>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</si>
  <si>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</si>
  <si>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</si>
  <si>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</si>
  <si>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</si>
  <si>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</si>
  <si>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</si>
  <si>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</si>
  <si>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</si>
  <si>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</si>
  <si>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</si>
  <si>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</si>
  <si>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</si>
  <si>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</si>
  <si>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</si>
  <si>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</si>
  <si>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</si>
  <si>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</si>
  <si>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</si>
  <si>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</si>
  <si>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</si>
  <si>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</si>
  <si>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</si>
  <si>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</si>
  <si>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</si>
  <si>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</si>
  <si>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</si>
  <si>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</si>
  <si>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</si>
  <si>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</si>
  <si>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</si>
  <si>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</si>
  <si>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</si>
  <si>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</si>
  <si>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</si>
  <si>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</si>
  <si>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</si>
  <si>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</si>
  <si>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</si>
  <si>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</si>
  <si>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</si>
  <si>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</si>
  <si>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</si>
  <si>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</si>
  <si>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</si>
  <si>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</si>
  <si>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</si>
  <si>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</si>
  <si>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</si>
  <si>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</si>
  <si>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</si>
  <si>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</si>
  <si>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</si>
  <si>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</si>
  <si>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</si>
  <si>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</si>
  <si>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</si>
  <si>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</si>
  <si>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</si>
  <si>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</si>
  <si>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</si>
  <si>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</si>
  <si>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</si>
  <si>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</si>
  <si>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</si>
  <si>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</si>
  <si>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</si>
  <si>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</si>
  <si>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</si>
  <si>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</si>
  <si>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</si>
  <si>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</si>
  <si>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</si>
  <si>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</si>
  <si>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</si>
  <si>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</si>
  <si>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</si>
  <si>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</si>
  <si>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</si>
  <si>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</si>
  <si>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</si>
  <si>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</si>
  <si>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</si>
  <si>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</si>
  <si>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</si>
  <si>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</si>
  <si>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</si>
  <si>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</si>
  <si>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</si>
  <si>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</si>
  <si>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</si>
  <si>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</si>
  <si>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</si>
  <si>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</si>
  <si>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</si>
  <si>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</si>
  <si>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</si>
  <si>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</si>
  <si>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</si>
  <si>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</si>
  <si>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</si>
  <si>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</si>
  <si>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</si>
  <si>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</si>
  <si>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</si>
  <si>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</si>
  <si>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</si>
  <si>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</si>
  <si>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</si>
  <si>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</si>
  <si>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</si>
  <si>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</si>
  <si>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</si>
  <si>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</si>
  <si>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</si>
  <si>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</si>
  <si>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</si>
  <si>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</si>
  <si>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</si>
  <si>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</si>
  <si>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</si>
  <si>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</si>
  <si>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</si>
  <si>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</si>
  <si>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</si>
  <si>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</si>
  <si>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</si>
  <si>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</si>
  <si>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</si>
  <si>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</si>
  <si>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</si>
  <si>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</si>
  <si>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</si>
  <si>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</si>
  <si>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</si>
  <si>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</si>
  <si>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</si>
  <si>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</si>
  <si>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</si>
  <si>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</si>
  <si>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</si>
  <si>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</si>
  <si>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</si>
  <si>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</si>
  <si>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</si>
  <si>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</si>
  <si>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</si>
  <si>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</si>
  <si>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</si>
  <si>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</si>
  <si>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</si>
  <si>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</si>
  <si>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</si>
  <si>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</si>
  <si>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</si>
  <si>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</si>
  <si>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</si>
  <si>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</si>
  <si>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</si>
  <si>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</si>
  <si>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</si>
  <si>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</si>
  <si>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</si>
  <si>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</si>
  <si>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</si>
  <si>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</si>
  <si>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</si>
  <si>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</si>
  <si>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</si>
  <si>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</si>
  <si>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</si>
  <si>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</si>
  <si>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</si>
  <si>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</si>
  <si>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</si>
  <si>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</si>
  <si>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</si>
  <si>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</si>
  <si>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</si>
  <si>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</si>
  <si>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</si>
  <si>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</si>
  <si>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</si>
  <si>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</si>
  <si>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</si>
  <si>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</si>
  <si>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</si>
  <si>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</si>
  <si>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</si>
  <si>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</si>
  <si>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</si>
  <si>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</si>
  <si>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</si>
  <si>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</si>
  <si>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</si>
  <si>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</si>
  <si>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</si>
  <si>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</si>
  <si>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</si>
  <si>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</si>
  <si>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</si>
  <si>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</si>
  <si>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</si>
  <si>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</si>
  <si>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</si>
  <si>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</si>
  <si>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</si>
  <si>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</si>
  <si>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</si>
  <si>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</si>
  <si>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</si>
  <si>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</si>
  <si>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</si>
  <si>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</si>
  <si>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</si>
  <si>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</si>
  <si>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</si>
  <si>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</si>
  <si>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</si>
  <si>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</si>
  <si>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</si>
  <si>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</si>
  <si>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</si>
  <si>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</si>
  <si>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</si>
  <si>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</si>
  <si>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</si>
  <si>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</si>
  <si>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</si>
  <si>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</si>
  <si>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</si>
  <si>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</si>
  <si>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</si>
  <si>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</si>
  <si>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</si>
  <si>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</si>
  <si>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</si>
  <si>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</si>
  <si>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</si>
  <si>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</si>
  <si>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</si>
  <si>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</si>
  <si>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</si>
  <si>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</si>
  <si>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</si>
  <si>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</si>
  <si>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</si>
  <si>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</si>
  <si>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</si>
  <si>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</si>
  <si>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</si>
  <si>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</si>
  <si>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</si>
  <si>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</si>
  <si>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</si>
  <si>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</si>
  <si>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</si>
  <si>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</si>
  <si>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</si>
  <si>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</si>
  <si>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</si>
  <si>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</si>
  <si>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</si>
  <si>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</si>
  <si>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</si>
  <si>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</si>
  <si>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</si>
  <si>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</si>
  <si>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</si>
  <si>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</si>
  <si>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</si>
  <si>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</si>
  <si>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</si>
  <si>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</si>
  <si>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</si>
  <si>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</si>
  <si>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</si>
  <si>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</si>
  <si>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</si>
  <si>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</si>
  <si>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</si>
  <si>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</si>
  <si>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</si>
  <si>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</si>
  <si>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</si>
  <si>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</si>
  <si>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</si>
  <si>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</si>
  <si>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</si>
  <si>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</si>
  <si>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</si>
  <si>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</si>
  <si>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</si>
  <si>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</si>
  <si>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</si>
  <si>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</si>
  <si>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</si>
  <si>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</si>
  <si>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</si>
  <si>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</si>
  <si>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</si>
  <si>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</si>
  <si>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</si>
  <si>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</si>
  <si>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</si>
  <si>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</si>
  <si>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</si>
  <si>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</si>
  <si>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</si>
  <si>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</si>
  <si>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</si>
  <si>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</si>
  <si>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</si>
  <si>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</si>
  <si>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</si>
  <si>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</si>
  <si>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</si>
  <si>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</si>
  <si>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</si>
  <si>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</si>
  <si>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</si>
  <si>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</si>
  <si>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</si>
  <si>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</si>
  <si>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</si>
  <si>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</si>
  <si>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</si>
  <si>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</si>
  <si>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</si>
  <si>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</si>
  <si>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</si>
  <si>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</si>
  <si>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</si>
  <si>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</si>
  <si>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</si>
  <si>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</si>
  <si>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</si>
  <si>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</si>
  <si>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</si>
  <si>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</si>
  <si>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</si>
  <si>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</si>
  <si>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</si>
  <si>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</si>
  <si>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</si>
  <si>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</si>
  <si>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</si>
  <si>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</si>
  <si>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</si>
  <si>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</si>
  <si>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</si>
  <si>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</si>
  <si>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</si>
  <si>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</si>
  <si>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</si>
  <si>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</si>
  <si>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</si>
  <si>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</si>
  <si>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</si>
  <si>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</si>
  <si>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</si>
  <si>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</si>
  <si>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</si>
  <si>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</si>
  <si>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</si>
  <si>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</si>
  <si>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</si>
  <si>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</si>
  <si>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</si>
  <si>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</si>
  <si>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</si>
  <si>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</si>
  <si>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</si>
  <si>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</si>
  <si>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</si>
  <si>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</si>
  <si>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</si>
  <si>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</si>
  <si>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</si>
  <si>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</si>
  <si>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</si>
  <si>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</si>
  <si>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</si>
  <si>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</si>
  <si>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</si>
  <si>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</si>
  <si>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</si>
  <si>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</si>
  <si>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</si>
  <si>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</si>
  <si>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</si>
  <si>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</si>
  <si>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</si>
  <si>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</si>
  <si>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</si>
  <si>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</si>
  <si>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</si>
  <si>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</si>
  <si>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</si>
  <si>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</si>
  <si>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</si>
  <si>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</si>
  <si>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</si>
  <si>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</si>
  <si>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</si>
  <si>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</si>
  <si>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</si>
  <si>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</si>
  <si>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</si>
  <si>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</si>
  <si>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</si>
  <si>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</si>
  <si>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</si>
  <si>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</si>
  <si>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</si>
  <si>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</si>
  <si>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</si>
  <si>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</si>
  <si>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</si>
  <si>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</si>
  <si>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</si>
  <si>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</si>
  <si>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</si>
  <si>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</si>
  <si>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</si>
  <si>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</si>
  <si>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</si>
  <si>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</si>
  <si>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</si>
  <si>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</si>
  <si>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</si>
  <si>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</si>
  <si>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</si>
  <si>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</si>
  <si>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</si>
  <si>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</si>
  <si>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</si>
  <si>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</si>
  <si>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</si>
  <si>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</si>
  <si>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</si>
  <si>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</si>
  <si>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</si>
  <si>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</si>
  <si>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</si>
  <si>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</si>
  <si>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</si>
  <si>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</si>
  <si>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</si>
  <si>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</si>
  <si>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</si>
  <si>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</si>
  <si>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</si>
  <si>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</si>
  <si>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</si>
  <si>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</si>
  <si>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</si>
  <si>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</si>
  <si>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</si>
  <si>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</si>
  <si>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</si>
  <si>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</si>
  <si>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</si>
  <si>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</si>
  <si>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</si>
  <si>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</si>
  <si>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</si>
  <si>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</si>
  <si>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</si>
  <si>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</si>
  <si>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</si>
  <si>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</si>
  <si>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</si>
  <si>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</si>
  <si>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</si>
  <si>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</si>
  <si>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</si>
  <si>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</si>
  <si>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</si>
  <si>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</si>
  <si>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</si>
  <si>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</si>
  <si>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</si>
  <si>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</si>
  <si>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</si>
  <si>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</si>
  <si>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</si>
  <si>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</si>
  <si>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</si>
  <si>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</si>
  <si>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</si>
  <si>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</si>
  <si>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</si>
  <si>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</si>
  <si>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</si>
  <si>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</si>
  <si>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</si>
  <si>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</si>
  <si>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</si>
  <si>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</si>
  <si>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</si>
  <si>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</si>
  <si>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</si>
  <si>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</si>
  <si>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</si>
  <si>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</si>
  <si>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</si>
  <si>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</si>
  <si>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</si>
  <si>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</si>
  <si>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</si>
  <si>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</si>
  <si>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</si>
  <si>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</si>
  <si>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</si>
  <si>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</si>
  <si>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</si>
  <si>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</si>
  <si>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</si>
  <si>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</si>
  <si>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</si>
  <si>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</si>
  <si>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</si>
  <si>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</si>
  <si>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</si>
  <si>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</si>
  <si>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</si>
  <si>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</si>
  <si>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</si>
  <si>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</si>
  <si>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</si>
  <si>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</si>
  <si>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</si>
  <si>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</si>
  <si>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</si>
  <si>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</si>
  <si>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</si>
  <si>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</si>
  <si>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</si>
  <si>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</si>
  <si>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</si>
  <si>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</si>
  <si>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</si>
  <si>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</si>
  <si>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</si>
  <si>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</si>
  <si>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</si>
  <si>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</si>
  <si>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</si>
  <si>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</si>
  <si>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</si>
  <si>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</si>
  <si>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</si>
  <si>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</si>
  <si>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</si>
  <si>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</si>
  <si>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</si>
  <si>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</si>
  <si>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</si>
  <si>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</si>
  <si>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</si>
  <si>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</si>
  <si>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</si>
  <si>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</si>
  <si>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</si>
  <si>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</si>
  <si>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</si>
  <si>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</si>
  <si>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</si>
  <si>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</si>
  <si>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</si>
  <si>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</si>
  <si>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</si>
  <si>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</si>
  <si>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</si>
  <si>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</si>
  <si>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</si>
  <si>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</si>
  <si>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</si>
  <si>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</si>
  <si>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</si>
  <si>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</si>
  <si>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</si>
  <si>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</si>
  <si>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</si>
  <si>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</si>
  <si>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</si>
  <si>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</si>
  <si>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</si>
  <si>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</si>
  <si>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</si>
  <si>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</si>
  <si>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</si>
  <si>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</si>
  <si>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</si>
  <si>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</si>
  <si>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</si>
  <si>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</si>
  <si>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</si>
  <si>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</si>
  <si>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</si>
  <si>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</si>
  <si>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</si>
  <si>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</si>
  <si>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</si>
  <si>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</si>
  <si>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</si>
  <si>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</si>
  <si>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</si>
  <si>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</si>
  <si>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</si>
  <si>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</si>
  <si>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</si>
  <si>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</si>
  <si>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</si>
  <si>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</si>
  <si>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</si>
  <si>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</si>
  <si>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</si>
  <si>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</si>
  <si>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</si>
  <si>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</si>
  <si>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</si>
  <si>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</si>
  <si>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</si>
  <si>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</si>
  <si>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</si>
  <si>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</si>
  <si>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</si>
  <si>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</si>
  <si>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</si>
  <si>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</si>
  <si>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</si>
  <si>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</si>
  <si>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</si>
  <si>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</si>
  <si>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</si>
  <si>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</si>
  <si>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</si>
  <si>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</si>
  <si>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</si>
  <si>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</si>
  <si>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</si>
  <si>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</si>
  <si>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</si>
  <si>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</si>
  <si>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</si>
  <si>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</si>
  <si>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</si>
  <si>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</si>
  <si>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</si>
  <si>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</si>
  <si>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</si>
  <si>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</si>
  <si>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</si>
  <si>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</si>
  <si>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</si>
  <si>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</si>
  <si>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</si>
  <si>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</si>
  <si>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</si>
  <si>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</si>
  <si>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</si>
  <si>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</si>
  <si>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</si>
  <si>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</si>
  <si>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</si>
  <si>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</si>
  <si>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</si>
  <si>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</si>
  <si>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</si>
  <si>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</si>
  <si>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</si>
  <si>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</si>
  <si>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</si>
  <si>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</si>
  <si>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</si>
  <si>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</si>
  <si>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</si>
  <si>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</si>
  <si>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</si>
  <si>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</si>
  <si>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</si>
  <si>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</si>
  <si>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</si>
  <si>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</si>
  <si>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</si>
  <si>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</si>
  <si>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</si>
  <si>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</si>
  <si>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</si>
  <si>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</si>
  <si>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</si>
  <si>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</si>
  <si>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</si>
  <si>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</si>
  <si>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</si>
  <si>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</si>
  <si>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</si>
  <si>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</si>
  <si>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</si>
  <si>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</si>
  <si>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</si>
  <si>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</si>
  <si>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</si>
  <si>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</si>
  <si>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</si>
  <si>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</si>
  <si>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</si>
  <si>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</si>
  <si>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</si>
  <si>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</si>
  <si>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</si>
  <si>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</si>
  <si>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</si>
  <si>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</si>
  <si>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</si>
  <si>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</si>
  <si>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</si>
  <si>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</si>
  <si>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</si>
  <si>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</si>
  <si>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</si>
  <si>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</si>
  <si>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</si>
  <si>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</si>
  <si>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</si>
  <si>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</si>
  <si>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</si>
  <si>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</si>
  <si>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</si>
  <si>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</si>
  <si>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</si>
  <si>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</si>
  <si>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</si>
  <si>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</si>
  <si>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</si>
  <si>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</si>
  <si>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</si>
  <si>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</si>
  <si>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</si>
  <si>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</si>
  <si>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</si>
  <si>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</si>
  <si>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</si>
  <si>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</si>
  <si>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</si>
  <si>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</si>
  <si>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</si>
  <si>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</si>
  <si>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</si>
  <si>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</si>
  <si>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</si>
  <si>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</si>
  <si>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</si>
  <si>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</si>
  <si>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</si>
  <si>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</si>
  <si>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</si>
  <si>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</si>
  <si>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</si>
  <si>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</si>
  <si>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</si>
  <si>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</si>
  <si>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</si>
  <si>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</si>
  <si>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</si>
  <si>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</si>
  <si>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</si>
  <si>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</si>
  <si>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</si>
  <si>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</si>
  <si>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</si>
  <si>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</si>
  <si>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</si>
  <si>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</si>
  <si>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</si>
  <si>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</si>
  <si>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</si>
  <si>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</si>
  <si>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</si>
  <si>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</si>
  <si>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</si>
  <si>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</si>
  <si>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</si>
  <si>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</si>
  <si>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</si>
  <si>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</si>
  <si>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</si>
  <si>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</si>
  <si>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</si>
  <si>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</si>
  <si>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</si>
  <si>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</si>
  <si>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</si>
  <si>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</si>
  <si>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</si>
  <si>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</si>
  <si>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</si>
  <si>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</si>
  <si>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</si>
  <si>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</si>
  <si>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</si>
  <si>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</si>
  <si>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</si>
  <si>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</si>
  <si>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</si>
  <si>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</si>
  <si>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</si>
  <si>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</si>
  <si>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</si>
  <si>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</si>
  <si>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</si>
  <si>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</si>
  <si>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</si>
  <si>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</si>
  <si>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</si>
  <si>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</si>
  <si>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</si>
  <si>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</si>
  <si>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</si>
  <si>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</si>
  <si>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</si>
  <si>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</si>
  <si>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</si>
  <si>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</si>
  <si>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</si>
  <si>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</si>
  <si>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</si>
  <si>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</si>
  <si>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</si>
  <si>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</si>
  <si>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</si>
  <si>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</si>
  <si>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</si>
  <si>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</si>
  <si>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</si>
  <si>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</si>
  <si>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</si>
  <si>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</si>
  <si>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</si>
  <si>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</si>
  <si>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</si>
  <si>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</si>
  <si>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</si>
  <si>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</si>
  <si>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</si>
  <si>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</si>
  <si>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</si>
  <si>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</si>
  <si>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</si>
  <si>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</si>
  <si>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</si>
  <si>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</si>
  <si>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</si>
  <si>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</si>
  <si>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</si>
  <si>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</si>
  <si>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</si>
  <si>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</si>
  <si>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</si>
  <si>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</si>
  <si>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</si>
  <si>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</si>
  <si>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</si>
  <si>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</si>
  <si>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</si>
  <si>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</si>
  <si>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</si>
  <si>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</si>
  <si>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</si>
  <si>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</si>
  <si>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</si>
  <si>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</si>
  <si>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</si>
  <si>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</si>
  <si>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</si>
  <si>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</si>
  <si>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</si>
  <si>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</si>
  <si>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</si>
  <si>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</si>
  <si>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</si>
  <si>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</si>
  <si>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</si>
  <si>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</si>
  <si>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</si>
  <si>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</si>
  <si>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</si>
  <si>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</si>
  <si>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</si>
  <si>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</si>
  <si>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</si>
  <si>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</si>
  <si>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</si>
  <si>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</si>
  <si>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</si>
  <si>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</si>
  <si>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</si>
  <si>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</si>
  <si>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</si>
  <si>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</si>
  <si>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</si>
  <si>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</si>
  <si>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</si>
  <si>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</si>
  <si>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</si>
  <si>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</si>
  <si>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</si>
  <si>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</si>
  <si>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</si>
  <si>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</si>
  <si>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</si>
  <si>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</si>
  <si>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</si>
  <si>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</si>
  <si>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</si>
  <si>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</si>
  <si>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</si>
  <si>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</si>
  <si>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</si>
  <si>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</si>
  <si>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</si>
  <si>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</si>
  <si>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</si>
  <si>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</si>
  <si>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</si>
  <si>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</si>
  <si>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</si>
  <si>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</si>
  <si>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</si>
  <si>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</si>
  <si>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</si>
  <si>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</si>
  <si>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</si>
  <si>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</si>
  <si>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</si>
  <si>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</si>
  <si>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</si>
  <si>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</si>
  <si>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</si>
  <si>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</si>
  <si>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</si>
  <si>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</si>
  <si>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</si>
  <si>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</si>
  <si>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</si>
  <si>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</si>
  <si>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</si>
  <si>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</si>
  <si>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</si>
  <si>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</si>
  <si>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</si>
  <si>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</si>
  <si>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</si>
  <si>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</si>
  <si>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</si>
  <si>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</si>
  <si>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</si>
  <si>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</si>
  <si>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</si>
  <si>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</si>
  <si>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</si>
  <si>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</si>
  <si>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</si>
  <si>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</si>
  <si>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</si>
  <si>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</si>
  <si>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</si>
  <si>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</si>
  <si>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</si>
  <si>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</si>
  <si>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</si>
  <si>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</si>
  <si>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</si>
  <si>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</si>
  <si>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</si>
  <si>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</si>
  <si>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</si>
  <si>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</si>
  <si>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</si>
  <si>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</si>
  <si>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</si>
  <si>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</si>
  <si>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</si>
  <si>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</si>
  <si>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</si>
  <si>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</si>
  <si>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</si>
  <si>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</si>
  <si>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</si>
  <si>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</si>
  <si>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</si>
  <si>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</si>
  <si>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</si>
  <si>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</si>
  <si>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</si>
  <si>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</si>
  <si>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</si>
  <si>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</si>
  <si>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</si>
  <si>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</si>
  <si>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</si>
  <si>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</si>
  <si>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</si>
  <si>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</si>
  <si>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</si>
  <si>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</si>
  <si>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</si>
  <si>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</si>
  <si>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</si>
  <si>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</si>
  <si>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</si>
  <si>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</si>
  <si>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</si>
  <si>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</si>
  <si>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</si>
  <si>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</si>
  <si>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</si>
  <si>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</si>
  <si>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</si>
  <si>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</si>
  <si>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</si>
  <si>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</si>
  <si>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</si>
  <si>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</si>
  <si>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</si>
  <si>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</si>
  <si>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</si>
  <si>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</si>
  <si>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</si>
  <si>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</si>
  <si>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</si>
  <si>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</si>
  <si>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</si>
  <si>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</si>
  <si>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</si>
  <si>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</si>
  <si>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</si>
  <si>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</si>
  <si>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</si>
  <si>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</si>
  <si>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</si>
  <si>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</si>
  <si>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</si>
  <si>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</si>
  <si>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</si>
  <si>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</si>
  <si>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</si>
  <si>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</si>
  <si>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</si>
  <si>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</si>
  <si>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</si>
  <si>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</si>
  <si>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</si>
  <si>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</si>
  <si>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</si>
  <si>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</si>
  <si>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</si>
  <si>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</si>
  <si>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</si>
  <si>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</si>
  <si>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</si>
  <si>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</si>
  <si>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</si>
  <si>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</si>
  <si>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</si>
  <si>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</si>
  <si>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</si>
  <si>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</si>
  <si>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</si>
  <si>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</si>
  <si>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</si>
  <si>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</si>
  <si>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</si>
  <si>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</si>
  <si>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</si>
  <si>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</si>
  <si>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</si>
  <si>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</si>
  <si>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</si>
  <si>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</si>
  <si>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</si>
  <si>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</si>
  <si>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</si>
  <si>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</si>
  <si>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</si>
  <si>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</si>
  <si>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</si>
  <si>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</si>
  <si>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</si>
  <si>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</si>
  <si>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</si>
  <si>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</si>
  <si>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</si>
  <si>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</si>
  <si>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</si>
  <si>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</si>
  <si>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</si>
  <si>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</si>
  <si>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</si>
  <si>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</si>
  <si>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</si>
  <si>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</si>
  <si>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</si>
  <si>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</si>
  <si>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</si>
  <si>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</si>
  <si>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</si>
  <si>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</si>
  <si>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</si>
  <si>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</si>
  <si>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</si>
  <si>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</si>
  <si>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</si>
  <si>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</si>
  <si>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</si>
  <si>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</si>
  <si>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</si>
  <si>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</si>
  <si>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</si>
  <si>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</si>
  <si>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</si>
  <si>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</si>
  <si>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</si>
  <si>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</si>
  <si>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</si>
  <si>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</si>
  <si>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</si>
  <si>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</si>
  <si>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</si>
  <si>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</si>
  <si>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</si>
  <si>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</si>
  <si>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</si>
  <si>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</si>
  <si>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</si>
  <si>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</si>
  <si>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</si>
  <si>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</si>
  <si>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</si>
  <si>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</si>
  <si>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</si>
  <si>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</si>
  <si>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</si>
  <si>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</si>
  <si>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</si>
  <si>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</si>
  <si>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</si>
  <si>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</si>
  <si>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</si>
  <si>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</si>
  <si>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</si>
  <si>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</si>
  <si>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</si>
  <si>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</si>
  <si>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</si>
  <si>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</si>
  <si>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</si>
  <si>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</si>
  <si>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</si>
  <si>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</si>
  <si>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</si>
  <si>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</si>
  <si>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</si>
  <si>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</si>
  <si>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</si>
  <si>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</si>
  <si>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</si>
  <si>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</si>
  <si>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</si>
  <si>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</si>
  <si>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</si>
  <si>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</si>
  <si>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</si>
  <si>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</si>
  <si>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</si>
  <si>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</si>
  <si>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</si>
  <si>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</si>
  <si>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</si>
  <si>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</si>
  <si>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</si>
  <si>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</si>
  <si>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</si>
  <si>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</si>
  <si>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</si>
  <si>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</si>
  <si>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</si>
  <si>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</si>
  <si>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</si>
  <si>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</si>
  <si>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</si>
  <si>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</si>
  <si>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</si>
  <si>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</si>
  <si>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</si>
  <si>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</si>
  <si>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</si>
  <si>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</si>
  <si>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</si>
  <si>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</si>
  <si>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</si>
  <si>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</si>
  <si>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</si>
  <si>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</si>
  <si>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</si>
  <si>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</si>
  <si>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</si>
  <si>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</si>
  <si>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</si>
  <si>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</si>
  <si>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</si>
  <si>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</si>
  <si>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</si>
  <si>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</si>
  <si>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</si>
  <si>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</si>
  <si>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</si>
  <si>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</si>
  <si>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</si>
  <si>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</si>
  <si>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</si>
  <si>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</si>
  <si>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</si>
  <si>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</si>
  <si>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</si>
  <si>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</si>
  <si>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</si>
  <si>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</si>
  <si>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</si>
  <si>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</si>
  <si>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</si>
  <si>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</si>
  <si>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</si>
  <si>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</si>
  <si>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</si>
  <si>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</si>
  <si>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</si>
  <si>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</si>
  <si>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</si>
  <si>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</si>
  <si>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</si>
  <si>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</si>
  <si>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</si>
  <si>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</si>
  <si>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</si>
  <si>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</si>
  <si>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</si>
  <si>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</si>
  <si>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</si>
  <si>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</si>
  <si>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</si>
  <si>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</si>
  <si>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</si>
  <si>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</si>
  <si>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</si>
  <si>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</si>
  <si>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</si>
  <si>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</si>
  <si>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</si>
  <si>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</si>
  <si>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</si>
  <si>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</si>
  <si>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</si>
  <si>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</si>
  <si>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</si>
  <si>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</si>
  <si>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</si>
  <si>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</si>
  <si>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</si>
  <si>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</si>
  <si>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</si>
  <si>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</si>
  <si>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</si>
  <si>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</si>
  <si>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</si>
  <si>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</si>
  <si>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</si>
  <si>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</si>
  <si>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</si>
  <si>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</si>
  <si>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</si>
  <si>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</si>
  <si>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</si>
  <si>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</si>
  <si>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</si>
  <si>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</si>
  <si>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</si>
  <si>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</si>
  <si>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</si>
  <si>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</si>
  <si>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</si>
  <si>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</si>
  <si>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</si>
  <si>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</si>
  <si>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</si>
  <si>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</si>
  <si>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</si>
  <si>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</si>
  <si>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</si>
  <si>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</si>
  <si>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</si>
  <si>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</si>
  <si>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</si>
  <si>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</si>
  <si>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</si>
  <si>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</si>
  <si>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</si>
  <si>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</si>
  <si>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</si>
  <si>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</si>
  <si>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</si>
  <si>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</si>
  <si>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</si>
  <si>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</si>
  <si>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</si>
  <si>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</si>
  <si>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</si>
  <si>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</si>
  <si>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</si>
  <si>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</si>
  <si>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</si>
  <si>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</si>
  <si>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</si>
  <si>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</si>
  <si>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</si>
  <si>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</si>
  <si>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</si>
  <si>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</si>
  <si>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</si>
  <si>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</si>
  <si>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</si>
  <si>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</si>
  <si>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</si>
  <si>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</si>
  <si>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</si>
  <si>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</si>
  <si>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</si>
  <si>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</si>
  <si>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</si>
  <si>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</si>
  <si>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</si>
  <si>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</si>
  <si>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</si>
  <si>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</si>
  <si>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</si>
  <si>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</si>
  <si>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</si>
  <si>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</si>
  <si>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</si>
  <si>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</si>
  <si>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</si>
  <si>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</si>
  <si>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</si>
  <si>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</si>
  <si>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</si>
  <si>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</si>
  <si>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</si>
  <si>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</si>
  <si>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</si>
  <si>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</si>
  <si>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</si>
  <si>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</si>
  <si>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</si>
  <si>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</si>
  <si>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</si>
  <si>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</si>
  <si>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</si>
  <si>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</si>
  <si>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</si>
  <si>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</si>
  <si>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</si>
  <si>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</si>
  <si>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</si>
  <si>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</si>
  <si>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</si>
  <si>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</si>
  <si>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</si>
  <si>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</si>
  <si>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</si>
  <si>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</si>
  <si>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</si>
  <si>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</si>
  <si>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</si>
  <si>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</si>
  <si>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</si>
  <si>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</si>
  <si>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</si>
  <si>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</si>
  <si>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</si>
  <si>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</si>
  <si>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</si>
  <si>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</si>
  <si>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</si>
  <si>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</si>
  <si>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</si>
  <si>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</si>
  <si>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</si>
  <si>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</si>
  <si>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</si>
  <si>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</si>
  <si>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</si>
  <si>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</si>
  <si>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</si>
  <si>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</si>
  <si>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</si>
  <si>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</si>
  <si>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</si>
  <si>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</si>
  <si>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</si>
  <si>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</si>
  <si>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</si>
  <si>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</si>
  <si>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</si>
  <si>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</si>
  <si>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</si>
  <si>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</si>
  <si>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</si>
  <si>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</si>
  <si>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</si>
  <si>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</si>
  <si>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</si>
  <si>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</si>
  <si>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</si>
  <si>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</si>
  <si>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</si>
  <si>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</si>
  <si>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</si>
  <si>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</si>
  <si>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</si>
  <si>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</si>
  <si>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</si>
  <si>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</si>
  <si>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</si>
  <si>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</si>
  <si>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</si>
  <si>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</si>
  <si>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</si>
  <si>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</si>
  <si>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</si>
  <si>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</si>
  <si>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</si>
  <si>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</si>
  <si>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</si>
  <si>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</si>
  <si>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</si>
  <si>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</si>
  <si>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</si>
  <si>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</si>
  <si>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</si>
  <si>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</si>
  <si>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</si>
  <si>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</si>
  <si>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</si>
  <si>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</si>
  <si>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</si>
  <si>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</si>
  <si>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</si>
  <si>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</si>
  <si>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</si>
  <si>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</si>
  <si>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</si>
  <si>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</si>
  <si>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</si>
  <si>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</si>
  <si>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</si>
  <si>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</si>
  <si>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</si>
  <si>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</si>
  <si>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</si>
  <si>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</si>
  <si>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</si>
  <si>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</si>
  <si>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</si>
  <si>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</si>
  <si>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</si>
  <si>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</si>
  <si>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</si>
  <si>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</si>
  <si>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</si>
  <si>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</si>
  <si>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</si>
  <si>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</si>
  <si>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</si>
  <si>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</si>
  <si>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</si>
  <si>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</si>
  <si>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</si>
  <si>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</si>
  <si>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</si>
  <si>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</si>
  <si>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</si>
  <si>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</si>
  <si>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</si>
  <si>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</si>
  <si>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</si>
  <si>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</si>
  <si>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</si>
  <si>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</si>
  <si>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</si>
  <si>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</si>
  <si>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</si>
  <si>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</si>
  <si>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</si>
  <si>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</si>
  <si>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</si>
  <si>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</si>
  <si>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</si>
  <si>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</si>
  <si>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</si>
  <si>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</si>
  <si>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</si>
  <si>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</si>
  <si>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</si>
  <si>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</si>
  <si>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</si>
  <si>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</si>
  <si>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</si>
  <si>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</si>
  <si>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</si>
  <si>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</si>
  <si>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</si>
  <si>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</si>
  <si>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</si>
  <si>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</si>
  <si>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</si>
  <si>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</si>
  <si>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</si>
  <si>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</si>
  <si>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</si>
  <si>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</si>
  <si>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</si>
  <si>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</si>
  <si>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</si>
  <si>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</si>
  <si>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</si>
  <si>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</si>
  <si>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</si>
  <si>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</si>
  <si>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</si>
  <si>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</si>
  <si>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</si>
  <si>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</si>
  <si>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</si>
  <si>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</si>
  <si>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</si>
  <si>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</si>
  <si>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</si>
  <si>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</si>
  <si>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</si>
  <si>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</si>
  <si>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</si>
  <si>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</si>
  <si>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</si>
  <si>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</si>
  <si>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</si>
  <si>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</si>
  <si>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</si>
  <si>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</si>
  <si>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</si>
  <si>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</si>
  <si>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</si>
  <si>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</si>
  <si>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</si>
  <si>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</si>
  <si>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</si>
  <si>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</si>
  <si>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</si>
  <si>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</si>
  <si>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</si>
  <si>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</si>
  <si>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</si>
  <si>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</si>
  <si>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</si>
  <si>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</si>
  <si>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</si>
  <si>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</si>
  <si>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</si>
  <si>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</si>
  <si>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</si>
  <si>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</si>
  <si>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</si>
  <si>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</si>
  <si>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</si>
  <si>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</si>
  <si>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</si>
  <si>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</si>
  <si>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</si>
  <si>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</si>
  <si>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</si>
  <si>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</si>
  <si>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</si>
  <si>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</si>
  <si>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</si>
  <si>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</si>
  <si>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</si>
  <si>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</si>
  <si>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</si>
  <si>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</si>
  <si>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</si>
  <si>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</si>
  <si>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</si>
  <si>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</si>
  <si>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</si>
  <si>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</si>
  <si>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</si>
  <si>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</si>
  <si>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</si>
  <si>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</si>
  <si>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</si>
  <si>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</si>
  <si>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</si>
  <si>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</si>
  <si>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</si>
  <si>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</si>
  <si>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</si>
  <si>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</si>
  <si>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</si>
  <si>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</si>
  <si>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</si>
  <si>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</si>
  <si>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</si>
  <si>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</si>
  <si>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</si>
  <si>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</si>
  <si>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</si>
  <si>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</si>
  <si>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</si>
  <si>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</si>
  <si>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</si>
  <si>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</si>
  <si>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</si>
  <si>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</si>
  <si>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</si>
  <si>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</si>
  <si>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</si>
  <si>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</si>
  <si>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</si>
  <si>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</si>
  <si>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</si>
  <si>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</si>
  <si>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</si>
  <si>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</si>
  <si>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</si>
  <si>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</si>
  <si>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</si>
  <si>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</si>
  <si>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</si>
  <si>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</si>
  <si>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</si>
  <si>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</si>
  <si>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</si>
  <si>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</si>
  <si>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</si>
  <si>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</si>
  <si>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</si>
  <si>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</si>
  <si>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</si>
  <si>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</si>
  <si>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</si>
  <si>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</si>
  <si>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</si>
  <si>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</si>
  <si>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</si>
  <si>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</si>
  <si>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</si>
  <si>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</si>
  <si>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</si>
  <si>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</si>
  <si>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</si>
  <si>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</si>
  <si>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</si>
  <si>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</si>
  <si>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</si>
  <si>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</si>
  <si>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</si>
  <si>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</si>
  <si>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</si>
  <si>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</si>
  <si>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</si>
  <si>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</si>
  <si>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</si>
  <si>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</si>
  <si>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</si>
  <si>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</si>
  <si>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</si>
  <si>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</si>
  <si>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</si>
  <si>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</si>
  <si>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</si>
  <si>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</si>
  <si>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</si>
  <si>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</si>
  <si>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</si>
  <si>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</si>
  <si>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</si>
  <si>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</si>
  <si>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</si>
  <si>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</si>
  <si>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</si>
  <si>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</si>
  <si>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</si>
  <si>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</si>
  <si>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</si>
  <si>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</si>
  <si>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</si>
  <si>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</si>
  <si>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</si>
  <si>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</si>
  <si>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</si>
  <si>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</si>
  <si>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</si>
  <si>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</si>
  <si>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</si>
  <si>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</si>
  <si>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</si>
  <si>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</si>
  <si>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</si>
  <si>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</si>
  <si>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</si>
  <si>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</si>
  <si>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</si>
  <si>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</si>
  <si>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</si>
  <si>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</si>
  <si>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</si>
  <si>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</si>
  <si>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</si>
  <si>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</si>
  <si>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</si>
  <si>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</si>
  <si>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</si>
  <si>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</si>
  <si>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</si>
  <si>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</si>
  <si>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</si>
  <si>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</si>
  <si>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</si>
  <si>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</si>
  <si>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</si>
  <si>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</si>
  <si>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</si>
  <si>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</si>
  <si>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</si>
  <si>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</si>
  <si>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</si>
  <si>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</si>
  <si>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</si>
  <si>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</si>
  <si>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</si>
  <si>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</si>
  <si>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</si>
  <si>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</si>
  <si>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</si>
  <si>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</si>
  <si>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</si>
  <si>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</si>
  <si>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</si>
  <si>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</si>
  <si>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</si>
  <si>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</si>
  <si>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</si>
  <si>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</si>
  <si>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</si>
  <si>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</si>
  <si>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</si>
  <si>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</si>
  <si>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</si>
  <si>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</si>
  <si>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</si>
  <si>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</si>
  <si>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</si>
  <si>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</si>
  <si>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</si>
  <si>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</si>
  <si>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</si>
  <si>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</si>
  <si>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</si>
  <si>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</si>
  <si>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</si>
  <si>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</si>
  <si>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</si>
  <si>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</si>
  <si>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</si>
  <si>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</si>
  <si>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</si>
  <si>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</si>
  <si>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</si>
  <si>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</si>
  <si>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</si>
  <si>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</si>
  <si>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</si>
  <si>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</si>
  <si>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</si>
  <si>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</si>
  <si>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</si>
  <si>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</si>
  <si>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</si>
  <si>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</si>
  <si>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</si>
  <si>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</si>
  <si>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</si>
  <si>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</si>
  <si>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</si>
  <si>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</si>
  <si>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</si>
  <si>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</si>
  <si>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</si>
  <si>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</si>
  <si>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</si>
  <si>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</si>
  <si>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</si>
  <si>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</si>
  <si>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</si>
  <si>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</si>
  <si>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</si>
  <si>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</si>
  <si>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</si>
  <si>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</si>
  <si>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</si>
  <si>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</si>
  <si>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</si>
  <si>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</si>
  <si>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</si>
  <si>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</si>
  <si>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</si>
  <si>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</si>
  <si>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</si>
  <si>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</si>
  <si>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</si>
  <si>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</si>
  <si>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</si>
  <si>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</si>
  <si>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</si>
  <si>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</si>
  <si>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</si>
  <si>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</si>
  <si>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</si>
  <si>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</si>
  <si>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</si>
  <si>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</si>
  <si>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</si>
  <si>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</si>
  <si>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</si>
  <si>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</si>
  <si>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</si>
  <si>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</si>
  <si>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</si>
  <si>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</si>
  <si>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</si>
  <si>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</si>
  <si>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</si>
  <si>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</si>
  <si>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</si>
  <si>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</si>
  <si>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</si>
  <si>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</si>
  <si>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</si>
  <si>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</si>
  <si>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</si>
  <si>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</si>
  <si>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</si>
  <si>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</si>
  <si>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</si>
  <si>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</si>
  <si>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</si>
  <si>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</si>
  <si>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</si>
  <si>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</si>
  <si>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</si>
  <si>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</si>
  <si>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</si>
  <si>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</si>
  <si>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</si>
  <si>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</si>
  <si>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</si>
  <si>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</si>
  <si>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</si>
  <si>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</si>
  <si>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</si>
  <si>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</si>
  <si>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</si>
  <si>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</si>
  <si>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</si>
  <si>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</si>
  <si>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</si>
  <si>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</si>
  <si>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</si>
  <si>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</si>
  <si>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</si>
  <si>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</si>
  <si>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</si>
  <si>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</si>
  <si>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</si>
  <si>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</si>
  <si>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</si>
  <si>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</si>
  <si>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</si>
  <si>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</si>
  <si>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</si>
  <si>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</si>
  <si>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</si>
  <si>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</si>
  <si>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</si>
  <si>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</si>
  <si>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</si>
  <si>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</si>
  <si>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</si>
  <si>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</si>
  <si>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</si>
  <si>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</si>
  <si>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</si>
  <si>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</si>
  <si>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</si>
  <si>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</si>
  <si>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</si>
  <si>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</si>
  <si>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</si>
  <si>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</si>
  <si>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</si>
  <si>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</si>
  <si>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</si>
  <si>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</si>
  <si>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</si>
  <si>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</si>
  <si>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</si>
  <si>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</si>
  <si>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</si>
  <si>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</si>
  <si>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</si>
  <si>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</si>
  <si>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</si>
  <si>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</si>
  <si>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</si>
  <si>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</si>
  <si>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</si>
  <si>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</si>
  <si>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</si>
  <si>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</si>
  <si>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</si>
  <si>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</si>
  <si>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</si>
  <si>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</si>
  <si>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</si>
  <si>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</si>
  <si>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</si>
  <si>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</si>
  <si>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</si>
  <si>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</si>
  <si>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</si>
  <si>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</si>
  <si>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</si>
  <si>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</si>
  <si>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</si>
  <si>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</si>
  <si>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</si>
  <si>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</si>
  <si>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</si>
  <si>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</si>
  <si>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</si>
  <si>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</si>
  <si>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</si>
  <si>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</si>
  <si>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</si>
  <si>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</si>
  <si>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</si>
  <si>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</si>
  <si>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</si>
  <si>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</si>
  <si>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</si>
  <si>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</si>
  <si>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</si>
  <si>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</si>
  <si>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</si>
  <si>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</si>
  <si>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</si>
  <si>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</si>
  <si>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</si>
  <si>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</si>
  <si>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</si>
  <si>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</si>
  <si>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</si>
  <si>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</si>
  <si>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</si>
  <si>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</si>
  <si>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</si>
  <si>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</si>
  <si>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</si>
  <si>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</si>
  <si>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</si>
  <si>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</si>
  <si>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</si>
  <si>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</si>
  <si>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</si>
  <si>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</si>
  <si>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</si>
  <si>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</si>
  <si>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</si>
  <si>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</si>
  <si>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</si>
  <si>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</si>
  <si>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</si>
  <si>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</si>
  <si>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</si>
  <si>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</si>
  <si>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</si>
  <si>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</si>
  <si>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</si>
  <si>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</si>
  <si>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</si>
  <si>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</si>
  <si>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</si>
  <si>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</si>
  <si>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</si>
  <si>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</si>
  <si>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</si>
  <si>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</si>
  <si>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</si>
  <si>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</si>
  <si>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</si>
  <si>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</si>
  <si>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</si>
  <si>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</si>
  <si>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</si>
  <si>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</si>
  <si>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</si>
  <si>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</si>
  <si>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</si>
  <si>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</si>
  <si>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</si>
  <si>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</si>
  <si>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</si>
  <si>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</si>
  <si>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</si>
  <si>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</si>
  <si>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</si>
  <si>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</si>
  <si>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</si>
  <si>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</si>
  <si>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</si>
  <si>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</si>
  <si>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</si>
  <si>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</si>
  <si>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</si>
  <si>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</si>
  <si>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</si>
  <si>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</si>
  <si>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</si>
  <si>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</si>
  <si>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</si>
  <si>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</si>
  <si>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</si>
  <si>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</si>
  <si>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</si>
  <si>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</si>
  <si>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</si>
  <si>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</si>
  <si>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</si>
  <si>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</si>
  <si>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</si>
  <si>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</si>
  <si>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</si>
  <si>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</si>
  <si>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</si>
  <si>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</si>
  <si>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</si>
  <si>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</si>
  <si>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</si>
  <si>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</si>
  <si>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</si>
  <si>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</si>
  <si>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</si>
  <si>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</si>
  <si>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</si>
  <si>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</si>
  <si>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</si>
  <si>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</si>
  <si>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</si>
  <si>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</si>
  <si>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</si>
  <si>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</si>
  <si>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</si>
  <si>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</si>
  <si>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</si>
  <si>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</si>
  <si>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</si>
  <si>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</si>
  <si>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</si>
  <si>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</si>
  <si>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</si>
  <si>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</si>
  <si>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</si>
  <si>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</si>
  <si>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</si>
  <si>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</si>
  <si>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</si>
  <si>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</si>
  <si>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</si>
  <si>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</si>
  <si>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</si>
  <si>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</si>
  <si>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</si>
  <si>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</si>
  <si>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</si>
  <si>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</si>
  <si>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</si>
  <si>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</si>
  <si>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</si>
  <si>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</si>
  <si>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</si>
  <si>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</si>
  <si>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</si>
  <si>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</si>
  <si>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</si>
  <si>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</si>
  <si>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</si>
  <si>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</si>
  <si>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</si>
  <si>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</si>
  <si>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</si>
  <si>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</si>
  <si>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</si>
  <si>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</si>
  <si>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</si>
  <si>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</si>
  <si>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</si>
  <si>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</si>
  <si>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</si>
  <si>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</si>
  <si>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</si>
  <si>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</si>
  <si>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</si>
  <si>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</si>
  <si>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</si>
  <si>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</si>
  <si>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</si>
  <si>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</si>
  <si>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</si>
  <si>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</si>
  <si>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</si>
  <si>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</si>
  <si>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</si>
  <si>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</si>
  <si>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</si>
  <si>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</si>
  <si>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</si>
  <si>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</si>
  <si>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</si>
  <si>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</si>
  <si>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</si>
  <si>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</si>
  <si>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</si>
  <si>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</si>
  <si>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</si>
  <si>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</si>
  <si>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</si>
  <si>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</si>
  <si>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</si>
  <si>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</si>
  <si>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</si>
  <si>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</si>
  <si>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</si>
  <si>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</si>
  <si>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</si>
  <si>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</si>
  <si>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</si>
  <si>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</si>
  <si>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</si>
  <si>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</si>
  <si>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</si>
  <si>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</si>
  <si>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</si>
  <si>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</si>
  <si>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</si>
  <si>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</si>
  <si>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</si>
  <si>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</si>
  <si>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</si>
  <si>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</si>
  <si>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</si>
  <si>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</si>
  <si>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</si>
  <si>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</si>
  <si>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</si>
  <si>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</si>
  <si>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</si>
  <si>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</si>
  <si>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</si>
  <si>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</si>
  <si>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</si>
  <si>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</si>
  <si>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</si>
  <si>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</si>
  <si>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</si>
  <si>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</si>
  <si>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</si>
  <si>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</si>
  <si>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</si>
  <si>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</si>
  <si>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</si>
  <si>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</si>
  <si>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</si>
  <si>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</si>
  <si>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</si>
  <si>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</si>
  <si>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</si>
  <si>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</si>
  <si>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</si>
  <si>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</si>
  <si>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</si>
  <si>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</si>
  <si>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</si>
  <si>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</si>
  <si>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</si>
  <si>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</si>
  <si>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</si>
  <si>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</si>
  <si>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</si>
  <si>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</si>
  <si>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</si>
  <si>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</si>
  <si>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</si>
  <si>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</si>
  <si>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</si>
  <si>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</si>
  <si>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</si>
  <si>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</si>
  <si>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</si>
  <si>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</si>
  <si>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</si>
  <si>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</si>
  <si>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</si>
  <si>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</si>
  <si>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</si>
  <si>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</si>
  <si>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</si>
  <si>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</si>
  <si>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</si>
  <si>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</si>
  <si>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</si>
  <si>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</si>
  <si>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</si>
  <si>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</si>
  <si>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</si>
  <si>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</si>
  <si>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</si>
  <si>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</si>
  <si>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</si>
  <si>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</si>
  <si>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</si>
  <si>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</si>
  <si>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</si>
  <si>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</si>
  <si>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</si>
  <si>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</si>
  <si>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</si>
  <si>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</si>
  <si>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</si>
  <si>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</si>
  <si>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</si>
  <si>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</si>
  <si>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</si>
  <si>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</si>
  <si>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</si>
  <si>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</si>
  <si>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</si>
  <si>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</si>
  <si>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</si>
  <si>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</si>
  <si>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</si>
  <si>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</si>
  <si>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</si>
  <si>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</si>
  <si>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</si>
  <si>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</si>
  <si>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</si>
  <si>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</si>
  <si>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</si>
  <si>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</si>
  <si>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</si>
  <si>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</si>
  <si>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</si>
  <si>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</si>
  <si>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</si>
  <si>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</si>
  <si>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</si>
  <si>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</si>
  <si>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</si>
  <si>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</si>
  <si>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</si>
  <si>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</si>
  <si>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</si>
  <si>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</si>
  <si>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</si>
  <si>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</si>
  <si>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</si>
  <si>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</si>
  <si>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</si>
  <si>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</si>
  <si>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</si>
  <si>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</si>
  <si>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</si>
  <si>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</si>
  <si>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</si>
  <si>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</si>
  <si>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</si>
  <si>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</si>
  <si>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</si>
  <si>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</si>
  <si>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</si>
  <si>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</si>
  <si>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</si>
  <si>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</si>
  <si>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</si>
  <si>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</si>
  <si>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</si>
  <si>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</si>
  <si>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</si>
  <si>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</si>
  <si>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</si>
  <si>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</si>
  <si>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</si>
  <si>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</si>
  <si>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</si>
  <si>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</si>
  <si>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</si>
  <si>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</si>
  <si>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</si>
  <si>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</si>
  <si>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</si>
  <si>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</si>
  <si>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</si>
  <si>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</si>
  <si>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</si>
  <si>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</si>
  <si>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</si>
  <si>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</si>
  <si>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</si>
  <si>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</si>
  <si>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</si>
  <si>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</si>
  <si>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</si>
  <si>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</si>
  <si>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</si>
  <si>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</si>
  <si>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</si>
  <si>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</si>
  <si>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</si>
  <si>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</si>
  <si>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</si>
  <si>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</si>
  <si>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</si>
  <si>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</si>
  <si>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</si>
  <si>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</si>
  <si>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</si>
  <si>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</si>
  <si>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</si>
  <si>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</si>
  <si>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</si>
  <si>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</si>
  <si>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</si>
  <si>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</si>
  <si>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</si>
  <si>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</si>
  <si>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</si>
  <si>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</si>
  <si>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</si>
  <si>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</si>
  <si>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</si>
  <si>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</si>
  <si>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</si>
  <si>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</si>
  <si>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</si>
  <si>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</si>
  <si>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</si>
  <si>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</si>
  <si>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</si>
  <si>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</si>
  <si>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</si>
  <si>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</si>
  <si>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</si>
  <si>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</si>
  <si>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</si>
  <si>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</si>
  <si>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</si>
  <si>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</si>
  <si>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</si>
  <si>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</si>
  <si>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</si>
  <si>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</si>
  <si>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</si>
  <si>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</si>
  <si>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</si>
  <si>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</si>
  <si>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</si>
  <si>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</si>
  <si>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</si>
  <si>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</si>
  <si>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</si>
  <si>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</si>
  <si>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</si>
  <si>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</si>
  <si>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</si>
  <si>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</si>
  <si>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</si>
  <si>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</si>
  <si>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</si>
  <si>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</si>
  <si>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</si>
  <si>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</si>
  <si>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</si>
  <si>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</si>
  <si>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</si>
  <si>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</si>
  <si>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</si>
  <si>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</si>
  <si>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</si>
  <si>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</si>
  <si>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</si>
  <si>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</si>
  <si>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</si>
  <si>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</si>
  <si>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</si>
  <si>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</si>
  <si>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</si>
  <si>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</si>
  <si>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</si>
  <si>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</si>
  <si>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</si>
  <si>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</si>
  <si>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</si>
  <si>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</si>
  <si>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</si>
  <si>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</si>
  <si>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</si>
  <si>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</si>
  <si>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</si>
  <si>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</si>
  <si>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</si>
  <si>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</si>
  <si>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</si>
  <si>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</si>
  <si>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</si>
  <si>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</si>
  <si>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</si>
  <si>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</si>
  <si>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</si>
  <si>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</si>
  <si>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</si>
  <si>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</si>
  <si>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</si>
  <si>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</si>
  <si>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</si>
  <si>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</si>
  <si>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</si>
  <si>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</si>
  <si>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</si>
  <si>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</si>
  <si>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</si>
  <si>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</si>
  <si>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</si>
  <si>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</si>
  <si>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</si>
  <si>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</si>
  <si>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</si>
  <si>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</si>
  <si>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</si>
  <si>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</si>
  <si>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</si>
  <si>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</si>
  <si>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</si>
  <si>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</si>
  <si>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</si>
  <si>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</si>
  <si>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</si>
  <si>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</si>
  <si>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</si>
  <si>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</si>
  <si>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</si>
  <si>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</si>
  <si>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</si>
  <si>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</si>
  <si>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</si>
  <si>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</si>
  <si>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</si>
  <si>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</si>
  <si>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</si>
  <si>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</si>
  <si>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</si>
  <si>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</si>
  <si>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</si>
  <si>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</si>
  <si>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</si>
  <si>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</si>
  <si>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</si>
  <si>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</si>
  <si>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</si>
  <si>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</si>
  <si>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</si>
  <si>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</si>
  <si>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</si>
  <si>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</si>
  <si>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</si>
  <si>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</si>
  <si>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</si>
  <si>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</si>
  <si>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</si>
  <si>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</si>
  <si>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</si>
  <si>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</si>
  <si>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</si>
  <si>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</si>
  <si>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</si>
  <si>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</si>
  <si>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</si>
  <si>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</si>
  <si>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</si>
  <si>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</si>
  <si>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</si>
  <si>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</si>
  <si>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</si>
  <si>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</si>
  <si>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</si>
  <si>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</si>
  <si>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</si>
  <si>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</si>
  <si>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</si>
  <si>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</si>
  <si>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</si>
  <si>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</si>
  <si>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</si>
  <si>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</si>
  <si>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</si>
  <si>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</si>
  <si>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</si>
  <si>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</si>
  <si>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</si>
  <si>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</si>
  <si>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</si>
  <si>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</si>
  <si>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</si>
  <si>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</si>
  <si>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</si>
  <si>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</si>
  <si>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</si>
  <si>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</si>
  <si>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</si>
  <si>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</si>
  <si>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</si>
  <si>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</si>
  <si>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</si>
  <si>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</si>
  <si>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</si>
  <si>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</si>
  <si>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</si>
  <si>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</si>
  <si>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</si>
  <si>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</si>
  <si>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</si>
  <si>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</si>
  <si>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</si>
  <si>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</si>
  <si>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</si>
  <si>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</si>
  <si>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</si>
  <si>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</si>
  <si>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</si>
  <si>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</si>
  <si>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</si>
  <si>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</si>
  <si>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</si>
  <si>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</si>
  <si>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</si>
  <si>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</si>
  <si>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</si>
  <si>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</si>
  <si>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</si>
  <si>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</si>
  <si>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</si>
  <si>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</si>
  <si>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</si>
  <si>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</si>
  <si>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</si>
  <si>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</si>
  <si>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</si>
  <si>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</si>
  <si>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</si>
  <si>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</si>
  <si>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</si>
  <si>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</si>
  <si>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</si>
  <si>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</si>
  <si>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</si>
  <si>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</si>
  <si>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</si>
  <si>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</si>
  <si>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</si>
  <si>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</si>
  <si>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</si>
  <si>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</si>
  <si>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</si>
  <si>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</si>
  <si>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</si>
  <si>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</si>
  <si>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</si>
  <si>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</si>
  <si>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</si>
  <si>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</si>
  <si>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</si>
  <si>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</si>
  <si>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</si>
  <si>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</si>
  <si>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</si>
  <si>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</si>
  <si>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</si>
  <si>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</si>
  <si>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</si>
  <si>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</si>
  <si>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</si>
  <si>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</si>
  <si>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</si>
  <si>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</si>
  <si>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</si>
  <si>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</si>
  <si>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</si>
  <si>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</si>
  <si>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</si>
  <si>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</si>
  <si>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</si>
  <si>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</si>
  <si>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</si>
  <si>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</si>
  <si>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</si>
  <si>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</si>
  <si>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</si>
  <si>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</si>
  <si>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</si>
  <si>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</si>
  <si>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</si>
  <si>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</si>
  <si>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</si>
  <si>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</si>
  <si>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</si>
  <si>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</si>
  <si>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</si>
  <si>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</si>
  <si>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</si>
  <si>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</si>
  <si>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</si>
  <si>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</si>
  <si>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</si>
  <si>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</si>
  <si>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</si>
  <si>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</si>
  <si>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</si>
  <si>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</si>
  <si>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</si>
  <si>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</si>
  <si>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</si>
  <si>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</si>
  <si>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</si>
  <si>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</si>
  <si>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</si>
  <si>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</si>
  <si>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</si>
  <si>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</si>
  <si>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</si>
  <si>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</si>
  <si>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</si>
  <si>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</si>
  <si>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</si>
  <si>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</si>
  <si>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</si>
  <si>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</si>
  <si>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</si>
  <si>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</si>
  <si>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</si>
  <si>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</si>
  <si>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</si>
  <si>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</si>
  <si>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</si>
  <si>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</si>
  <si>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</si>
  <si>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</si>
  <si>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</si>
  <si>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</si>
  <si>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</si>
  <si>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</si>
  <si>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</si>
  <si>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</si>
  <si>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</si>
  <si>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</si>
  <si>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</si>
  <si>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</si>
  <si>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</si>
  <si>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</si>
  <si>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</si>
  <si>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</si>
  <si>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</si>
  <si>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</si>
  <si>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</si>
  <si>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</si>
  <si>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</si>
  <si>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</si>
  <si>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</si>
  <si>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</si>
  <si>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</si>
  <si>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</si>
  <si>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</si>
  <si>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</si>
  <si>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</si>
  <si>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</si>
  <si>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</si>
  <si>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</si>
  <si>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</si>
  <si>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</si>
  <si>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</si>
  <si>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</si>
  <si>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</si>
  <si>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</si>
  <si>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</si>
  <si>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</si>
  <si>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</si>
  <si>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</si>
  <si>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</si>
  <si>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</si>
  <si>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</si>
  <si>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</si>
  <si>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</si>
  <si>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</si>
  <si>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</si>
  <si>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</si>
  <si>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</si>
  <si>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</si>
  <si>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</si>
  <si>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</si>
  <si>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</si>
  <si>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</si>
  <si>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</si>
  <si>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</si>
  <si>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</si>
  <si>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</si>
  <si>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</si>
  <si>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</si>
  <si>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</si>
  <si>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</si>
  <si>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</si>
  <si>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</si>
  <si>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</si>
  <si>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</si>
  <si>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</si>
  <si>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</si>
  <si>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</si>
  <si>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</si>
  <si>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</si>
  <si>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</si>
  <si>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</si>
  <si>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</si>
  <si>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</si>
  <si>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</si>
  <si>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</si>
  <si>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</si>
  <si>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</si>
  <si>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</si>
  <si>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</si>
  <si>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</si>
  <si>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</si>
  <si>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</si>
  <si>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</si>
  <si>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</si>
  <si>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</si>
  <si>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</si>
  <si>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</si>
  <si>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</si>
  <si>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</si>
  <si>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</si>
  <si>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</si>
  <si>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</si>
  <si>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</si>
  <si>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</si>
  <si>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</si>
  <si>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</si>
  <si>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</si>
  <si>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</si>
  <si>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</si>
  <si>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</si>
  <si>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</si>
  <si>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</si>
  <si>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</si>
  <si>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</si>
  <si>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</si>
  <si>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</si>
  <si>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</si>
  <si>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</si>
  <si>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</si>
  <si>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</si>
  <si>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</si>
  <si>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</si>
  <si>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</si>
  <si>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</si>
  <si>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</si>
  <si>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</si>
  <si>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</si>
  <si>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</si>
  <si>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</si>
  <si>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</si>
  <si>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</si>
  <si>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</si>
  <si>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</si>
  <si>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</si>
  <si>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</si>
  <si>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</si>
  <si>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</si>
  <si>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</si>
  <si>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</si>
  <si>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</si>
  <si>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</si>
  <si>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</si>
  <si>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</si>
  <si>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</si>
  <si>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</si>
  <si>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</si>
  <si>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</si>
  <si>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</si>
  <si>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</si>
  <si>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</si>
  <si>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</si>
  <si>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</si>
  <si>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</si>
  <si>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</si>
  <si>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</si>
  <si>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</si>
  <si>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</si>
  <si>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</si>
  <si>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</si>
  <si>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</si>
  <si>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</si>
  <si>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</si>
  <si>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</si>
  <si>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</si>
  <si>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</si>
  <si>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</si>
  <si>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</si>
  <si>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</si>
  <si>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</si>
  <si>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</si>
  <si>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</si>
  <si>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</si>
  <si>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</si>
  <si>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</si>
  <si>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</si>
  <si>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</si>
  <si>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</si>
  <si>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</si>
  <si>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</si>
  <si>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</si>
  <si>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</si>
  <si>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</si>
  <si>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</si>
  <si>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</si>
  <si>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</si>
  <si>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</si>
  <si>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</si>
  <si>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</si>
  <si>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</si>
  <si>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</si>
  <si>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</si>
  <si>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</si>
  <si>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</si>
  <si>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</si>
  <si>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</si>
  <si>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</si>
  <si>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</si>
  <si>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</si>
  <si>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</si>
  <si>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</si>
  <si>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</si>
  <si>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</si>
  <si>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</si>
  <si>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</si>
  <si>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</si>
  <si>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</si>
  <si>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</si>
  <si>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</si>
  <si>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</si>
  <si>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</si>
  <si>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</si>
  <si>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</si>
  <si>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</si>
  <si>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</si>
  <si>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</si>
  <si>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</si>
  <si>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</si>
  <si>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</si>
  <si>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</si>
  <si>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</si>
  <si>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</si>
  <si>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</si>
  <si>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</si>
  <si>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</si>
  <si>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</si>
  <si>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</si>
  <si>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</si>
  <si>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</si>
  <si>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</si>
  <si>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</si>
  <si>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</si>
  <si>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</si>
  <si>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</si>
  <si>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</si>
  <si>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</si>
  <si>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</si>
  <si>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</si>
  <si>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</si>
  <si>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</si>
  <si>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</si>
  <si>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</si>
  <si>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</si>
  <si>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</si>
  <si>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</si>
  <si>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</si>
  <si>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</si>
  <si>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</si>
  <si>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</si>
  <si>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</si>
  <si>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</si>
  <si>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</si>
  <si>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</si>
  <si>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</si>
  <si>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</si>
  <si>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</si>
  <si>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</si>
  <si>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</si>
  <si>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</si>
  <si>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</si>
  <si>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</si>
  <si>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</si>
  <si>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</si>
  <si>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</si>
  <si>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</si>
  <si>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</si>
  <si>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</si>
  <si>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</si>
  <si>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</si>
  <si>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</si>
  <si>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</si>
  <si>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</si>
  <si>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</si>
  <si>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</si>
  <si>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</si>
  <si>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</si>
  <si>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</si>
  <si>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</si>
  <si>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</si>
  <si>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</si>
  <si>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</si>
  <si>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</si>
  <si>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</si>
  <si>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</si>
  <si>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</si>
  <si>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</si>
  <si>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</si>
  <si>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</si>
  <si>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</si>
  <si>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</si>
  <si>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</si>
  <si>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</si>
  <si>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</si>
  <si>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</si>
  <si>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</si>
  <si>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</si>
  <si>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</si>
  <si>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</si>
  <si>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</si>
  <si>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</si>
  <si>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</si>
  <si>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</si>
  <si>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</si>
  <si>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</si>
  <si>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</si>
  <si>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</si>
  <si>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</si>
  <si>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</si>
  <si>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</si>
  <si>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</si>
  <si>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</si>
  <si>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</si>
  <si>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</si>
  <si>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</si>
  <si>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</si>
  <si>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</si>
  <si>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</si>
  <si>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</si>
  <si>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</si>
  <si>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</si>
  <si>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</si>
  <si>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</si>
  <si>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</si>
  <si>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</si>
  <si>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</si>
  <si>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</si>
  <si>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</si>
  <si>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</si>
  <si>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</si>
  <si>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</si>
  <si>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</si>
  <si>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</si>
  <si>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</si>
  <si>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</si>
  <si>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</si>
  <si>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</si>
  <si>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</si>
  <si>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</si>
  <si>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</si>
  <si>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</si>
  <si>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</si>
  <si>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</si>
  <si>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</si>
  <si>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</si>
  <si>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</si>
  <si>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</si>
  <si>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</si>
  <si>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</si>
  <si>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</si>
  <si>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</si>
  <si>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</si>
  <si>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</si>
  <si>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</si>
  <si>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</si>
  <si>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</si>
  <si>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</si>
  <si>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</si>
  <si>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</si>
  <si>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</si>
  <si>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</si>
  <si>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</si>
  <si>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</si>
  <si>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</si>
  <si>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</si>
  <si>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</si>
  <si>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</si>
  <si>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</si>
  <si>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</si>
  <si>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</si>
  <si>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</si>
  <si>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</si>
  <si>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</si>
  <si>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</si>
  <si>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</si>
  <si>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</si>
  <si>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</si>
  <si>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</si>
  <si>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</si>
  <si>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</si>
  <si>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</si>
  <si>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</si>
  <si>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</si>
  <si>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</si>
  <si>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</si>
  <si>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</si>
  <si>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</si>
  <si>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</si>
  <si>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</si>
  <si>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</si>
  <si>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</si>
  <si>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</si>
  <si>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</si>
  <si>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</si>
  <si>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</si>
  <si>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</si>
  <si>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</si>
  <si>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</si>
  <si>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</si>
  <si>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</si>
  <si>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</si>
  <si>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</si>
  <si>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</si>
  <si>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</si>
  <si>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</si>
  <si>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</si>
  <si>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</si>
  <si>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</si>
  <si>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</si>
  <si>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</si>
  <si>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</si>
  <si>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</si>
  <si>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</si>
  <si>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</si>
  <si>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</si>
  <si>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</si>
  <si>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</si>
  <si>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</si>
  <si>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</si>
  <si>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</si>
  <si>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</si>
  <si>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</si>
  <si>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</si>
  <si>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</si>
  <si>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</si>
  <si>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</si>
  <si>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</si>
  <si>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</si>
  <si>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</si>
  <si>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</si>
  <si>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</si>
  <si>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</si>
  <si>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</si>
  <si>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</si>
  <si>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</si>
  <si>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</si>
  <si>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</si>
  <si>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</si>
  <si>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</si>
  <si>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</si>
  <si>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</si>
  <si>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</si>
  <si>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</si>
  <si>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</si>
  <si>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</si>
  <si>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</si>
  <si>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</si>
  <si>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</si>
  <si>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</si>
  <si>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</si>
  <si>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</si>
  <si>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</si>
  <si>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</si>
  <si>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</si>
  <si>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</si>
  <si>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</si>
  <si>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</si>
  <si>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</si>
  <si>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</si>
  <si>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</si>
  <si>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</si>
  <si>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</si>
  <si>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</si>
  <si>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</si>
  <si>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</si>
  <si>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</si>
  <si>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</si>
  <si>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</si>
  <si>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</si>
  <si>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</si>
  <si>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</si>
  <si>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</si>
  <si>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</si>
  <si>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</si>
  <si>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</si>
  <si>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</si>
  <si>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</si>
  <si>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</si>
  <si>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</si>
  <si>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</si>
  <si>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</si>
  <si>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</si>
  <si>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</si>
  <si>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</si>
  <si>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</si>
  <si>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</si>
  <si>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</si>
  <si>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</si>
  <si>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</si>
  <si>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</si>
  <si>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</si>
  <si>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</si>
  <si>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</si>
  <si>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</si>
  <si>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</si>
  <si>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</si>
  <si>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</si>
  <si>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</si>
  <si>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</si>
  <si>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</si>
  <si>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</si>
  <si>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</si>
  <si>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</si>
  <si>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</si>
  <si>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</si>
  <si>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</si>
  <si>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</si>
  <si>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</si>
  <si>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</si>
  <si>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</si>
  <si>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</si>
  <si>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</si>
  <si>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</si>
  <si>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</si>
  <si>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</si>
  <si>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</si>
  <si>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</si>
  <si>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</si>
  <si>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</si>
  <si>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</si>
  <si>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</si>
  <si>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</si>
  <si>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</si>
  <si>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</si>
  <si>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</si>
  <si>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</si>
  <si>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</si>
  <si>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</si>
  <si>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</si>
  <si>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</si>
  <si>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</si>
  <si>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</si>
  <si>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</si>
  <si>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</si>
  <si>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</si>
  <si>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</si>
  <si>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</si>
  <si>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</si>
  <si>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</si>
  <si>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</si>
  <si>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</si>
  <si>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</si>
  <si>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</si>
  <si>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</si>
  <si>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</si>
  <si>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</si>
  <si>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</si>
  <si>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</si>
  <si>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</si>
  <si>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</si>
  <si>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</si>
  <si>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</si>
  <si>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</si>
  <si>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</si>
  <si>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</si>
  <si>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</si>
  <si>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</si>
  <si>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</si>
  <si>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</si>
  <si>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</si>
  <si>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</si>
  <si>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</si>
  <si>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</si>
  <si>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</si>
  <si>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</si>
  <si>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</si>
  <si>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</si>
  <si>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</si>
  <si>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</si>
  <si>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</si>
  <si>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</si>
  <si>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</si>
  <si>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</si>
  <si>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</si>
  <si>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</si>
  <si>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</si>
  <si>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</si>
  <si>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</si>
  <si>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</si>
  <si>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</si>
  <si>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</si>
  <si>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</si>
  <si>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</si>
  <si>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</si>
  <si>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</si>
  <si>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</si>
  <si>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</si>
  <si>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</si>
  <si>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</si>
  <si>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</si>
  <si>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</si>
  <si>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</si>
  <si>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</si>
  <si>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</si>
  <si>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</si>
  <si>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</si>
  <si>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</si>
  <si>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</si>
  <si>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</si>
  <si>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</si>
  <si>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</si>
  <si>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</si>
  <si>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</si>
  <si>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</si>
  <si>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</si>
  <si>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</si>
  <si>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</si>
  <si>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</si>
  <si>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</si>
  <si>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</si>
  <si>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</si>
  <si>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</si>
  <si>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</si>
  <si>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</si>
  <si>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</si>
  <si>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</si>
  <si>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</si>
  <si>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</si>
  <si>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</si>
  <si>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</si>
  <si>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</si>
  <si>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</si>
  <si>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</si>
  <si>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</si>
  <si>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</si>
  <si>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</si>
  <si>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</si>
  <si>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</si>
  <si>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</si>
  <si>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</si>
  <si>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</si>
  <si>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</si>
  <si>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</si>
  <si>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</si>
  <si>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</si>
  <si>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</si>
  <si>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</si>
  <si>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</si>
  <si>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</si>
  <si>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</si>
  <si>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</si>
  <si>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</si>
  <si>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</si>
  <si>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</si>
  <si>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</si>
  <si>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</si>
  <si>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</si>
  <si>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</si>
  <si>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</si>
  <si>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</si>
  <si>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</si>
  <si>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</si>
  <si>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</si>
  <si>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</si>
  <si>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</si>
  <si>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</si>
  <si>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</si>
  <si>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</si>
  <si>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</si>
  <si>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</si>
  <si>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</si>
  <si>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</si>
  <si>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</si>
  <si>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</si>
  <si>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</si>
  <si>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</si>
  <si>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</si>
  <si>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</si>
  <si>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</si>
  <si>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</si>
  <si>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</si>
  <si>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</si>
  <si>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</si>
  <si>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</si>
  <si>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</si>
  <si>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</si>
  <si>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</si>
  <si>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</si>
  <si>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</si>
  <si>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</si>
  <si>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</si>
  <si>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</si>
  <si>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</si>
  <si>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</si>
  <si>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</si>
  <si>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</si>
  <si>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</si>
  <si>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</si>
  <si>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</si>
  <si>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</si>
  <si>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</si>
  <si>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</si>
  <si>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</si>
  <si>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</si>
  <si>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</si>
  <si>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</si>
  <si>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</si>
  <si>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</si>
  <si>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</si>
  <si>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</si>
  <si>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</si>
  <si>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</si>
  <si>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</si>
  <si>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</si>
  <si>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</si>
  <si>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</si>
  <si>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</si>
  <si>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</si>
  <si>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</si>
  <si>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</si>
  <si>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</si>
  <si>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</si>
  <si>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</si>
  <si>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</si>
  <si>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</si>
  <si>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</si>
  <si>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</si>
  <si>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</si>
  <si>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</si>
  <si>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</si>
  <si>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</si>
  <si>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</si>
  <si>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</si>
  <si>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</si>
  <si>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</si>
  <si>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</si>
  <si>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</si>
  <si>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</si>
  <si>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</si>
  <si>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</si>
  <si>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</si>
  <si>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</si>
  <si>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</si>
  <si>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</si>
  <si>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</si>
  <si>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</si>
  <si>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</si>
  <si>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</si>
  <si>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</si>
  <si>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</si>
  <si>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</si>
  <si>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</si>
  <si>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</si>
  <si>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</si>
  <si>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</si>
  <si>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</si>
  <si>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</si>
  <si>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</si>
  <si>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</si>
  <si>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</si>
  <si>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</si>
  <si>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</si>
  <si>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</si>
  <si>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</si>
  <si>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</si>
  <si>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</si>
  <si>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</si>
  <si>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</si>
  <si>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</si>
  <si>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</si>
  <si>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</si>
  <si>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</si>
  <si>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</si>
  <si>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</si>
  <si>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</si>
  <si>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</si>
  <si>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</si>
  <si>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</si>
  <si>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</si>
  <si>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</si>
  <si>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</si>
  <si>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</si>
  <si>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</si>
  <si>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</si>
  <si>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</si>
  <si>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</si>
  <si>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</si>
  <si>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</si>
  <si>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</si>
  <si>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</si>
  <si>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</si>
  <si>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</si>
  <si>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</si>
  <si>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</si>
  <si>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</si>
  <si>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</si>
  <si>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</si>
  <si>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</si>
  <si>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</si>
  <si>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</si>
  <si>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</si>
  <si>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</si>
  <si>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</si>
  <si>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</si>
  <si>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</si>
  <si>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</si>
  <si>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</si>
  <si>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</si>
  <si>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</si>
  <si>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</si>
  <si>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</si>
  <si>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</si>
  <si>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</si>
  <si>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</si>
  <si>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</si>
  <si>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</si>
  <si>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</si>
  <si>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</si>
  <si>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</si>
  <si>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</si>
  <si>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</si>
  <si>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</si>
  <si>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</si>
  <si>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</si>
  <si>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</si>
  <si>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</si>
  <si>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</si>
  <si>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</si>
  <si>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</si>
  <si>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</si>
  <si>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</si>
  <si>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</si>
  <si>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</si>
  <si>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</si>
  <si>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</si>
  <si>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</si>
  <si>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</si>
  <si>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</si>
  <si>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</si>
  <si>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</si>
  <si>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</si>
  <si>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</si>
  <si>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</si>
  <si>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</si>
  <si>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</si>
  <si>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</si>
  <si>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</si>
  <si>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</si>
  <si>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</si>
  <si>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</si>
  <si>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</si>
  <si>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</si>
  <si>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</si>
  <si>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</si>
  <si>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</si>
  <si>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</si>
  <si>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</si>
  <si>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</si>
  <si>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</si>
  <si>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</si>
  <si>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</si>
  <si>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</si>
  <si>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</si>
  <si>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</si>
  <si>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</si>
  <si>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</si>
  <si>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</si>
  <si>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</si>
  <si>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</si>
  <si>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</si>
  <si>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</si>
  <si>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</si>
  <si>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</si>
  <si>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</si>
  <si>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</si>
  <si>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</si>
  <si>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</si>
  <si>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</si>
  <si>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</si>
  <si>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</si>
  <si>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</si>
  <si>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</si>
  <si>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</si>
  <si>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</si>
  <si>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</si>
  <si>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</si>
  <si>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</si>
  <si>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</si>
  <si>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</si>
  <si>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</si>
  <si>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</si>
  <si>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</si>
  <si>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</si>
  <si>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</si>
  <si>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</si>
  <si>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</si>
  <si>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</si>
  <si>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</si>
  <si>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</si>
  <si>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</si>
  <si>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</si>
  <si>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</si>
  <si>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</si>
  <si>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</si>
  <si>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</si>
  <si>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</si>
  <si>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</si>
  <si>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</si>
  <si>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</si>
  <si>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</si>
  <si>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</si>
  <si>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</si>
  <si>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</si>
  <si>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</si>
  <si>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</si>
  <si>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</si>
  <si>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</si>
  <si>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</si>
  <si>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</si>
  <si>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</si>
  <si>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</si>
  <si>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</si>
  <si>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</si>
  <si>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</si>
  <si>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</si>
  <si>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</si>
  <si>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</si>
  <si>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</si>
  <si>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</si>
  <si>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</si>
  <si>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</si>
  <si>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</si>
  <si>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</si>
  <si>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</si>
  <si>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</si>
  <si>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</si>
  <si>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</si>
  <si>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</si>
  <si>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</si>
  <si>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</si>
  <si>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</si>
  <si>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</si>
  <si>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</si>
  <si>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</si>
  <si>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</si>
  <si>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</si>
  <si>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</si>
  <si>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</si>
  <si>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</si>
  <si>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</si>
  <si>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</si>
  <si>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</si>
  <si>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</si>
  <si>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</si>
  <si>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</si>
  <si>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</si>
  <si>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</si>
  <si>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</si>
  <si>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</si>
  <si>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</si>
  <si>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</si>
  <si>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</si>
  <si>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</si>
  <si>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</si>
  <si>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</si>
  <si>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</si>
  <si>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</si>
  <si>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</si>
  <si>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</si>
  <si>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</si>
  <si>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</si>
  <si>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</si>
  <si>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</si>
  <si>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</si>
  <si>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</si>
  <si>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</si>
  <si>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</si>
  <si>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</si>
  <si>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</si>
  <si>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</si>
  <si>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</si>
  <si>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</si>
  <si>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</si>
  <si>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</si>
  <si>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</si>
  <si>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</si>
  <si>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</si>
  <si>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</si>
  <si>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</si>
  <si>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</si>
  <si>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</si>
  <si>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</si>
  <si>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</si>
  <si>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</si>
  <si>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</si>
  <si>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</si>
  <si>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</si>
  <si>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</si>
  <si>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</si>
  <si>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</si>
  <si>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</si>
  <si>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</si>
  <si>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</si>
  <si>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</si>
  <si>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</si>
  <si>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</si>
  <si>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</si>
  <si>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</si>
  <si>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</si>
  <si>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</si>
  <si>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</si>
  <si>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</si>
  <si>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</si>
  <si>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</si>
  <si>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</si>
  <si>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</si>
  <si>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</si>
  <si>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</si>
  <si>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</si>
  <si>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</si>
  <si>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</si>
  <si>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</si>
  <si>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</si>
  <si>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</si>
  <si>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</si>
  <si>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</si>
  <si>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</si>
  <si>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</si>
  <si>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</si>
  <si>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</si>
  <si>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</si>
  <si>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</si>
  <si>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</si>
  <si>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</si>
  <si>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</si>
  <si>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</si>
  <si>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</si>
  <si>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</si>
  <si>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</si>
  <si>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</si>
  <si>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</si>
  <si>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</si>
  <si>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</si>
  <si>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</si>
  <si>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</si>
  <si>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</si>
  <si>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</si>
  <si>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</si>
  <si>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</si>
  <si>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</si>
  <si>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</si>
  <si>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</si>
  <si>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</si>
  <si>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</si>
  <si>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</si>
  <si>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</si>
  <si>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</si>
  <si>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</si>
  <si>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</si>
  <si>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</si>
  <si>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</si>
  <si>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</si>
  <si>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</si>
  <si>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</si>
  <si>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</si>
  <si>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</si>
  <si>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</si>
  <si>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</si>
  <si>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</si>
  <si>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</si>
  <si>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</si>
  <si>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</si>
  <si>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</si>
  <si>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</si>
  <si>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</si>
  <si>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</si>
  <si>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</si>
  <si>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</si>
  <si>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</si>
  <si>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</si>
  <si>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</si>
  <si>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</si>
  <si>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</si>
  <si>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</si>
  <si>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</si>
  <si>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</si>
  <si>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</si>
  <si>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</si>
  <si>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</si>
  <si>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</si>
  <si>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</si>
  <si>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</si>
  <si>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</si>
  <si>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</si>
  <si>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</si>
  <si>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</si>
  <si>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</si>
  <si>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</si>
  <si>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</si>
  <si>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</si>
  <si>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</si>
  <si>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</si>
  <si>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</si>
  <si>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</si>
  <si>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</si>
  <si>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</si>
  <si>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</si>
  <si>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</si>
  <si>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</si>
  <si>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</si>
  <si>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</si>
  <si>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</si>
  <si>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</si>
  <si>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</si>
  <si>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</si>
  <si>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</si>
  <si>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</si>
  <si>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</si>
  <si>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</si>
  <si>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</si>
  <si>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</si>
  <si>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</si>
  <si>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</si>
  <si>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</si>
  <si>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</si>
  <si>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</si>
  <si>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</si>
  <si>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</si>
  <si>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</si>
  <si>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</si>
  <si>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</si>
  <si>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</si>
  <si>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</si>
  <si>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</si>
  <si>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</si>
  <si>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</si>
  <si>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</si>
  <si>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</si>
  <si>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</si>
  <si>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</si>
  <si>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</si>
  <si>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</si>
  <si>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</si>
  <si>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</si>
  <si>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</si>
  <si>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</si>
  <si>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</si>
  <si>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</si>
  <si>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</si>
  <si>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</si>
  <si>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</si>
  <si>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</si>
  <si>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</si>
  <si>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</si>
  <si>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</si>
  <si>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</si>
  <si>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</si>
  <si>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</si>
  <si>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</si>
  <si>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</si>
  <si>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</si>
  <si>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</si>
  <si>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</si>
  <si>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</si>
  <si>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</si>
  <si>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</si>
  <si>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</si>
  <si>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</si>
  <si>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</si>
  <si>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</si>
  <si>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</si>
  <si>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</si>
  <si>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</si>
  <si>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</si>
  <si>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</si>
  <si>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</si>
  <si>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</si>
  <si>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</si>
  <si>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</si>
  <si>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</si>
  <si>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</si>
  <si>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</si>
  <si>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</si>
  <si>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</si>
  <si>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</si>
  <si>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</si>
  <si>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</si>
  <si>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</si>
  <si>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</si>
  <si>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</si>
  <si>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</si>
  <si>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</si>
  <si>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</si>
  <si>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</si>
  <si>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</si>
  <si>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</si>
  <si>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</si>
  <si>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</si>
  <si>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</si>
  <si>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</si>
  <si>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</si>
  <si>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</si>
  <si>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</si>
  <si>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</si>
  <si>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</si>
  <si>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</si>
  <si>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</si>
  <si>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</si>
  <si>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</si>
  <si>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</si>
  <si>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</si>
  <si>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</si>
  <si>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</si>
  <si>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</si>
  <si>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</si>
  <si>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</si>
  <si>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</si>
  <si>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</si>
  <si>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</si>
  <si>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</si>
  <si>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</si>
  <si>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</si>
  <si>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</si>
  <si>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</si>
  <si>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</si>
  <si>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</si>
  <si>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</si>
  <si>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</si>
  <si>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</si>
  <si>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</si>
  <si>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</si>
  <si>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</si>
  <si>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</si>
  <si>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</si>
  <si>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</si>
  <si>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</si>
  <si>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</si>
  <si>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</si>
  <si>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</si>
  <si>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</si>
  <si>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</si>
  <si>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</si>
  <si>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</si>
  <si>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</si>
  <si>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</si>
  <si>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</si>
  <si>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</si>
  <si>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</si>
  <si>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</si>
  <si>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</si>
  <si>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</si>
  <si>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</si>
  <si>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</si>
  <si>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</si>
  <si>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</si>
  <si>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</si>
  <si>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</si>
  <si>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</si>
  <si>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</si>
  <si>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</si>
  <si>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</si>
  <si>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</si>
  <si>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</si>
  <si>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</si>
  <si>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</si>
  <si>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</si>
  <si>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</si>
  <si>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</si>
  <si>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</si>
  <si>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</si>
  <si>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</si>
  <si>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</si>
  <si>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</si>
  <si>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</si>
  <si>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</si>
  <si>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</si>
  <si>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</si>
  <si>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</si>
  <si>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</si>
  <si>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</si>
  <si>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</si>
  <si>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</si>
  <si>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</si>
  <si>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</si>
  <si>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</si>
  <si>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</si>
  <si>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</si>
  <si>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</si>
  <si>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</si>
  <si>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</si>
  <si>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</si>
  <si>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</si>
  <si>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</si>
  <si>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</si>
  <si>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</si>
  <si>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</si>
  <si>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</si>
  <si>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</si>
  <si>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</si>
  <si>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</si>
  <si>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</si>
  <si>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</si>
  <si>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</si>
  <si>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</si>
  <si>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</si>
  <si>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</si>
  <si>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</si>
  <si>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</si>
  <si>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</si>
  <si>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</si>
  <si>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</si>
  <si>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</si>
  <si>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</si>
  <si>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</si>
  <si>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</si>
  <si>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</si>
  <si>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</si>
  <si>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</si>
  <si>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</si>
  <si>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</si>
  <si>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</si>
  <si>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</si>
  <si>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</si>
  <si>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</si>
  <si>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</si>
  <si>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</si>
  <si>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</si>
  <si>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</si>
  <si>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</si>
  <si>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</si>
  <si>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</si>
  <si>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</si>
  <si>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</si>
  <si>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</si>
  <si>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</si>
  <si>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</si>
  <si>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</si>
  <si>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</si>
  <si>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</si>
  <si>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</si>
  <si>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</si>
  <si>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</si>
  <si>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</si>
  <si>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</si>
  <si>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</si>
  <si>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</si>
  <si>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</si>
  <si>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</si>
  <si>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</si>
  <si>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</si>
  <si>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</si>
  <si>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</si>
  <si>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</si>
  <si>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</si>
  <si>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</si>
  <si>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</si>
  <si>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</si>
  <si>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</si>
  <si>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</si>
  <si>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</si>
  <si>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</si>
  <si>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</si>
  <si>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</si>
  <si>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</si>
  <si>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</si>
  <si>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</si>
  <si>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</si>
  <si>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</si>
  <si>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</si>
  <si>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</si>
  <si>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</si>
  <si>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</si>
  <si>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</si>
  <si>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</si>
  <si>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</si>
  <si>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</si>
  <si>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</si>
  <si>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</si>
  <si>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</si>
  <si>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</si>
  <si>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</si>
  <si>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</si>
  <si>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</si>
  <si>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</si>
  <si>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</si>
  <si>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</si>
  <si>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</si>
  <si>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</si>
  <si>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</si>
  <si>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</si>
  <si>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</si>
  <si>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</si>
  <si>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</si>
  <si>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</si>
  <si>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</si>
  <si>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</si>
  <si>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</si>
  <si>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</si>
  <si>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</si>
  <si>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</si>
  <si>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</si>
  <si>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</si>
  <si>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</si>
  <si>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</si>
  <si>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</si>
  <si>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</si>
  <si>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</si>
  <si>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</si>
  <si>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</si>
  <si>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</si>
  <si>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</si>
  <si>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</si>
  <si>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</si>
  <si>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</si>
  <si>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</si>
  <si>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</si>
  <si>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</si>
  <si>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</si>
  <si>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</si>
  <si>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</si>
  <si>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</si>
  <si>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</si>
  <si>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</si>
  <si>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</si>
  <si>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</si>
  <si>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</si>
  <si>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</si>
  <si>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</si>
  <si>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</si>
  <si>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</si>
  <si>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</si>
  <si>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</si>
  <si>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</si>
  <si>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</si>
  <si>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</si>
  <si>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</si>
  <si>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</si>
  <si>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</si>
  <si>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</si>
  <si>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</si>
  <si>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</si>
  <si>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</si>
  <si>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</si>
  <si>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</si>
  <si>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</si>
  <si>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</si>
  <si>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</si>
  <si>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</si>
  <si>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</si>
  <si>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</si>
  <si>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</si>
  <si>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</si>
  <si>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</si>
  <si>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</si>
  <si>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</si>
  <si>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</si>
  <si>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</si>
  <si>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</si>
  <si>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</si>
  <si>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</si>
  <si>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</si>
  <si>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</si>
  <si>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</si>
  <si>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</si>
  <si>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</si>
  <si>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</si>
  <si>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</si>
  <si>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</si>
  <si>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</si>
  <si>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</si>
  <si>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</si>
  <si>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</si>
  <si>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</si>
  <si>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</si>
  <si>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</si>
  <si>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</si>
  <si>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</si>
  <si>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</si>
  <si>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</si>
  <si>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</si>
  <si>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</si>
  <si>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</si>
  <si>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</si>
  <si>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</si>
  <si>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</si>
  <si>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</si>
  <si>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</si>
  <si>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</si>
  <si>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</si>
  <si>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</si>
  <si>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</si>
  <si>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</si>
  <si>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</si>
  <si>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</si>
  <si>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</si>
  <si>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</si>
  <si>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</si>
  <si>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</si>
  <si>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</si>
  <si>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</si>
  <si>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</si>
  <si>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</si>
  <si>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</si>
  <si>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</si>
  <si>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</si>
  <si>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</si>
  <si>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</si>
  <si>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</si>
  <si>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</si>
  <si>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</si>
  <si>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</si>
  <si>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</si>
  <si>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</si>
  <si>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</si>
  <si>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</si>
  <si>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</si>
  <si>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</si>
  <si>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</si>
  <si>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</si>
  <si>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</si>
  <si>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</si>
  <si>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</si>
  <si>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</si>
  <si>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</si>
  <si>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</si>
  <si>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</si>
  <si>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</si>
  <si>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</si>
  <si>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</si>
  <si>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</si>
  <si>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</si>
  <si>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</si>
  <si>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</si>
  <si>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</si>
  <si>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</si>
  <si>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</si>
  <si>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</si>
  <si>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</si>
  <si>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</si>
  <si>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</si>
  <si>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</si>
  <si>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</si>
  <si>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</si>
  <si>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</si>
  <si>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</si>
  <si>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</si>
  <si>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</si>
  <si>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</si>
  <si>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</si>
  <si>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</si>
  <si>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</si>
  <si>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</si>
  <si>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</si>
  <si>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</si>
  <si>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</si>
  <si>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</si>
  <si>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</si>
  <si>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</si>
  <si>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</si>
  <si>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</si>
  <si>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</si>
  <si>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</si>
  <si>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</si>
  <si>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</si>
  <si>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</si>
  <si>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</si>
  <si>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</si>
  <si>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</si>
  <si>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</si>
  <si>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</si>
  <si>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</si>
  <si>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</si>
  <si>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</si>
  <si>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</si>
  <si>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</si>
  <si>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</si>
  <si>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</si>
  <si>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</si>
  <si>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</si>
  <si>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</si>
  <si>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</si>
  <si>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</si>
  <si>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</si>
  <si>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</si>
  <si>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</si>
  <si>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</si>
  <si>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</si>
  <si>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</si>
  <si>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</si>
  <si>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</si>
  <si>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</si>
  <si>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</si>
  <si>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</si>
  <si>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</si>
  <si>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</si>
  <si>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</si>
  <si>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</si>
  <si>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</si>
  <si>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</si>
  <si>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</si>
  <si>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</si>
  <si>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</si>
  <si>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</si>
  <si>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</si>
  <si>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</si>
  <si>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</si>
  <si>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</si>
  <si>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</si>
  <si>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</si>
  <si>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</si>
  <si>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</si>
  <si>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</si>
  <si>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</si>
  <si>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</si>
  <si>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</si>
  <si>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</si>
  <si>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</si>
  <si>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</si>
  <si>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</si>
  <si>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</si>
  <si>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</si>
  <si>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</si>
  <si>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</si>
  <si>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</si>
  <si>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</si>
  <si>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</si>
  <si>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</si>
  <si>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</si>
  <si>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</si>
  <si>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</si>
  <si>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</si>
  <si>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</si>
  <si>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</si>
  <si>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</si>
  <si>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</si>
  <si>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</si>
  <si>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</si>
  <si>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</si>
  <si>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</si>
  <si>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</si>
  <si>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</si>
  <si>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</si>
  <si>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</si>
  <si>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</si>
  <si>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</si>
  <si>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</si>
  <si>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</si>
  <si>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</si>
  <si>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</si>
  <si>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</si>
  <si>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</si>
  <si>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</si>
  <si>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</si>
  <si>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</si>
  <si>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</si>
  <si>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</si>
  <si>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</si>
  <si>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</si>
  <si>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</si>
  <si>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</si>
  <si>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</si>
  <si>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</si>
  <si>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</si>
  <si>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</si>
  <si>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</si>
  <si>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</si>
  <si>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</si>
  <si>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</si>
  <si>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</si>
  <si>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</si>
  <si>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</si>
  <si>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</si>
  <si>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</si>
  <si>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</si>
  <si>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</si>
  <si>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</si>
  <si>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</si>
  <si>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</si>
  <si>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</si>
  <si>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</si>
  <si>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</si>
  <si>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</si>
  <si>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</si>
  <si>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</si>
  <si>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</si>
  <si>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</si>
  <si>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</si>
  <si>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</si>
  <si>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</si>
  <si>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</si>
  <si>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</si>
  <si>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</si>
  <si>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</si>
  <si>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</si>
  <si>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</si>
  <si>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</si>
  <si>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</si>
  <si>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</si>
  <si>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</si>
  <si>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</si>
  <si>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</si>
  <si>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</si>
  <si>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</si>
  <si>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</si>
  <si>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</si>
  <si>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</si>
  <si>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</si>
  <si>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</si>
  <si>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</si>
  <si>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</si>
  <si>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</si>
  <si>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</si>
  <si>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</si>
  <si>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</si>
  <si>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</si>
  <si>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</si>
  <si>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</si>
  <si>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</si>
  <si>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</si>
  <si>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</si>
  <si>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</si>
  <si>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</si>
  <si>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</si>
  <si>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</si>
  <si>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</si>
  <si>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</si>
  <si>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</si>
  <si>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</si>
  <si>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</si>
  <si>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</si>
  <si>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</si>
  <si>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</si>
  <si>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</si>
  <si>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</si>
  <si>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</si>
  <si>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</si>
  <si>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</si>
  <si>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</si>
  <si>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</si>
  <si>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</si>
  <si>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</si>
  <si>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</si>
  <si>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</si>
  <si>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</si>
  <si>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</si>
  <si>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</si>
  <si>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</si>
  <si>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</si>
  <si>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</si>
  <si>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</si>
  <si>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</si>
  <si>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</si>
  <si>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</si>
  <si>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</si>
  <si>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</si>
  <si>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</si>
  <si>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</si>
  <si>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</si>
  <si>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</si>
  <si>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</si>
  <si>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</si>
  <si>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</si>
  <si>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</si>
  <si>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</si>
  <si>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</si>
  <si>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</si>
  <si>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</si>
  <si>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</si>
  <si>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</si>
  <si>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</si>
  <si>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</si>
  <si>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</si>
  <si>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</si>
  <si>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</si>
  <si>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</si>
  <si>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</si>
  <si>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</si>
  <si>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</si>
  <si>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</si>
  <si>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</si>
  <si>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</si>
  <si>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</si>
  <si>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</si>
  <si>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</si>
  <si>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</si>
  <si>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</si>
  <si>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</si>
  <si>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</si>
  <si>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</si>
  <si>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</si>
  <si>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</si>
  <si>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</si>
  <si>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</si>
  <si>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</si>
  <si>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</si>
  <si>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</si>
  <si>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</si>
  <si>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</si>
  <si>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</si>
  <si>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</si>
  <si>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</si>
  <si>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</si>
  <si>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</si>
  <si>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</si>
  <si>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</si>
  <si>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</si>
  <si>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</si>
  <si>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</si>
  <si>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</si>
  <si>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</si>
  <si>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</si>
  <si>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</si>
  <si>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</si>
  <si>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</si>
  <si>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</si>
  <si>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</si>
  <si>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</si>
  <si>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</si>
  <si>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</si>
  <si>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</si>
  <si>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</si>
  <si>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</si>
  <si>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</si>
  <si>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</si>
  <si>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</si>
  <si>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</si>
  <si>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</si>
  <si>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</si>
  <si>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</si>
  <si>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</si>
  <si>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</si>
  <si>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</si>
  <si>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</si>
  <si>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</si>
  <si>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</si>
  <si>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</si>
  <si>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</si>
  <si>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</si>
  <si>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</si>
  <si>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</si>
  <si>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</si>
  <si>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</si>
  <si>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</si>
  <si>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</si>
  <si>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</si>
  <si>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</si>
  <si>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</si>
  <si>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</si>
  <si>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</si>
  <si>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</si>
  <si>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</si>
  <si>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</si>
  <si>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</si>
  <si>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</si>
  <si>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</si>
  <si>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</si>
  <si>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</si>
  <si>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</si>
  <si>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</si>
  <si>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</si>
  <si>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</si>
  <si>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</si>
  <si>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</si>
  <si>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</si>
  <si>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</si>
  <si>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</si>
  <si>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</si>
  <si>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</si>
  <si>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</si>
  <si>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</si>
  <si>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</si>
  <si>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</si>
  <si>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</si>
  <si>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</si>
  <si>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</si>
  <si>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</si>
  <si>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</si>
  <si>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</si>
  <si>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</si>
  <si>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</si>
  <si>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</si>
  <si>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</si>
  <si>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</si>
  <si>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</si>
  <si>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</si>
  <si>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</si>
  <si>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</si>
  <si>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</si>
  <si>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</si>
  <si>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</si>
  <si>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</si>
  <si>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</si>
  <si>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</si>
  <si>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</si>
  <si>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</si>
  <si>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</si>
  <si>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</si>
  <si>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</si>
  <si>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</si>
  <si>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</si>
  <si>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</si>
  <si>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</si>
  <si>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</si>
  <si>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</si>
  <si>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</si>
  <si>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</si>
  <si>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</si>
  <si>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</si>
  <si>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</si>
  <si>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</si>
  <si>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</si>
  <si>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</si>
  <si>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</si>
  <si>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</si>
  <si>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</si>
  <si>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</si>
  <si>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</si>
  <si>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</si>
  <si>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</si>
  <si>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</si>
  <si>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</si>
  <si>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</si>
  <si>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</si>
  <si>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</si>
  <si>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</si>
  <si>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</si>
  <si>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</si>
  <si>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</si>
  <si>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</si>
  <si>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</si>
  <si>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</si>
  <si>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</si>
  <si>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</si>
  <si>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</si>
  <si>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</si>
  <si>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</si>
  <si>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</si>
  <si>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</si>
  <si>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</si>
  <si>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</si>
  <si>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</si>
  <si>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</si>
  <si>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</si>
  <si>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</si>
  <si>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</si>
  <si>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</si>
  <si>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</si>
  <si>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</si>
  <si>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</si>
  <si>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</si>
  <si>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</si>
  <si>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</si>
  <si>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</si>
  <si>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</si>
  <si>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</si>
  <si>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</si>
  <si>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</si>
  <si>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</si>
  <si>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</si>
  <si>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</si>
  <si>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</si>
  <si>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</si>
  <si>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</si>
  <si>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</si>
  <si>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</si>
  <si>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</si>
  <si>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</si>
  <si>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</si>
  <si>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</si>
  <si>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</si>
  <si>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</si>
  <si>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</si>
  <si>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</si>
  <si>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</si>
  <si>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</si>
  <si>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</si>
  <si>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</si>
  <si>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</si>
  <si>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</si>
  <si>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</si>
  <si>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</si>
  <si>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</si>
  <si>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</si>
  <si>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</si>
  <si>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</si>
  <si>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</si>
  <si>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</si>
  <si>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</si>
  <si>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</si>
  <si>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</si>
  <si>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</si>
  <si>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</si>
  <si>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</si>
  <si>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</si>
  <si>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</si>
  <si>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</si>
  <si>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</si>
  <si>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</si>
  <si>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</si>
  <si>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</si>
  <si>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</si>
  <si>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</si>
  <si>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</si>
  <si>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</si>
  <si>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</si>
  <si>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</si>
  <si>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</si>
  <si>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</si>
  <si>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</si>
  <si>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</si>
  <si>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</si>
  <si>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</si>
  <si>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</si>
  <si>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</si>
  <si>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</si>
  <si>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</si>
  <si>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</si>
  <si>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</si>
  <si>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</si>
  <si>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</si>
  <si>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</si>
  <si>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</si>
  <si>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</si>
  <si>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</si>
  <si>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</si>
  <si>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</si>
  <si>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</si>
  <si>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</si>
  <si>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</si>
  <si>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</si>
  <si>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</si>
  <si>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</si>
  <si>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</si>
  <si>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</si>
  <si>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</si>
  <si>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</si>
  <si>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</si>
  <si>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</si>
  <si>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</si>
  <si>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</si>
  <si>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</si>
  <si>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</si>
  <si>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</si>
  <si>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</si>
  <si>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</si>
  <si>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</si>
  <si>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</si>
  <si>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</si>
  <si>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</si>
  <si>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</si>
  <si>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</si>
  <si>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</si>
  <si>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</si>
  <si>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</si>
  <si>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</si>
  <si>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</si>
  <si>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</si>
  <si>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</si>
  <si>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</si>
  <si>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</si>
  <si>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</si>
  <si>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</si>
  <si>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</si>
  <si>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</si>
  <si>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</si>
  <si>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</si>
  <si>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</si>
  <si>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</si>
  <si>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</si>
  <si>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</si>
  <si>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</si>
  <si>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</si>
  <si>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</si>
  <si>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</si>
  <si>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</si>
  <si>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</si>
  <si>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</si>
  <si>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</si>
  <si>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</si>
  <si>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</si>
  <si>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</si>
  <si>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</si>
  <si>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</si>
  <si>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</si>
  <si>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</si>
  <si>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</si>
  <si>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</si>
  <si>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</si>
  <si>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</si>
  <si>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</si>
  <si>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</si>
  <si>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</si>
  <si>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</si>
  <si>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</si>
  <si>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</si>
  <si>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</si>
  <si>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</si>
  <si>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</si>
  <si>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</si>
  <si>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</si>
  <si>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</si>
  <si>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</si>
  <si>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</si>
  <si>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</si>
  <si>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</si>
  <si>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</si>
  <si>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</si>
  <si>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</si>
  <si>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</si>
  <si>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</si>
  <si>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</si>
  <si>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</si>
  <si>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</si>
  <si>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</si>
  <si>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</si>
  <si>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</si>
  <si>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</si>
  <si>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</si>
  <si>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</si>
  <si>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</si>
  <si>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</si>
  <si>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</si>
  <si>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</si>
  <si>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</si>
  <si>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</si>
  <si>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</si>
  <si>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</si>
  <si>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</si>
  <si>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</si>
  <si>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</si>
  <si>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</si>
  <si>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</si>
  <si>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</si>
  <si>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</si>
  <si>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</si>
  <si>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</si>
  <si>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</si>
  <si>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</si>
  <si>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</si>
  <si>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</si>
  <si>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</si>
  <si>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</si>
  <si>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</si>
  <si>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</si>
  <si>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</si>
  <si>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</si>
  <si>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</si>
  <si>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</si>
  <si>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</si>
  <si>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</si>
  <si>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</si>
  <si>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</si>
  <si>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</si>
  <si>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</si>
  <si>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</si>
  <si>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</si>
  <si>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</si>
  <si>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</si>
  <si>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</si>
  <si>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</si>
  <si>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</si>
  <si>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</si>
  <si>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</si>
  <si>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</si>
  <si>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</si>
  <si>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</si>
  <si>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</si>
  <si>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</si>
  <si>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</si>
  <si>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</si>
  <si>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</si>
  <si>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</si>
  <si>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</si>
  <si>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</si>
  <si>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</si>
  <si>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</si>
  <si>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</si>
  <si>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</si>
  <si>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</si>
  <si>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</si>
  <si>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</si>
  <si>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</si>
  <si>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</si>
  <si>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</si>
  <si>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</si>
  <si>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</si>
  <si>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</si>
  <si>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</si>
  <si>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</si>
  <si>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</si>
  <si>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</si>
  <si>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</si>
  <si>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</si>
  <si>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</si>
  <si>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</si>
  <si>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</si>
  <si>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</si>
  <si>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</si>
  <si>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</si>
  <si>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</si>
  <si>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</si>
  <si>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</si>
  <si>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</si>
  <si>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</si>
  <si>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</si>
  <si>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</si>
  <si>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</si>
  <si>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</si>
  <si>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</si>
  <si>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</si>
  <si>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</si>
  <si>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</si>
  <si>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</si>
  <si>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</si>
  <si>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</si>
  <si>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</si>
  <si>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</si>
  <si>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</si>
  <si>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</si>
  <si>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</si>
  <si>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</si>
  <si>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</si>
  <si>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</si>
  <si>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</si>
  <si>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</si>
  <si>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</si>
  <si>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</si>
  <si>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</si>
  <si>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</si>
  <si>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</si>
  <si>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</si>
  <si>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</si>
  <si>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</si>
  <si>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</si>
  <si>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</si>
  <si>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</si>
  <si>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</si>
  <si>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</si>
  <si>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</si>
  <si>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</si>
  <si>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</si>
  <si>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</si>
  <si>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</si>
  <si>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</si>
  <si>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</si>
  <si>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</si>
  <si>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</si>
  <si>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</si>
  <si>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</si>
  <si>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</si>
  <si>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</si>
  <si>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</si>
  <si>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</si>
  <si>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</si>
  <si>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</si>
  <si>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</si>
  <si>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</si>
  <si>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</si>
  <si>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</si>
  <si>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</si>
  <si>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</si>
  <si>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</si>
  <si>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</si>
  <si>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</si>
  <si>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</si>
  <si>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</si>
  <si>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</si>
  <si>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</si>
  <si>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</si>
  <si>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</si>
  <si>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</si>
  <si>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</si>
  <si>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</si>
  <si>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</si>
  <si>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</si>
  <si>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</si>
  <si>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</si>
  <si>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</si>
  <si>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</si>
  <si>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</si>
  <si>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</si>
  <si>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</si>
  <si>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</si>
  <si>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</si>
  <si>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</si>
  <si>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</si>
  <si>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</si>
  <si>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</si>
  <si>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</si>
  <si>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</si>
  <si>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</si>
  <si>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</si>
  <si>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</si>
  <si>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</si>
  <si>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</si>
  <si>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</si>
  <si>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</si>
  <si>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</si>
  <si>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</si>
  <si>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</si>
  <si>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</si>
  <si>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</si>
  <si>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</si>
  <si>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</si>
  <si>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</si>
  <si>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</si>
  <si>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</si>
  <si>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</si>
  <si>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</si>
  <si>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</si>
  <si>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</si>
  <si>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</si>
  <si>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</si>
  <si>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</si>
  <si>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</si>
  <si>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</si>
  <si>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</si>
  <si>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</si>
  <si>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</si>
  <si>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</si>
  <si>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</si>
  <si>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</si>
  <si>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</si>
  <si>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</si>
  <si>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</si>
  <si>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</si>
  <si>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</si>
  <si>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</si>
  <si>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</si>
  <si>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</si>
  <si>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</si>
  <si>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</si>
  <si>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</si>
  <si>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</si>
  <si>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</si>
  <si>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</si>
  <si>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</si>
  <si>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</si>
  <si>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</si>
  <si>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</si>
  <si>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</si>
  <si>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</si>
  <si>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</si>
  <si>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</si>
  <si>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</si>
  <si>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</si>
  <si>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</si>
  <si>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</si>
  <si>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</si>
  <si>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</si>
  <si>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</si>
  <si>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</si>
  <si>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</si>
  <si>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</si>
  <si>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</si>
  <si>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</si>
  <si>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</si>
  <si>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</si>
  <si>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</si>
  <si>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</si>
  <si>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</si>
  <si>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</si>
  <si>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</si>
  <si>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</si>
  <si>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</si>
  <si>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</si>
  <si>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</si>
  <si>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</si>
  <si>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</si>
  <si>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</si>
  <si>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</si>
  <si>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</si>
  <si>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</si>
  <si>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</si>
  <si>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</si>
  <si>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</si>
  <si>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</si>
  <si>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</si>
  <si>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</si>
  <si>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</si>
  <si>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</si>
  <si>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</si>
  <si>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</si>
  <si>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</si>
  <si>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</si>
  <si>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</si>
  <si>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</si>
  <si>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</si>
  <si>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</si>
  <si>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</si>
  <si>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</si>
  <si>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</si>
  <si>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</si>
  <si>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</si>
  <si>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</si>
  <si>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</si>
  <si>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</si>
  <si>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</si>
  <si>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</si>
  <si>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</si>
  <si>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</si>
  <si>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</si>
  <si>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</si>
  <si>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</si>
  <si>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</si>
  <si>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</si>
  <si>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</si>
  <si>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</si>
  <si>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</si>
  <si>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</si>
  <si>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</si>
  <si>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</si>
  <si>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</si>
  <si>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</si>
  <si>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</si>
  <si>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</si>
  <si>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</si>
  <si>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</si>
  <si>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</si>
  <si>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</si>
  <si>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</si>
  <si>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</si>
  <si>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</si>
  <si>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</si>
  <si>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</si>
  <si>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</si>
  <si>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</si>
  <si>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</si>
  <si>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</si>
  <si>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</si>
  <si>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</si>
  <si>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</si>
  <si>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</si>
  <si>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</si>
  <si>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</si>
  <si>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</si>
  <si>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</si>
  <si>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</si>
  <si>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</si>
  <si>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</si>
  <si>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</si>
  <si>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</si>
  <si>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</si>
  <si>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</si>
  <si>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</si>
  <si>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</si>
  <si>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</si>
  <si>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</si>
  <si>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</si>
  <si>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</si>
  <si>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</si>
  <si>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</si>
  <si>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</si>
  <si>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</si>
  <si>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</si>
  <si>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</si>
  <si>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</si>
  <si>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</si>
  <si>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</si>
  <si>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</si>
  <si>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</si>
  <si>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</si>
  <si>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</si>
  <si>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</si>
  <si>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</si>
  <si>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</si>
  <si>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</si>
  <si>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</si>
  <si>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</si>
  <si>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</si>
  <si>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</si>
  <si>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</si>
  <si>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</si>
  <si>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</si>
  <si>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</si>
  <si>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</si>
  <si>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</si>
  <si>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</si>
  <si>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</si>
  <si>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</si>
  <si>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</si>
  <si>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</si>
  <si>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</si>
  <si>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</si>
  <si>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</si>
  <si>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</si>
  <si>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</si>
  <si>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</si>
  <si>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</si>
  <si>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</si>
  <si>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</si>
  <si>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</si>
  <si>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</si>
  <si>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</si>
  <si>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</si>
  <si>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</si>
  <si>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</si>
  <si>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</si>
  <si>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</si>
  <si>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</si>
  <si>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</si>
  <si>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</si>
  <si>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</si>
  <si>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</si>
  <si>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</si>
  <si>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</si>
  <si>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</si>
  <si>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</si>
  <si>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</si>
  <si>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</si>
  <si>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</si>
  <si>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</si>
  <si>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</si>
  <si>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</si>
  <si>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</si>
  <si>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</si>
  <si>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</si>
  <si>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</si>
  <si>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</si>
  <si>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</si>
  <si>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</si>
  <si>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</si>
  <si>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</si>
  <si>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</si>
  <si>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</si>
  <si>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</si>
  <si>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</si>
  <si>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</si>
  <si>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</si>
  <si>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</si>
  <si>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</si>
  <si>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</si>
  <si>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</si>
  <si>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</si>
  <si>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</si>
  <si>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</si>
  <si>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</si>
  <si>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</si>
  <si>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</si>
  <si>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</si>
  <si>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</si>
  <si>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</si>
  <si>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</si>
  <si>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</si>
  <si>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</si>
  <si>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</si>
  <si>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</si>
  <si>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</si>
  <si>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</si>
  <si>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</si>
  <si>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</si>
  <si>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</si>
  <si>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</si>
  <si>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</si>
  <si>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</si>
  <si>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</si>
  <si>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</si>
  <si>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</si>
  <si>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</si>
  <si>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</si>
  <si>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</si>
  <si>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</si>
  <si>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</si>
  <si>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</si>
  <si>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</si>
  <si>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</si>
  <si>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</si>
  <si>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</si>
  <si>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</si>
  <si>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</si>
  <si>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</si>
  <si>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</si>
  <si>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</si>
  <si>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</si>
  <si>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</si>
  <si>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</si>
  <si>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</si>
  <si>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</si>
  <si>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</si>
  <si>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</si>
  <si>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</si>
  <si>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</si>
  <si>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</si>
  <si>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</si>
  <si>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</si>
  <si>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</si>
  <si>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</si>
  <si>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</si>
  <si>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</si>
  <si>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</si>
  <si>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</si>
  <si>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</si>
  <si>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</si>
  <si>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</si>
  <si>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</si>
  <si>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</si>
  <si>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</si>
  <si>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</si>
  <si>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</si>
  <si>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</si>
  <si>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</si>
  <si>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</si>
  <si>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</si>
  <si>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</si>
  <si>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</si>
  <si>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</si>
  <si>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</si>
  <si>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</si>
  <si>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</si>
  <si>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</si>
  <si>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</si>
  <si>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</si>
  <si>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</si>
  <si>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</si>
  <si>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</si>
  <si>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</si>
  <si>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</si>
  <si>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</si>
  <si>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</si>
  <si>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</si>
  <si>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</si>
  <si>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</si>
  <si>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</si>
  <si>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</si>
  <si>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</si>
  <si>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</si>
  <si>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</si>
  <si>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</si>
  <si>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</si>
  <si>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</si>
  <si>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</si>
  <si>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</si>
  <si>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</si>
  <si>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</si>
  <si>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</si>
  <si>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</si>
  <si>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</si>
  <si>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</si>
  <si>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</si>
  <si>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</si>
  <si>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</si>
  <si>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</si>
  <si>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</si>
  <si>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</si>
  <si>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</si>
  <si>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</si>
  <si>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</si>
  <si>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</si>
  <si>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</si>
  <si>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</si>
  <si>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</si>
  <si>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</si>
  <si>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</si>
  <si>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</si>
  <si>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</si>
  <si>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</si>
  <si>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</si>
  <si>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</si>
  <si>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</si>
  <si>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</si>
  <si>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</si>
  <si>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</si>
  <si>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</si>
  <si>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</si>
  <si>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</si>
  <si>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</si>
  <si>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</si>
  <si>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</si>
  <si>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</si>
  <si>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</si>
  <si>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</si>
  <si>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</si>
  <si>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</si>
  <si>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</si>
  <si>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</si>
  <si>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</si>
  <si>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</si>
  <si>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</si>
  <si>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</si>
  <si>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</si>
  <si>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</si>
  <si>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</si>
  <si>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</si>
  <si>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</si>
  <si>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</si>
  <si>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</si>
  <si>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</si>
  <si>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</si>
  <si>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</si>
  <si>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</si>
  <si>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</si>
  <si>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</si>
  <si>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</si>
  <si>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</si>
  <si>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</si>
  <si>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</si>
  <si>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</si>
  <si>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</si>
  <si>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</si>
  <si>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</si>
  <si>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</si>
  <si>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</si>
  <si>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</si>
  <si>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</si>
  <si>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</si>
  <si>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</si>
  <si>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</si>
  <si>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</si>
  <si>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</si>
  <si>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</si>
  <si>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</si>
  <si>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</si>
  <si>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</si>
  <si>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</si>
  <si>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</si>
  <si>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</si>
  <si>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</si>
  <si>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</si>
  <si>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</si>
  <si>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</si>
  <si>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</si>
  <si>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</si>
  <si>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</si>
  <si>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</si>
  <si>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</si>
  <si>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</si>
  <si>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</si>
  <si>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</si>
  <si>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</si>
  <si>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</si>
  <si>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</si>
  <si>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</si>
  <si>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</si>
  <si>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</si>
  <si>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</si>
  <si>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</si>
  <si>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</si>
  <si>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</si>
  <si>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</si>
  <si>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</si>
  <si>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</si>
  <si>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</si>
  <si>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</si>
  <si>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</si>
  <si>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</si>
  <si>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</si>
  <si>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</si>
  <si>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</si>
  <si>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</si>
  <si>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</si>
  <si>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</si>
  <si>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</si>
  <si>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</si>
  <si>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</si>
  <si>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</si>
  <si>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</si>
  <si>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</si>
  <si>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</si>
  <si>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</si>
  <si>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</si>
  <si>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</si>
  <si>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</si>
  <si>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</si>
  <si>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</si>
  <si>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</si>
  <si>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</si>
  <si>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</si>
  <si>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</si>
  <si>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</si>
  <si>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</si>
  <si>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</si>
  <si>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</si>
  <si>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</si>
  <si>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</si>
  <si>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</si>
  <si>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</si>
  <si>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</si>
  <si>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</si>
  <si>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</si>
  <si>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</si>
  <si>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</si>
  <si>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</si>
  <si>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</si>
  <si>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</si>
  <si>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</si>
  <si>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</si>
  <si>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</si>
  <si>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</si>
  <si>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</si>
  <si>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</si>
  <si>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</si>
  <si>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</si>
  <si>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</si>
  <si>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</si>
  <si>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</si>
  <si>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</si>
  <si>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</si>
  <si>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</si>
  <si>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</si>
  <si>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</si>
  <si>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</si>
  <si>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</si>
  <si>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</si>
  <si>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</si>
  <si>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</si>
  <si>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</si>
  <si>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</si>
  <si>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</si>
  <si>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</si>
  <si>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</si>
  <si>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</si>
  <si>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</si>
  <si>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</si>
  <si>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</si>
  <si>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</si>
  <si>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</si>
  <si>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</si>
  <si>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</si>
  <si>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</si>
  <si>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</si>
  <si>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</si>
  <si>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</si>
  <si>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</si>
  <si>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</si>
  <si>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</si>
  <si>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</si>
  <si>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</si>
  <si>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</si>
  <si>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</si>
  <si>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</si>
  <si>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</si>
  <si>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</si>
  <si>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</si>
  <si>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</si>
  <si>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</si>
  <si>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</si>
  <si>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</si>
  <si>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</si>
  <si>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</si>
  <si>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</si>
  <si>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</si>
  <si>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</si>
  <si>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</si>
  <si>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</si>
  <si>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</si>
  <si>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</si>
  <si>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</si>
  <si>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</si>
  <si>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</si>
  <si>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</si>
  <si>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</si>
  <si>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</si>
  <si>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</si>
  <si>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</si>
  <si>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</si>
  <si>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</si>
  <si>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</si>
  <si>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</si>
  <si>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</si>
  <si>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</si>
  <si>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</si>
  <si>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</si>
  <si>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</si>
  <si>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</si>
  <si>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</si>
  <si>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</si>
  <si>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</si>
  <si>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</si>
  <si>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</si>
  <si>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</si>
  <si>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</si>
  <si>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</si>
  <si>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</si>
  <si>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</si>
  <si>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</si>
  <si>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</si>
  <si>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</si>
  <si>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</si>
  <si>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</si>
  <si>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</si>
  <si>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</si>
  <si>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</si>
  <si>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</si>
  <si>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</si>
  <si>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</si>
  <si>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</si>
  <si>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</si>
  <si>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</si>
  <si>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</si>
  <si>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</si>
  <si>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</si>
  <si>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</si>
  <si>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</si>
  <si>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</si>
  <si>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</si>
  <si>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</si>
  <si>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</si>
  <si>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</si>
  <si>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</si>
  <si>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</si>
  <si>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</si>
  <si>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</si>
  <si>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</si>
  <si>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</si>
  <si>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</si>
  <si>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</si>
  <si>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</si>
  <si>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</si>
  <si>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</si>
  <si>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</si>
  <si>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</si>
  <si>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</si>
  <si>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</si>
  <si>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</si>
  <si>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</si>
  <si>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</si>
  <si>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</si>
  <si>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</si>
  <si>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</si>
  <si>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</si>
  <si>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</si>
  <si>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</si>
  <si>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</si>
  <si>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</si>
  <si>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</si>
  <si>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</si>
  <si>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</si>
  <si>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</si>
  <si>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</si>
  <si>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</si>
  <si>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</si>
  <si>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</si>
  <si>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</si>
  <si>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</si>
  <si>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</si>
  <si>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</si>
  <si>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</si>
  <si>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</si>
  <si>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</si>
  <si>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</si>
  <si>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</si>
  <si>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</si>
  <si>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</si>
  <si>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</si>
  <si>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</si>
  <si>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</si>
  <si>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</si>
  <si>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</si>
  <si>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</si>
  <si>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</si>
  <si>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</si>
  <si>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</si>
  <si>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</si>
  <si>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</si>
  <si>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</si>
  <si>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</si>
  <si>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</si>
  <si>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</si>
  <si>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</si>
  <si>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</si>
  <si>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</si>
  <si>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</si>
  <si>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</si>
  <si>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</si>
  <si>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</si>
  <si>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</si>
  <si>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</si>
  <si>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</si>
  <si>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</si>
  <si>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</si>
  <si>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</si>
  <si>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</si>
  <si>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</si>
  <si>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</si>
  <si>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</si>
  <si>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</si>
  <si>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</si>
  <si>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</si>
  <si>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</si>
  <si>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</si>
  <si>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</si>
  <si>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</si>
  <si>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</si>
  <si>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</si>
  <si>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</si>
  <si>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</si>
  <si>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</si>
  <si>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</si>
  <si>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</si>
  <si>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</si>
  <si>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</si>
  <si>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</si>
  <si>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</si>
  <si>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</si>
  <si>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</si>
  <si>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</si>
  <si>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</si>
  <si>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</si>
  <si>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</si>
  <si>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</si>
  <si>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</si>
  <si>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</si>
  <si>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</si>
  <si>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</si>
  <si>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</si>
  <si>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</si>
  <si>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</si>
  <si>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</si>
  <si>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</si>
  <si>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</si>
  <si>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</si>
  <si>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</si>
  <si>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</si>
  <si>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</si>
  <si>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</si>
  <si>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</si>
  <si>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</si>
  <si>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</si>
  <si>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</si>
  <si>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</si>
  <si>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</si>
  <si>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</si>
  <si>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</si>
  <si>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</si>
  <si>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</si>
  <si>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</si>
  <si>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</si>
  <si>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</si>
  <si>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</si>
  <si>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</si>
  <si>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</si>
  <si>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</si>
  <si>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</si>
  <si>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</si>
  <si>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</si>
  <si>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</si>
  <si>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</si>
  <si>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</si>
  <si>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</si>
  <si>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</si>
  <si>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</si>
  <si>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</si>
  <si>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</si>
  <si>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</si>
  <si>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</si>
  <si>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</si>
  <si>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</si>
  <si>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</si>
  <si>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</si>
  <si>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</si>
  <si>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</si>
  <si>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</si>
  <si>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</si>
  <si>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</si>
  <si>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</si>
  <si>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</si>
  <si>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</si>
  <si>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</si>
  <si>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</si>
  <si>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</si>
  <si>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</si>
  <si>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</si>
  <si>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</si>
  <si>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</si>
  <si>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</si>
  <si>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</si>
  <si>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</si>
  <si>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</si>
  <si>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</si>
  <si>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</si>
  <si>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</si>
  <si>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</si>
  <si>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</si>
  <si>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</si>
  <si>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</si>
  <si>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</si>
  <si>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</si>
  <si>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</si>
  <si>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</si>
  <si>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</si>
  <si>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</si>
  <si>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</si>
  <si>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</si>
  <si>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</si>
  <si>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</si>
  <si>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</si>
  <si>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</si>
  <si>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</si>
  <si>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</si>
  <si>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</si>
  <si>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</si>
  <si>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</si>
  <si>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</si>
  <si>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</si>
  <si>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</si>
  <si>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</si>
  <si>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</si>
  <si>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</si>
  <si>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</si>
  <si>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</si>
  <si>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</si>
  <si>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</si>
  <si>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</si>
  <si>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</si>
  <si>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</si>
  <si>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</si>
  <si>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</si>
  <si>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</si>
  <si>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</si>
  <si>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</si>
  <si>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</si>
  <si>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</si>
  <si>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</si>
  <si>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</si>
  <si>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</si>
  <si>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</si>
  <si>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</si>
  <si>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</si>
  <si>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</si>
  <si>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</si>
  <si>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</si>
  <si>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</si>
  <si>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</si>
  <si>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</si>
  <si>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</si>
  <si>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</si>
  <si>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</si>
  <si>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</si>
  <si>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</si>
  <si>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</si>
  <si>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</si>
  <si>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</si>
  <si>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</si>
  <si>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</si>
  <si>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</si>
  <si>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</si>
  <si>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</si>
  <si>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</si>
  <si>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</si>
  <si>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</si>
  <si>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</si>
  <si>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</si>
  <si>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</si>
  <si>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</si>
  <si>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</si>
  <si>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</si>
  <si>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</si>
  <si>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</si>
  <si>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</si>
  <si>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</si>
  <si>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</si>
  <si>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</si>
  <si>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</si>
  <si>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</si>
  <si>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</si>
  <si>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</si>
  <si>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</si>
  <si>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</si>
  <si>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</si>
  <si>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</si>
  <si>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</si>
  <si>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</si>
  <si>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</si>
  <si>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</si>
  <si>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</si>
  <si>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</si>
  <si>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</si>
  <si>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</si>
  <si>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</si>
  <si>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</si>
  <si>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</si>
  <si>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</si>
  <si>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</si>
  <si>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</si>
  <si>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</si>
  <si>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</si>
  <si>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</si>
  <si>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</si>
  <si>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</si>
  <si>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</si>
  <si>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</si>
  <si>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</si>
  <si>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</si>
  <si>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</si>
  <si>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</si>
  <si>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</si>
  <si>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</si>
  <si>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</si>
  <si>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</si>
  <si>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</si>
  <si>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</si>
  <si>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</si>
  <si>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</si>
  <si>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</si>
  <si>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</si>
  <si>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</si>
  <si>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</si>
  <si>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</si>
  <si>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</si>
  <si>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</si>
  <si>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</si>
  <si>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</si>
  <si>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</si>
  <si>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</si>
  <si>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</si>
  <si>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</si>
  <si>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</si>
  <si>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</si>
  <si>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</si>
  <si>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</si>
  <si>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</si>
  <si>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</si>
  <si>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Median Pledged</t>
  </si>
  <si>
    <t>Mean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</si>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</sst>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47-0D4D-A8F6-24C3BC07C07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B47-0D4D-A8F6-24C3BC07C07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B47-0D4D-A8F6-24C3BC07C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5407664"/>
        <c:axId val="1613160272"/>
      </c:lineChart>
      <c:catAx>
        <c:axId val="160540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160272"/>
        <c:crosses val="autoZero"/>
        <c:auto val="1"/>
        <c:lblAlgn val="ctr"/>
        <c:lblOffset val="100"/>
        <c:noMultiLvlLbl val="0"/>
      </c:catAx>
      <c:valAx>
        <c:axId val="16131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40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0.7324929971988795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61-C94C-9DFF-77EAF60C15C0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0.26750700280112044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61-C94C-9DFF-77EAF60C15C0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61-C94C-9DFF-77EAF60C1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4808624"/>
        <c:axId val="1613469152"/>
      </c:lineChart>
      <c:catAx>
        <c:axId val="160480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469152"/>
        <c:crosses val="autoZero"/>
        <c:auto val="1"/>
        <c:lblAlgn val="ctr"/>
        <c:lblOffset val="100"/>
        <c:noMultiLvlLbl val="0"/>
      </c:catAx>
      <c:valAx>
        <c:axId val="161346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80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 sz="16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F-0740-965B-111A0F40F0D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1F-0740-965B-111A0F40F0D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1F-0740-965B-111A0F40F0D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61F-0740-965B-111A0F40F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7545072"/>
        <c:axId val="1906730752"/>
      </c:barChart>
      <c:catAx>
        <c:axId val="193754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730752"/>
        <c:crosses val="autoZero"/>
        <c:auto val="1"/>
        <c:lblAlgn val="ctr"/>
        <c:lblOffset val="100"/>
        <c:noMultiLvlLbl val="0"/>
      </c:catAx>
      <c:valAx>
        <c:axId val="190673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54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52-F34B-A823-1552C4730A5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F52-F34B-A823-1552C4730A5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F52-F34B-A823-1552C4730A5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F52-F34B-A823-1552C4730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2506368"/>
        <c:axId val="1972559776"/>
      </c:barChart>
      <c:catAx>
        <c:axId val="197250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59776"/>
        <c:crosses val="autoZero"/>
        <c:auto val="1"/>
        <c:lblAlgn val="ctr"/>
        <c:lblOffset val="100"/>
        <c:noMultiLvlLbl val="0"/>
      </c:catAx>
      <c:valAx>
        <c:axId val="197255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0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[Kickstarter_Challenge.xlsx]Monthly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8-6A4C-94BC-4DEE4A520902}"/>
            </c:ext>
          </c:extLst>
        </c:ser>
        <c:ser>
          <c:idx val="1"/>
          <c:order val="1"/>
          <c:tx>
            <c:strRef>
              <c:f>'Monthly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8-6A4C-94BC-4DEE4A520902}"/>
            </c:ext>
          </c:extLst>
        </c:ser>
        <c:ser>
          <c:idx val="2"/>
          <c:order val="2"/>
          <c:tx>
            <c:strRef>
              <c:f>'Monthly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8-6A4C-94BC-4DEE4A520902}"/>
            </c:ext>
          </c:extLst>
        </c:ser>
        <c:ser>
          <c:idx val="3"/>
          <c:order val="3"/>
          <c:tx>
            <c:strRef>
              <c:f>'Monthly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78-6A4C-94BC-4DEE4A520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4107824"/>
        <c:axId val="1974334784"/>
      </c:lineChart>
      <c:catAx>
        <c:axId val="148410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334784"/>
        <c:crosses val="autoZero"/>
        <c:auto val="1"/>
        <c:lblAlgn val="ctr"/>
        <c:lblOffset val="100"/>
        <c:noMultiLvlLbl val="0"/>
      </c:catAx>
      <c:valAx>
        <c:axId val="197433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10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1</xdr:row>
      <xdr:rowOff>0</xdr:rowOff>
    </xdr:from>
    <xdr:to>
      <xdr:col>13</xdr:col>
      <xdr:colOff>812800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B1F8BC-E1BA-CB4C-8A22-834530587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14</xdr:row>
      <xdr:rowOff>165100</xdr:rowOff>
    </xdr:from>
    <xdr:to>
      <xdr:col>7</xdr:col>
      <xdr:colOff>1066800</xdr:colOff>
      <xdr:row>35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37A32F-9856-ED43-99C1-223B82530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0</xdr:row>
      <xdr:rowOff>171450</xdr:rowOff>
    </xdr:from>
    <xdr:to>
      <xdr:col>15</xdr:col>
      <xdr:colOff>647700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63A011-1F72-A14D-A7B9-27EB283BD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4</xdr:row>
      <xdr:rowOff>0</xdr:rowOff>
    </xdr:from>
    <xdr:to>
      <xdr:col>17</xdr:col>
      <xdr:colOff>381000</xdr:colOff>
      <xdr:row>29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D4289F-B8A4-CA4B-AF6D-C088D4B40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654050</xdr:colOff>
      <xdr:row>2</xdr:row>
      <xdr:rowOff>69850</xdr:rowOff>
    </xdr:from>
    <xdr:to>
      <xdr:col>16</xdr:col>
      <xdr:colOff>495300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9D0CBE-A987-E241-9763-33450B455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Law" refreshedDate="44303.454093749999" createdVersion="7" refreshedVersion="7" minRefreshableVersion="3" recordCount="4114" xr:uid="{1ECD40C6-6BA4-AE40-9705-2A87D1E64E4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Law" refreshedDate="44303.480708564814" createdVersion="7" refreshedVersion="7" minRefreshableVersion="3" recordCount="4114" xr:uid="{6EED688B-35D9-B34A-AC51-C4E608969971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Law" refreshedDate="44310.48517615741" createdVersion="7" refreshedVersion="7" minRefreshableVersion="3" recordCount="4114" xr:uid="{B4DE02EB-4C44-4347-9154-171BC37A34A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F91C9-C74B-024F-97C9-6F46B1848D1C}" name="PivotTable10" cacheId="5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830FD-637A-8A4A-A675-0B549FAE2A43}" name="PivotTable1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9CB27-DAE7-D348-B32B-97B82C7991ED}" name="PivotTable2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25065E-A6FB-3541-8AE2-786CD6591A19}" name="PivotTable4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C1" zoomScaleNormal="100" workbookViewId="0">
      <selection activeCell="C1" sqref="C1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6.33203125" bestFit="1" customWidth="1"/>
    <col min="16" max="16" width="15" bestFit="1" customWidth="1"/>
    <col min="17" max="17" width="26.1640625" bestFit="1" customWidth="1"/>
    <col min="19" max="19" width="19.83203125" bestFit="1" customWidth="1"/>
    <col min="20" max="20" width="18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8397</v>
      </c>
      <c r="R1" s="1" t="s">
        <v>8417</v>
      </c>
      <c r="S1" s="12" t="s">
        <v>8364</v>
      </c>
      <c r="T1" s="12" t="s">
        <v>8365</v>
      </c>
      <c r="U1" s="12" t="s">
        <v>8378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T4115" xr:uid="{9E899D04-7FB3-6C42-9479-617EE675FA51}"/>
  <conditionalFormatting sqref="F1:F1048576">
    <cfRule type="containsText" dxfId="3" priority="2" operator="containsText" text="cancelled">
      <formula>NOT(ISERROR(SEARCH("cancelled",F1)))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19387-AA09-F940-AC18-CFAC6D1F39CB}">
  <dimension ref="A1:E18"/>
  <sheetViews>
    <sheetView workbookViewId="0">
      <selection activeCell="G24" sqref="G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8397</v>
      </c>
      <c r="B1" t="s">
        <v>8315</v>
      </c>
    </row>
    <row r="2" spans="1:5" x14ac:dyDescent="0.2">
      <c r="A2" s="9" t="s">
        <v>8378</v>
      </c>
      <c r="B2" t="s">
        <v>8363</v>
      </c>
    </row>
    <row r="4" spans="1:5" x14ac:dyDescent="0.2">
      <c r="A4" s="9" t="s">
        <v>8362</v>
      </c>
      <c r="B4" s="9" t="s">
        <v>8359</v>
      </c>
    </row>
    <row r="5" spans="1:5" x14ac:dyDescent="0.2">
      <c r="A5" s="9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4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4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4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4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4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4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4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4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4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4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4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4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4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A3016-C09F-BE49-93F2-E8981FD553CF}">
  <dimension ref="A1:H13"/>
  <sheetViews>
    <sheetView topLeftCell="A15" workbookViewId="0">
      <selection activeCell="Q12" sqref="Q12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5.33203125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t="s">
        <v>8405</v>
      </c>
      <c r="B2">
        <f>COUNTIFS(outcomes,"successful", goal,"&lt;1000", Subcategory,"plays")</f>
        <v>141</v>
      </c>
      <c r="C2">
        <f>COUNTIFS(outcomes,"failed",goal,"&lt;1000", Subcategory,"plays")</f>
        <v>45</v>
      </c>
      <c r="D2">
        <f>COUNTIFS(outcomes,"canceled",goal,"&lt;1000", Subcategory,"plays")</f>
        <v>0</v>
      </c>
      <c r="E2">
        <f>SUM(B2:D2)</f>
        <v>186</v>
      </c>
      <c r="F2" s="16">
        <f>(B2/$E2)</f>
        <v>0.75806451612903225</v>
      </c>
      <c r="G2" s="16">
        <f>(C2/$E2)</f>
        <v>0.24193548387096775</v>
      </c>
      <c r="H2" s="16">
        <f>(D2/$E2)</f>
        <v>0</v>
      </c>
    </row>
    <row r="3" spans="1:8" x14ac:dyDescent="0.2">
      <c r="A3" t="s">
        <v>8406</v>
      </c>
      <c r="B3">
        <f>COUNTIFS(outcomes,"successful", goal,"&gt;=100",goal,"&lt;4999", Subcategory,"plays")</f>
        <v>523</v>
      </c>
      <c r="C3">
        <f>COUNTIFS(outcomes,"failed",goal,"&gt;=100",goal,"&lt;4999", Subcategory,"plays")</f>
        <v>191</v>
      </c>
      <c r="D3">
        <f>COUNTIFS(outcomes,"canceled",goal,"&gt;=100",goal,"&lt;4999", Subcategory,"plays")</f>
        <v>0</v>
      </c>
      <c r="E3">
        <f t="shared" ref="E3:E13" si="0">SUM(B3:D3)</f>
        <v>714</v>
      </c>
      <c r="F3" s="16">
        <f t="shared" ref="F3:H13" si="1">(B3/$E3)</f>
        <v>0.7324929971988795</v>
      </c>
      <c r="G3" s="16">
        <f t="shared" si="1"/>
        <v>0.26750700280112044</v>
      </c>
      <c r="H3" s="16">
        <f t="shared" si="1"/>
        <v>0</v>
      </c>
    </row>
    <row r="4" spans="1:8" x14ac:dyDescent="0.2">
      <c r="A4" t="s">
        <v>8407</v>
      </c>
      <c r="B4">
        <f>COUNTIFS(outcomes,"successful", goal,"&gt;=5000",goal,"&lt;9999", Subcategory,"plays")</f>
        <v>93</v>
      </c>
      <c r="C4">
        <f>COUNTIFS(outcomes,"failed",goal,"&gt;=5000",goal,"&lt;9999", Subcategory,"plays")</f>
        <v>76</v>
      </c>
      <c r="D4">
        <f>COUNTIFS(outcomes,"canceled",goal,"&gt;=5000",goal,"&lt;9999", Subcategory,"plays")</f>
        <v>0</v>
      </c>
      <c r="E4">
        <f t="shared" si="0"/>
        <v>169</v>
      </c>
      <c r="F4" s="16">
        <f t="shared" si="1"/>
        <v>0.55029585798816572</v>
      </c>
      <c r="G4" s="16">
        <f t="shared" si="1"/>
        <v>0.44970414201183434</v>
      </c>
      <c r="H4" s="16">
        <f t="shared" si="1"/>
        <v>0</v>
      </c>
    </row>
    <row r="5" spans="1:8" x14ac:dyDescent="0.2">
      <c r="A5" t="s">
        <v>8408</v>
      </c>
      <c r="B5">
        <f>COUNTIFS(outcomes,"successful", goal,"&gt;=10000",goal,"&lt;14999", Subcategory,"plays")</f>
        <v>39</v>
      </c>
      <c r="C5">
        <f>COUNTIFS(outcomes,"failed",goal,"&gt;=10000",goal,"&lt;14999", Subcategory,"plays")</f>
        <v>33</v>
      </c>
      <c r="D5">
        <f>COUNTIFS(outcomes,"canceled",goal,"&gt;=10000",goal,"&lt;14999", Subcategory,"plays")</f>
        <v>0</v>
      </c>
      <c r="E5">
        <f t="shared" si="0"/>
        <v>72</v>
      </c>
      <c r="F5" s="16">
        <f t="shared" si="1"/>
        <v>0.54166666666666663</v>
      </c>
      <c r="G5" s="16">
        <f t="shared" si="1"/>
        <v>0.45833333333333331</v>
      </c>
      <c r="H5" s="16">
        <f t="shared" si="1"/>
        <v>0</v>
      </c>
    </row>
    <row r="6" spans="1:8" x14ac:dyDescent="0.2">
      <c r="A6" t="s">
        <v>8409</v>
      </c>
      <c r="B6">
        <f>COUNTIFS(outcomes,"successful", goal,"&gt;=15000",goal,"&lt;19999", Subcategory,"plays")</f>
        <v>12</v>
      </c>
      <c r="C6">
        <f>COUNTIFS(outcomes,"failed",goal,"&gt;=15000",goal,"&lt;19999", Subcategory,"plays")</f>
        <v>12</v>
      </c>
      <c r="D6">
        <f>COUNTIFS(outcomes,"canceled",goal,"&gt;=15000",goal,"&lt;19999", Subcategory,"plays")</f>
        <v>0</v>
      </c>
      <c r="E6">
        <f t="shared" si="0"/>
        <v>24</v>
      </c>
      <c r="F6" s="16">
        <f t="shared" si="1"/>
        <v>0.5</v>
      </c>
      <c r="G6" s="16">
        <f t="shared" si="1"/>
        <v>0.5</v>
      </c>
      <c r="H6" s="16">
        <f t="shared" si="1"/>
        <v>0</v>
      </c>
    </row>
    <row r="7" spans="1:8" x14ac:dyDescent="0.2">
      <c r="A7" t="s">
        <v>8410</v>
      </c>
      <c r="B7">
        <f>COUNTIFS(outcomes,"successful", goal,"&gt;=20000",goal,"&lt;24999", Subcategory,"plays")</f>
        <v>9</v>
      </c>
      <c r="C7">
        <f>COUNTIFS(outcomes,"failed",goal,"&gt;=20000",goal,"&lt;24999", Subcategory,"plays")</f>
        <v>11</v>
      </c>
      <c r="D7">
        <f>COUNTIFS(outcomes,"canceled",goal,"&gt;=20000",goal,"&lt;24999", Subcategory,"plays")</f>
        <v>0</v>
      </c>
      <c r="E7">
        <f t="shared" si="0"/>
        <v>20</v>
      </c>
      <c r="F7" s="16">
        <f t="shared" si="1"/>
        <v>0.45</v>
      </c>
      <c r="G7" s="16">
        <f t="shared" si="1"/>
        <v>0.55000000000000004</v>
      </c>
      <c r="H7" s="16">
        <f t="shared" si="1"/>
        <v>0</v>
      </c>
    </row>
    <row r="8" spans="1:8" x14ac:dyDescent="0.2">
      <c r="A8" t="s">
        <v>8411</v>
      </c>
      <c r="B8">
        <f>COUNTIFS(outcomes,"successful", goal,"&gt;=25000",goal,"&lt;29999", Subcategory,"plays")</f>
        <v>1</v>
      </c>
      <c r="C8">
        <f>COUNTIFS(outcomes,"failed",goal,"&gt;=25000",goal,"&lt;29999", Subcategory,"plays")</f>
        <v>4</v>
      </c>
      <c r="D8">
        <f>COUNTIFS(outcomes,"canceled",goal,"&gt;=25000",goal,"&lt;29999", Subcategory,"plays")</f>
        <v>0</v>
      </c>
      <c r="E8">
        <f t="shared" si="0"/>
        <v>5</v>
      </c>
      <c r="F8" s="16">
        <f t="shared" si="1"/>
        <v>0.2</v>
      </c>
      <c r="G8" s="16">
        <f t="shared" si="1"/>
        <v>0.8</v>
      </c>
      <c r="H8" s="16">
        <f t="shared" si="1"/>
        <v>0</v>
      </c>
    </row>
    <row r="9" spans="1:8" x14ac:dyDescent="0.2">
      <c r="A9" t="s">
        <v>8412</v>
      </c>
      <c r="B9">
        <f>COUNTIFS(outcomes,"successful", goal,"&gt;=30000",goal,"&lt;34999", Subcategory,"plays")</f>
        <v>3</v>
      </c>
      <c r="C9">
        <f>COUNTIFS(outcomes,"failed",goal,"&gt;=30000",goal,"&lt;34999", Subcategory,"plays")</f>
        <v>8</v>
      </c>
      <c r="D9">
        <f>COUNTIFS(outcomes,"canceled",goal,"&gt;=30000",goal,"&lt;34999", Subcategory,"plays")</f>
        <v>0</v>
      </c>
      <c r="E9">
        <f t="shared" si="0"/>
        <v>11</v>
      </c>
      <c r="F9" s="16">
        <f t="shared" si="1"/>
        <v>0.27272727272727271</v>
      </c>
      <c r="G9" s="16">
        <f t="shared" si="1"/>
        <v>0.72727272727272729</v>
      </c>
      <c r="H9" s="16">
        <f t="shared" si="1"/>
        <v>0</v>
      </c>
    </row>
    <row r="10" spans="1:8" x14ac:dyDescent="0.2">
      <c r="A10" t="s">
        <v>8413</v>
      </c>
      <c r="B10">
        <f>COUNTIFS(outcomes,"successful", goal,"&gt;=35000",goal,"&lt;39999", Subcategory,"plays")</f>
        <v>4</v>
      </c>
      <c r="C10">
        <f>COUNTIFS(outcomes,"failed",goal,"&gt;=35000",goal,"&lt;39999", Subcategory,"plays")</f>
        <v>2</v>
      </c>
      <c r="D10">
        <f>COUNTIFS(outcomes,"canceled",goal,"&gt;=35000",goal,"&lt;39999", Subcategory,"plays")</f>
        <v>0</v>
      </c>
      <c r="E10">
        <f t="shared" si="0"/>
        <v>6</v>
      </c>
      <c r="F10" s="16">
        <f t="shared" si="1"/>
        <v>0.66666666666666663</v>
      </c>
      <c r="G10" s="16">
        <f t="shared" si="1"/>
        <v>0.33333333333333331</v>
      </c>
      <c r="H10" s="16">
        <f t="shared" si="1"/>
        <v>0</v>
      </c>
    </row>
    <row r="11" spans="1:8" x14ac:dyDescent="0.2">
      <c r="A11" t="s">
        <v>8414</v>
      </c>
      <c r="B11">
        <f>COUNTIFS(outcomes,"successful", goal,"&gt;=40000",goal,"&lt;44999", Subcategory,"plays")</f>
        <v>2</v>
      </c>
      <c r="C11">
        <f>COUNTIFS(outcomes,"failed",goal,"&gt;=40000",goal,"&lt;44999", Subcategory,"plays")</f>
        <v>1</v>
      </c>
      <c r="D11">
        <f>COUNTIFS(outcomes,"canceled",goal,"&gt;=40000",goal,"&lt;44999", Subcategory,"plays")</f>
        <v>0</v>
      </c>
      <c r="E11">
        <f t="shared" si="0"/>
        <v>3</v>
      </c>
      <c r="F11" s="16">
        <f t="shared" si="1"/>
        <v>0.66666666666666663</v>
      </c>
      <c r="G11" s="16">
        <f t="shared" si="1"/>
        <v>0.33333333333333331</v>
      </c>
      <c r="H11" s="16">
        <f t="shared" si="1"/>
        <v>0</v>
      </c>
    </row>
    <row r="12" spans="1:8" x14ac:dyDescent="0.2">
      <c r="A12" t="s">
        <v>8415</v>
      </c>
      <c r="B12">
        <f>COUNTIFS(outcomes,"successful", goal,"&gt;=45000",goal,"&lt;49999", Subcategory,"plays")</f>
        <v>0</v>
      </c>
      <c r="C12">
        <f>COUNTIFS(outcomes,"failed",goal,"&gt;=45000",goal,"&lt;49999", Subcategory,"plays")</f>
        <v>1</v>
      </c>
      <c r="D12">
        <f>COUNTIFS(outcomes,"canceled",goal,"&gt;=45000",goal,"&lt;49999", Subcategory,"plays")</f>
        <v>0</v>
      </c>
      <c r="E12">
        <f t="shared" si="0"/>
        <v>1</v>
      </c>
      <c r="F12" s="16">
        <f t="shared" si="1"/>
        <v>0</v>
      </c>
      <c r="G12" s="16">
        <f t="shared" si="1"/>
        <v>1</v>
      </c>
      <c r="H12" s="16">
        <f t="shared" si="1"/>
        <v>0</v>
      </c>
    </row>
    <row r="13" spans="1:8" x14ac:dyDescent="0.2">
      <c r="A13" t="s">
        <v>8416</v>
      </c>
      <c r="B13">
        <f>COUNTIFS(outcomes,"successful", goal,"&gt;=50000",Subcategory,"plays")</f>
        <v>2</v>
      </c>
      <c r="C13">
        <f>COUNTIFS(outcomes,"failed",goal,"&gt;=50000",Subcategory,"plays")</f>
        <v>14</v>
      </c>
      <c r="D13">
        <f>COUNTIFS(outcomes,"canceled",goal,"&gt;=50000",Subcategory,"plays")</f>
        <v>0</v>
      </c>
      <c r="E13">
        <f t="shared" si="0"/>
        <v>16</v>
      </c>
      <c r="F13" s="16">
        <f t="shared" si="1"/>
        <v>0.125</v>
      </c>
      <c r="G13" s="16">
        <f t="shared" si="1"/>
        <v>0.875</v>
      </c>
      <c r="H13" s="16">
        <f t="shared" si="1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69E1A-A1F5-7248-B034-95926B19C7E8}">
  <dimension ref="A1:C14"/>
  <sheetViews>
    <sheetView workbookViewId="0">
      <selection activeCell="C11" sqref="C11"/>
    </sheetView>
  </sheetViews>
  <sheetFormatPr baseColWidth="10" defaultRowHeight="15" x14ac:dyDescent="0.2"/>
  <cols>
    <col min="1" max="1" width="24.1640625" bestFit="1" customWidth="1"/>
    <col min="2" max="2" width="12.1640625" bestFit="1" customWidth="1"/>
    <col min="3" max="3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5" t="e">
        <f>AVERAGE(#REF!)</f>
        <v>#REF!</v>
      </c>
      <c r="C2" s="15" t="e">
        <f>AVERAGE(#REF!)</f>
        <v>#REF!</v>
      </c>
    </row>
    <row r="3" spans="1:3" x14ac:dyDescent="0.2">
      <c r="A3" t="s">
        <v>8386</v>
      </c>
      <c r="B3" s="15" t="e">
        <f>MEDIAN(#REF!)</f>
        <v>#REF!</v>
      </c>
      <c r="C3" s="15" t="e">
        <f>MEDIAN(#REF!)</f>
        <v>#REF!</v>
      </c>
    </row>
    <row r="4" spans="1:3" x14ac:dyDescent="0.2">
      <c r="A4" t="s">
        <v>8393</v>
      </c>
      <c r="B4" s="15" t="e">
        <f>_xlfn.STDEV.P(#REF!)</f>
        <v>#REF!</v>
      </c>
      <c r="C4" s="15" t="e">
        <f>_xlfn.STDEV.P(#REF!)</f>
        <v>#REF!</v>
      </c>
    </row>
    <row r="5" spans="1:3" x14ac:dyDescent="0.2">
      <c r="A5" t="s">
        <v>8394</v>
      </c>
      <c r="B5" s="15" t="e">
        <f>_xlfn.QUARTILE.EXC(#REF!,3)</f>
        <v>#REF!</v>
      </c>
      <c r="C5" s="15" t="e">
        <f>_xlfn.QUARTILE.EXC(#REF!,3)</f>
        <v>#REF!</v>
      </c>
    </row>
    <row r="6" spans="1:3" x14ac:dyDescent="0.2">
      <c r="A6" t="s">
        <v>8395</v>
      </c>
      <c r="B6" s="15" t="e">
        <f>_xlfn.QUARTILE.EXC(#REF!,1)</f>
        <v>#REF!</v>
      </c>
      <c r="C6" s="15" t="e">
        <f>_xlfn.QUARTILE.EXC(#REF!,1)</f>
        <v>#REF!</v>
      </c>
    </row>
    <row r="7" spans="1:3" x14ac:dyDescent="0.2">
      <c r="A7" t="s">
        <v>8396</v>
      </c>
      <c r="B7" s="15" t="e">
        <f>B5-B6</f>
        <v>#REF!</v>
      </c>
      <c r="C7" s="15" t="e">
        <f>C5-C6</f>
        <v>#REF!</v>
      </c>
    </row>
    <row r="8" spans="1:3" x14ac:dyDescent="0.2">
      <c r="B8" s="15"/>
      <c r="C8" s="15"/>
    </row>
    <row r="9" spans="1:3" x14ac:dyDescent="0.2">
      <c r="A9" t="s">
        <v>8388</v>
      </c>
      <c r="B9" s="15" t="e">
        <f>AVERAGE(#REF!)</f>
        <v>#REF!</v>
      </c>
      <c r="C9" s="15" t="e">
        <f>AVERAGE(#REF!)</f>
        <v>#REF!</v>
      </c>
    </row>
    <row r="10" spans="1:3" x14ac:dyDescent="0.2">
      <c r="A10" t="s">
        <v>8387</v>
      </c>
      <c r="B10" s="15" t="e">
        <f>MEDIAN(#REF!)</f>
        <v>#REF!</v>
      </c>
      <c r="C10" s="15" t="e">
        <f>MEDIAN(#REF!)</f>
        <v>#REF!</v>
      </c>
    </row>
    <row r="11" spans="1:3" x14ac:dyDescent="0.2">
      <c r="A11" t="s">
        <v>8389</v>
      </c>
      <c r="B11" s="15" t="e">
        <f>_xlfn.STDEV.P(#REF!)</f>
        <v>#REF!</v>
      </c>
      <c r="C11" s="15" t="e">
        <f>_xlfn.STDEV.P(#REF!)</f>
        <v>#REF!</v>
      </c>
    </row>
    <row r="12" spans="1:3" x14ac:dyDescent="0.2">
      <c r="A12" t="s">
        <v>8390</v>
      </c>
      <c r="B12" s="15" t="e">
        <f>_xlfn.QUARTILE.EXC(#REF!,3)</f>
        <v>#REF!</v>
      </c>
      <c r="C12" s="15" t="e">
        <f>_xlfn.QUARTILE.EXC(#REF!,3)</f>
        <v>#REF!</v>
      </c>
    </row>
    <row r="13" spans="1:3" x14ac:dyDescent="0.2">
      <c r="A13" t="s">
        <v>8391</v>
      </c>
      <c r="B13" s="15" t="e">
        <f>_xlfn.QUARTILE.EXC(#REF!,1)</f>
        <v>#REF!</v>
      </c>
      <c r="C13" s="15" t="e">
        <f>_xlfn.QUARTILE.EXC(#REF!,1)</f>
        <v>#REF!</v>
      </c>
    </row>
    <row r="14" spans="1:3" x14ac:dyDescent="0.2">
      <c r="A14" t="s">
        <v>8392</v>
      </c>
      <c r="B14" s="15" t="e">
        <f>B12-B13</f>
        <v>#REF!</v>
      </c>
      <c r="C14" s="15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9D879-54DE-F841-B656-4AB2581EE89E}">
  <dimension ref="A1:F14"/>
  <sheetViews>
    <sheetView workbookViewId="0">
      <selection activeCell="Q36" sqref="Q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8362</v>
      </c>
      <c r="B3" s="9" t="s">
        <v>8359</v>
      </c>
    </row>
    <row r="4" spans="1:6" x14ac:dyDescent="0.2">
      <c r="A4" s="9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2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0" t="s">
        <v>8360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D643A-F098-5E4E-8692-0236AF2490BF}">
  <dimension ref="A1:F47"/>
  <sheetViews>
    <sheetView workbookViewId="0">
      <selection activeCell="J1" sqref="J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8223</v>
      </c>
    </row>
    <row r="2" spans="1:6" x14ac:dyDescent="0.2">
      <c r="A2" s="9" t="s">
        <v>8358</v>
      </c>
      <c r="B2" t="s">
        <v>8363</v>
      </c>
    </row>
    <row r="4" spans="1:6" x14ac:dyDescent="0.2">
      <c r="A4" s="9" t="s">
        <v>8362</v>
      </c>
      <c r="B4" s="9" t="s">
        <v>8359</v>
      </c>
    </row>
    <row r="5" spans="1:6" x14ac:dyDescent="0.2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0" t="s">
        <v>8314</v>
      </c>
      <c r="B6" s="11"/>
      <c r="C6" s="11">
        <v>78</v>
      </c>
      <c r="D6" s="11"/>
      <c r="E6" s="11"/>
      <c r="F6" s="11">
        <v>78</v>
      </c>
    </row>
    <row r="7" spans="1:6" x14ac:dyDescent="0.2">
      <c r="A7" s="10" t="s">
        <v>8342</v>
      </c>
      <c r="B7" s="11">
        <v>16</v>
      </c>
      <c r="C7" s="11"/>
      <c r="D7" s="11"/>
      <c r="E7" s="11"/>
      <c r="F7" s="11">
        <v>16</v>
      </c>
    </row>
    <row r="8" spans="1:6" x14ac:dyDescent="0.2">
      <c r="A8" s="10" t="s">
        <v>8330</v>
      </c>
      <c r="B8" s="11">
        <v>23</v>
      </c>
      <c r="C8" s="11"/>
      <c r="D8" s="11"/>
      <c r="E8" s="11"/>
      <c r="F8" s="11">
        <v>23</v>
      </c>
    </row>
    <row r="9" spans="1:6" x14ac:dyDescent="0.2">
      <c r="A9" s="10" t="s">
        <v>8356</v>
      </c>
      <c r="B9" s="11"/>
      <c r="C9" s="11">
        <v>32</v>
      </c>
      <c r="D9" s="11"/>
      <c r="E9" s="11"/>
      <c r="F9" s="11">
        <v>32</v>
      </c>
    </row>
    <row r="10" spans="1:6" x14ac:dyDescent="0.2">
      <c r="A10" s="10" t="s">
        <v>8352</v>
      </c>
      <c r="B10" s="11"/>
      <c r="C10" s="11"/>
      <c r="D10" s="11"/>
      <c r="E10" s="11">
        <v>33</v>
      </c>
      <c r="F10" s="11">
        <v>33</v>
      </c>
    </row>
    <row r="11" spans="1:6" x14ac:dyDescent="0.2">
      <c r="A11" s="10" t="s">
        <v>8313</v>
      </c>
      <c r="B11" s="11"/>
      <c r="C11" s="11"/>
      <c r="D11" s="11"/>
      <c r="E11" s="11">
        <v>164</v>
      </c>
      <c r="F11" s="11">
        <v>164</v>
      </c>
    </row>
    <row r="12" spans="1:6" x14ac:dyDescent="0.2">
      <c r="A12" s="10" t="s">
        <v>8312</v>
      </c>
      <c r="B12" s="11"/>
      <c r="C12" s="11">
        <v>52</v>
      </c>
      <c r="D12" s="11"/>
      <c r="E12" s="11"/>
      <c r="F12" s="11">
        <v>52</v>
      </c>
    </row>
    <row r="13" spans="1:6" x14ac:dyDescent="0.2">
      <c r="A13" s="10" t="s">
        <v>8328</v>
      </c>
      <c r="B13" s="11"/>
      <c r="C13" s="11"/>
      <c r="D13" s="11"/>
      <c r="E13" s="11">
        <v>30</v>
      </c>
      <c r="F13" s="11">
        <v>30</v>
      </c>
    </row>
    <row r="14" spans="1:6" x14ac:dyDescent="0.2">
      <c r="A14" s="10" t="s">
        <v>8345</v>
      </c>
      <c r="B14" s="11"/>
      <c r="C14" s="11">
        <v>37</v>
      </c>
      <c r="D14" s="11">
        <v>17</v>
      </c>
      <c r="E14" s="11"/>
      <c r="F14" s="11">
        <v>54</v>
      </c>
    </row>
    <row r="15" spans="1:6" x14ac:dyDescent="0.2">
      <c r="A15" s="10" t="s">
        <v>8322</v>
      </c>
      <c r="B15" s="11"/>
      <c r="C15" s="11">
        <v>34</v>
      </c>
      <c r="D15" s="11"/>
      <c r="E15" s="11"/>
      <c r="F15" s="11">
        <v>34</v>
      </c>
    </row>
    <row r="16" spans="1:6" x14ac:dyDescent="0.2">
      <c r="A16" s="10" t="s">
        <v>8335</v>
      </c>
      <c r="B16" s="11">
        <v>15</v>
      </c>
      <c r="C16" s="11">
        <v>101</v>
      </c>
      <c r="D16" s="11"/>
      <c r="E16" s="11"/>
      <c r="F16" s="11">
        <v>116</v>
      </c>
    </row>
    <row r="17" spans="1:6" x14ac:dyDescent="0.2">
      <c r="A17" s="10" t="s">
        <v>8346</v>
      </c>
      <c r="B17" s="11"/>
      <c r="C17" s="11">
        <v>13</v>
      </c>
      <c r="D17" s="11"/>
      <c r="E17" s="11"/>
      <c r="F17" s="11">
        <v>13</v>
      </c>
    </row>
    <row r="18" spans="1:6" x14ac:dyDescent="0.2">
      <c r="A18" s="10" t="s">
        <v>8347</v>
      </c>
      <c r="B18" s="11"/>
      <c r="C18" s="11"/>
      <c r="D18" s="11"/>
      <c r="E18" s="11">
        <v>103</v>
      </c>
      <c r="F18" s="11">
        <v>103</v>
      </c>
    </row>
    <row r="19" spans="1:6" x14ac:dyDescent="0.2">
      <c r="A19" s="10" t="s">
        <v>8327</v>
      </c>
      <c r="B19" s="11"/>
      <c r="C19" s="11">
        <v>20</v>
      </c>
      <c r="D19" s="11"/>
      <c r="E19" s="11">
        <v>138</v>
      </c>
      <c r="F19" s="11">
        <v>158</v>
      </c>
    </row>
    <row r="20" spans="1:6" x14ac:dyDescent="0.2">
      <c r="A20" s="10" t="s">
        <v>8326</v>
      </c>
      <c r="B20" s="11"/>
      <c r="C20" s="11">
        <v>53</v>
      </c>
      <c r="D20" s="11"/>
      <c r="E20" s="11"/>
      <c r="F20" s="11">
        <v>53</v>
      </c>
    </row>
    <row r="21" spans="1:6" x14ac:dyDescent="0.2">
      <c r="A21" s="10" t="s">
        <v>8354</v>
      </c>
      <c r="B21" s="11"/>
      <c r="C21" s="11">
        <v>7</v>
      </c>
      <c r="D21" s="11"/>
      <c r="E21" s="11">
        <v>7</v>
      </c>
      <c r="F21" s="11">
        <v>14</v>
      </c>
    </row>
    <row r="22" spans="1:6" x14ac:dyDescent="0.2">
      <c r="A22" s="10" t="s">
        <v>8325</v>
      </c>
      <c r="B22" s="11"/>
      <c r="C22" s="11"/>
      <c r="D22" s="11"/>
      <c r="E22" s="11">
        <v>14</v>
      </c>
      <c r="F22" s="11">
        <v>14</v>
      </c>
    </row>
    <row r="23" spans="1:6" x14ac:dyDescent="0.2">
      <c r="A23" s="10" t="s">
        <v>8333</v>
      </c>
      <c r="B23" s="11"/>
      <c r="C23" s="11">
        <v>23</v>
      </c>
      <c r="D23" s="11"/>
      <c r="E23" s="11"/>
      <c r="F23" s="11">
        <v>23</v>
      </c>
    </row>
    <row r="24" spans="1:6" x14ac:dyDescent="0.2">
      <c r="A24" s="10" t="s">
        <v>8357</v>
      </c>
      <c r="B24" s="11">
        <v>11</v>
      </c>
      <c r="C24" s="11">
        <v>40</v>
      </c>
      <c r="D24" s="11"/>
      <c r="E24" s="11">
        <v>45</v>
      </c>
      <c r="F24" s="11">
        <v>96</v>
      </c>
    </row>
    <row r="25" spans="1:6" x14ac:dyDescent="0.2">
      <c r="A25" s="10" t="s">
        <v>8341</v>
      </c>
      <c r="B25" s="11"/>
      <c r="C25" s="11">
        <v>14</v>
      </c>
      <c r="D25" s="11"/>
      <c r="E25" s="11"/>
      <c r="F25" s="11">
        <v>14</v>
      </c>
    </row>
    <row r="26" spans="1:6" x14ac:dyDescent="0.2">
      <c r="A26" s="10" t="s">
        <v>8321</v>
      </c>
      <c r="B26" s="11"/>
      <c r="C26" s="11"/>
      <c r="D26" s="11"/>
      <c r="E26" s="11">
        <v>49</v>
      </c>
      <c r="F26" s="11">
        <v>49</v>
      </c>
    </row>
    <row r="27" spans="1:6" x14ac:dyDescent="0.2">
      <c r="A27" s="10" t="s">
        <v>8348</v>
      </c>
      <c r="B27" s="11"/>
      <c r="C27" s="11">
        <v>11</v>
      </c>
      <c r="D27" s="11"/>
      <c r="E27" s="11"/>
      <c r="F27" s="11">
        <v>11</v>
      </c>
    </row>
    <row r="28" spans="1:6" x14ac:dyDescent="0.2">
      <c r="A28" s="10" t="s">
        <v>8337</v>
      </c>
      <c r="B28" s="11"/>
      <c r="C28" s="11">
        <v>34</v>
      </c>
      <c r="D28" s="11"/>
      <c r="E28" s="11">
        <v>62</v>
      </c>
      <c r="F28" s="11">
        <v>96</v>
      </c>
    </row>
    <row r="29" spans="1:6" x14ac:dyDescent="0.2">
      <c r="A29" s="10" t="s">
        <v>8343</v>
      </c>
      <c r="B29" s="11"/>
      <c r="C29" s="11">
        <v>13</v>
      </c>
      <c r="D29" s="11"/>
      <c r="E29" s="11"/>
      <c r="F29" s="11">
        <v>13</v>
      </c>
    </row>
    <row r="30" spans="1:6" x14ac:dyDescent="0.2">
      <c r="A30" s="10" t="s">
        <v>8316</v>
      </c>
      <c r="B30" s="11"/>
      <c r="C30" s="11">
        <v>250</v>
      </c>
      <c r="D30" s="11">
        <v>9</v>
      </c>
      <c r="E30" s="11">
        <v>412</v>
      </c>
      <c r="F30" s="11">
        <v>671</v>
      </c>
    </row>
    <row r="31" spans="1:6" x14ac:dyDescent="0.2">
      <c r="A31" s="10" t="s">
        <v>8344</v>
      </c>
      <c r="B31" s="11"/>
      <c r="C31" s="11"/>
      <c r="D31" s="11"/>
      <c r="E31" s="11">
        <v>35</v>
      </c>
      <c r="F31" s="11">
        <v>35</v>
      </c>
    </row>
    <row r="32" spans="1:6" x14ac:dyDescent="0.2">
      <c r="A32" s="10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8351</v>
      </c>
      <c r="B33" s="11"/>
      <c r="C33" s="11">
        <v>14</v>
      </c>
      <c r="D33" s="11"/>
      <c r="E33" s="11"/>
      <c r="F33" s="11">
        <v>14</v>
      </c>
    </row>
    <row r="34" spans="1:6" x14ac:dyDescent="0.2">
      <c r="A34" s="10" t="s">
        <v>8324</v>
      </c>
      <c r="B34" s="11"/>
      <c r="C34" s="11"/>
      <c r="D34" s="11"/>
      <c r="E34" s="11">
        <v>240</v>
      </c>
      <c r="F34" s="11">
        <v>240</v>
      </c>
    </row>
    <row r="35" spans="1:6" x14ac:dyDescent="0.2">
      <c r="A35" s="10" t="s">
        <v>8311</v>
      </c>
      <c r="B35" s="11">
        <v>31</v>
      </c>
      <c r="C35" s="11"/>
      <c r="D35" s="11"/>
      <c r="E35" s="11"/>
      <c r="F35" s="11">
        <v>31</v>
      </c>
    </row>
    <row r="36" spans="1:6" x14ac:dyDescent="0.2">
      <c r="A36" s="10" t="s">
        <v>8310</v>
      </c>
      <c r="B36" s="11"/>
      <c r="C36" s="11"/>
      <c r="D36" s="11"/>
      <c r="E36" s="11">
        <v>48</v>
      </c>
      <c r="F36" s="11">
        <v>48</v>
      </c>
    </row>
    <row r="37" spans="1:6" x14ac:dyDescent="0.2">
      <c r="A37" s="10" t="s">
        <v>8350</v>
      </c>
      <c r="B37" s="11"/>
      <c r="C37" s="11"/>
      <c r="D37" s="11">
        <v>4</v>
      </c>
      <c r="E37" s="11">
        <v>34</v>
      </c>
      <c r="F37" s="11">
        <v>38</v>
      </c>
    </row>
    <row r="38" spans="1:6" x14ac:dyDescent="0.2">
      <c r="A38" s="10" t="s">
        <v>8353</v>
      </c>
      <c r="B38" s="11">
        <v>15</v>
      </c>
      <c r="C38" s="11">
        <v>1</v>
      </c>
      <c r="D38" s="11"/>
      <c r="E38" s="11">
        <v>31</v>
      </c>
      <c r="F38" s="11">
        <v>47</v>
      </c>
    </row>
    <row r="39" spans="1:6" x14ac:dyDescent="0.2">
      <c r="A39" s="10" t="s">
        <v>8355</v>
      </c>
      <c r="B39" s="11">
        <v>15</v>
      </c>
      <c r="C39" s="11">
        <v>59</v>
      </c>
      <c r="D39" s="11">
        <v>3</v>
      </c>
      <c r="E39" s="11">
        <v>68</v>
      </c>
      <c r="F39" s="11">
        <v>145</v>
      </c>
    </row>
    <row r="40" spans="1:6" x14ac:dyDescent="0.2">
      <c r="A40" s="10" t="s">
        <v>8349</v>
      </c>
      <c r="B40" s="11"/>
      <c r="C40" s="11"/>
      <c r="D40" s="11"/>
      <c r="E40" s="11">
        <v>52</v>
      </c>
      <c r="F40" s="11">
        <v>52</v>
      </c>
    </row>
    <row r="41" spans="1:6" x14ac:dyDescent="0.2">
      <c r="A41" s="10" t="s">
        <v>8309</v>
      </c>
      <c r="B41" s="11"/>
      <c r="C41" s="11"/>
      <c r="D41" s="11"/>
      <c r="E41" s="11">
        <v>49</v>
      </c>
      <c r="F41" s="11">
        <v>49</v>
      </c>
    </row>
    <row r="42" spans="1:6" x14ac:dyDescent="0.2">
      <c r="A42" s="10" t="s">
        <v>8339</v>
      </c>
      <c r="B42" s="11">
        <v>6</v>
      </c>
      <c r="C42" s="11">
        <v>21</v>
      </c>
      <c r="D42" s="11"/>
      <c r="E42" s="11"/>
      <c r="F42" s="11">
        <v>27</v>
      </c>
    </row>
    <row r="43" spans="1:6" x14ac:dyDescent="0.2">
      <c r="A43" s="10" t="s">
        <v>8332</v>
      </c>
      <c r="B43" s="11"/>
      <c r="C43" s="11">
        <v>73</v>
      </c>
      <c r="D43" s="11"/>
      <c r="E43" s="11"/>
      <c r="F43" s="11">
        <v>73</v>
      </c>
    </row>
    <row r="44" spans="1:6" x14ac:dyDescent="0.2">
      <c r="A44" s="10" t="s">
        <v>8319</v>
      </c>
      <c r="B44" s="11">
        <v>47</v>
      </c>
      <c r="C44" s="11">
        <v>81</v>
      </c>
      <c r="D44" s="11"/>
      <c r="E44" s="11">
        <v>17</v>
      </c>
      <c r="F44" s="11">
        <v>145</v>
      </c>
    </row>
    <row r="45" spans="1:6" x14ac:dyDescent="0.2">
      <c r="A45" s="10" t="s">
        <v>8318</v>
      </c>
      <c r="B45" s="11">
        <v>59</v>
      </c>
      <c r="C45" s="11">
        <v>36</v>
      </c>
      <c r="D45" s="11"/>
      <c r="E45" s="11"/>
      <c r="F45" s="11">
        <v>95</v>
      </c>
    </row>
    <row r="46" spans="1:6" x14ac:dyDescent="0.2">
      <c r="A46" s="10" t="s">
        <v>8338</v>
      </c>
      <c r="B46" s="11">
        <v>19</v>
      </c>
      <c r="C46" s="11"/>
      <c r="D46" s="11"/>
      <c r="E46" s="11"/>
      <c r="F46" s="11">
        <v>19</v>
      </c>
    </row>
    <row r="47" spans="1:6" x14ac:dyDescent="0.2">
      <c r="A47" s="10" t="s">
        <v>8360</v>
      </c>
      <c r="B47" s="11">
        <v>257</v>
      </c>
      <c r="C47" s="11">
        <v>1097</v>
      </c>
      <c r="D47" s="11">
        <v>33</v>
      </c>
      <c r="E47" s="11">
        <v>1651</v>
      </c>
      <c r="F47" s="11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83E19-3A25-A04F-A403-149FF3CB661C}">
  <dimension ref="A1:F18"/>
  <sheetViews>
    <sheetView workbookViewId="0">
      <selection activeCell="M35" sqref="M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8358</v>
      </c>
      <c r="B1" t="s">
        <v>8363</v>
      </c>
    </row>
    <row r="2" spans="1:6" x14ac:dyDescent="0.2">
      <c r="A2" s="9" t="s">
        <v>8378</v>
      </c>
      <c r="B2" t="s">
        <v>8363</v>
      </c>
    </row>
    <row r="4" spans="1:6" x14ac:dyDescent="0.2">
      <c r="A4" s="9" t="s">
        <v>8362</v>
      </c>
      <c r="B4" s="9" t="s">
        <v>8359</v>
      </c>
    </row>
    <row r="5" spans="1:6" x14ac:dyDescent="0.2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4" t="s">
        <v>8372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4" t="s">
        <v>8373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4" t="s">
        <v>8374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4" t="s">
        <v>8375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4" t="s">
        <v>8366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4" t="s">
        <v>8376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4" t="s">
        <v>8367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4" t="s">
        <v>8368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4" t="s">
        <v>8369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4" t="s">
        <v>8370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4" t="s">
        <v>8371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4" t="s">
        <v>8377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4" t="s">
        <v>8360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62A25-50D6-CD4D-B41E-BC85262C6ED6}">
  <dimension ref="A1:F6"/>
  <sheetViews>
    <sheetView workbookViewId="0">
      <selection activeCell="G18" sqref="G18"/>
    </sheetView>
  </sheetViews>
  <sheetFormatPr baseColWidth="10" defaultRowHeight="15" x14ac:dyDescent="0.2"/>
  <cols>
    <col min="1" max="1" width="27.83203125" bestFit="1" customWidth="1"/>
    <col min="2" max="2" width="109" bestFit="1" customWidth="1"/>
  </cols>
  <sheetData>
    <row r="1" spans="1:6" x14ac:dyDescent="0.2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Kickstarter!B:O,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Kickstarter!B:O,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Kickstarter!B:O,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Kickstarter!B:O,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Kickstarter!B:O,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Kickstarter</vt:lpstr>
      <vt:lpstr>Theater Outcomes by Launch Date</vt:lpstr>
      <vt:lpstr>Outcome Based On Goals</vt:lpstr>
      <vt:lpstr>Descriptive Statistics</vt:lpstr>
      <vt:lpstr>Category Statistics</vt:lpstr>
      <vt:lpstr>SubCategory Statistics</vt:lpstr>
      <vt:lpstr>Monthly Outcomes</vt:lpstr>
      <vt:lpstr>Edinburgh Research</vt:lpstr>
      <vt:lpstr>goal</vt:lpstr>
      <vt:lpstr>outcomes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Law</cp:lastModifiedBy>
  <dcterms:created xsi:type="dcterms:W3CDTF">2017-04-20T15:17:24Z</dcterms:created>
  <dcterms:modified xsi:type="dcterms:W3CDTF">2021-04-26T00:15:41Z</dcterms:modified>
</cp:coreProperties>
</file>