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dean/Dev/battery-led-strip/BatteryLedStripDriver-R0/"/>
    </mc:Choice>
  </mc:AlternateContent>
  <xr:revisionPtr revIDLastSave="0" documentId="13_ncr:1_{31AB33DA-E13F-E04B-80E8-F6477892638E}" xr6:coauthVersionLast="47" xr6:coauthVersionMax="47" xr10:uidLastSave="{00000000-0000-0000-0000-000000000000}"/>
  <bookViews>
    <workbookView xWindow="3840" yWindow="2320" windowWidth="31960" windowHeight="20520" activeTab="1" xr2:uid="{1E6A3B6A-A829-E84B-9027-A4F112365002}"/>
  </bookViews>
  <sheets>
    <sheet name="Boost" sheetId="1" r:id="rId1"/>
    <sheet name="555 Timer" sheetId="2" r:id="rId2"/>
  </sheets>
  <definedNames>
    <definedName name="Cin">Boost!$B$47</definedName>
    <definedName name="Cout">Boost!$B$75</definedName>
    <definedName name="Ctim">'555 Timer'!#REF!</definedName>
    <definedName name="D">Boost!$B$25</definedName>
    <definedName name="Dccm">Boost!$B$23</definedName>
    <definedName name="Ddcm">Boost!$B$24</definedName>
    <definedName name="deltaIL">Boost!$B$33</definedName>
    <definedName name="EFF">Boost!$B$28</definedName>
    <definedName name="fsw">Boost!$B$16</definedName>
    <definedName name="I_lim">Boost!$B$12</definedName>
    <definedName name="Iin_dc">Boost!$B$29</definedName>
    <definedName name="Iout">Boost!$B$7</definedName>
    <definedName name="Iss">Boost!$B$62</definedName>
    <definedName name="Kripple">Boost!$B$9</definedName>
    <definedName name="L">Boost!$B$8</definedName>
    <definedName name="Rbot">Boost!$B$55</definedName>
    <definedName name="Rcin">Boost!$B$48</definedName>
    <definedName name="Rout">Boost!$B$74</definedName>
    <definedName name="Rtim1">'555 Timer'!#REF!</definedName>
    <definedName name="Rtim2">'555 Timer'!#REF!</definedName>
    <definedName name="Tonmin">Boost!$B$13</definedName>
    <definedName name="Tss">Boost!$B$63</definedName>
    <definedName name="Vd">Boost!$B$6</definedName>
    <definedName name="Vfb">Boost!$B$53</definedName>
    <definedName name="Vin">Boost!$B$4</definedName>
    <definedName name="Vout">Boost!$B$5</definedName>
    <definedName name="Vripple">Boost!$B$10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" i="1" l="1"/>
  <c r="B7" i="2"/>
  <c r="G9" i="2" s="1"/>
  <c r="H4" i="2"/>
  <c r="I4" i="2"/>
  <c r="J4" i="2"/>
  <c r="H5" i="2"/>
  <c r="I5" i="2"/>
  <c r="J5" i="2"/>
  <c r="D4" i="2"/>
  <c r="E4" i="2"/>
  <c r="F4" i="2"/>
  <c r="G4" i="2"/>
  <c r="D5" i="2"/>
  <c r="E5" i="2"/>
  <c r="F5" i="2"/>
  <c r="G5" i="2"/>
  <c r="C5" i="2"/>
  <c r="C4" i="2"/>
  <c r="B5" i="2"/>
  <c r="B4" i="2"/>
  <c r="G6" i="1"/>
  <c r="G7" i="1" s="1"/>
  <c r="G9" i="1" s="1"/>
  <c r="B4" i="1"/>
  <c r="F9" i="1" s="1"/>
  <c r="F7" i="1"/>
  <c r="F6" i="1"/>
  <c r="B23" i="1"/>
  <c r="B25" i="1" s="1"/>
  <c r="B41" i="1" s="1" a="1"/>
  <c r="B41" i="1" s="1"/>
  <c r="C41" i="1" s="1"/>
  <c r="B74" i="1"/>
  <c r="B77" i="1" a="1"/>
  <c r="B77" i="1" s="1"/>
  <c r="C77" i="1" s="1"/>
  <c r="B68" i="1"/>
  <c r="B64" i="1"/>
  <c r="C64" i="1" s="1"/>
  <c r="B54" i="1" a="1"/>
  <c r="B54" i="1" s="1"/>
  <c r="C54" i="1" s="1"/>
  <c r="B55" i="1"/>
  <c r="C55" i="1" s="1"/>
  <c r="C48" i="1"/>
  <c r="C47" i="1"/>
  <c r="B24" i="1" a="1"/>
  <c r="B24" i="1" s="1"/>
  <c r="B29" i="1" a="1"/>
  <c r="B29" i="1" s="1"/>
  <c r="B31" i="1" s="1" a="1"/>
  <c r="B31" i="1" s="1"/>
  <c r="B22" i="1" a="1"/>
  <c r="B22" i="1" s="1"/>
  <c r="C16" i="1"/>
  <c r="C13" i="1"/>
  <c r="B21" i="1" a="1"/>
  <c r="B21" i="1" s="1"/>
  <c r="C21" i="1" s="1"/>
  <c r="B17" i="1"/>
  <c r="B18" i="1" s="1"/>
  <c r="C9" i="2" l="1"/>
  <c r="J8" i="2"/>
  <c r="G8" i="2"/>
  <c r="G14" i="2" s="1"/>
  <c r="G15" i="2" s="1"/>
  <c r="E9" i="2"/>
  <c r="E8" i="2"/>
  <c r="E10" i="2" s="1"/>
  <c r="B8" i="2"/>
  <c r="J9" i="2"/>
  <c r="J11" i="2" s="1"/>
  <c r="C8" i="2"/>
  <c r="C14" i="2" s="1"/>
  <c r="C15" i="2" s="1"/>
  <c r="B9" i="2"/>
  <c r="F9" i="2"/>
  <c r="F8" i="2"/>
  <c r="J14" i="2"/>
  <c r="J15" i="2" s="1"/>
  <c r="F14" i="2"/>
  <c r="F15" i="2" s="1"/>
  <c r="G11" i="2"/>
  <c r="G10" i="2"/>
  <c r="F11" i="2"/>
  <c r="F10" i="2"/>
  <c r="I8" i="2"/>
  <c r="I9" i="2"/>
  <c r="I11" i="2" s="1"/>
  <c r="C11" i="2"/>
  <c r="E11" i="2"/>
  <c r="H8" i="2"/>
  <c r="D8" i="2"/>
  <c r="H9" i="2"/>
  <c r="H11" i="2" s="1"/>
  <c r="D9" i="2"/>
  <c r="D11" i="2" s="1"/>
  <c r="J10" i="2"/>
  <c r="J12" i="2" s="1"/>
  <c r="J13" i="2" s="1"/>
  <c r="B11" i="2"/>
  <c r="B10" i="2"/>
  <c r="B78" i="1"/>
  <c r="C78" i="1" s="1"/>
  <c r="B39" i="1"/>
  <c r="B42" i="1"/>
  <c r="B30" i="1"/>
  <c r="B33" i="1"/>
  <c r="B50" i="1" s="1"/>
  <c r="I14" i="2" l="1"/>
  <c r="I15" i="2" s="1"/>
  <c r="B14" i="2"/>
  <c r="B15" i="2" s="1"/>
  <c r="E12" i="2"/>
  <c r="E13" i="2" s="1"/>
  <c r="C10" i="2"/>
  <c r="G12" i="2"/>
  <c r="G13" i="2" s="1"/>
  <c r="E14" i="2"/>
  <c r="E15" i="2" s="1"/>
  <c r="D10" i="2"/>
  <c r="D12" i="2" s="1"/>
  <c r="D13" i="2" s="1"/>
  <c r="D14" i="2"/>
  <c r="D15" i="2" s="1"/>
  <c r="I10" i="2"/>
  <c r="I12" i="2" s="1"/>
  <c r="I13" i="2" s="1"/>
  <c r="H10" i="2"/>
  <c r="H12" i="2" s="1"/>
  <c r="H13" i="2" s="1"/>
  <c r="H14" i="2"/>
  <c r="H15" i="2" s="1"/>
  <c r="F12" i="2"/>
  <c r="F13" i="2" s="1"/>
  <c r="C12" i="2"/>
  <c r="C13" i="2" s="1"/>
  <c r="B12" i="2"/>
  <c r="B13" i="2" s="1"/>
  <c r="B38" i="1"/>
  <c r="B49" i="1"/>
  <c r="B35" i="1"/>
  <c r="B36" i="1" s="1"/>
  <c r="B34" i="1" a="1"/>
  <c r="B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<sst xmlns="http://schemas.openxmlformats.org/spreadsheetml/2006/main" count="92" uniqueCount="87">
  <si>
    <t>Rfreq (ohm)</t>
  </si>
  <si>
    <t>Rfreq(kOhm)</t>
  </si>
  <si>
    <t>fsw</t>
  </si>
  <si>
    <t>TPS55340</t>
  </si>
  <si>
    <t>Switching Frequency</t>
  </si>
  <si>
    <t>Output Voltage</t>
  </si>
  <si>
    <t>Vfb</t>
  </si>
  <si>
    <t>Rtop</t>
  </si>
  <si>
    <t>Rbot</t>
  </si>
  <si>
    <t>Duty Cycle</t>
  </si>
  <si>
    <t>Dmin</t>
  </si>
  <si>
    <t>Tonmin</t>
  </si>
  <si>
    <t>Raw</t>
  </si>
  <si>
    <t>Formatted</t>
  </si>
  <si>
    <t>ns</t>
  </si>
  <si>
    <t>kHz</t>
  </si>
  <si>
    <t>Iout_crit</t>
  </si>
  <si>
    <t>VIN</t>
  </si>
  <si>
    <t>VOUT</t>
  </si>
  <si>
    <t>Vd</t>
  </si>
  <si>
    <t>L</t>
  </si>
  <si>
    <t>Dccm</t>
  </si>
  <si>
    <t>Ddcm</t>
  </si>
  <si>
    <t>Iout</t>
  </si>
  <si>
    <t>if Iout &gt; Iout_crit</t>
  </si>
  <si>
    <t>if Iout &lt; Iout_crit</t>
  </si>
  <si>
    <t>Inductor</t>
  </si>
  <si>
    <t>Iin_dc</t>
  </si>
  <si>
    <t>Eff est.</t>
  </si>
  <si>
    <t>Lomin1</t>
  </si>
  <si>
    <t>Lomin2</t>
  </si>
  <si>
    <t>Kripple</t>
  </si>
  <si>
    <t>D</t>
  </si>
  <si>
    <t>deltaIL</t>
  </si>
  <si>
    <t>IL_rms</t>
  </si>
  <si>
    <t>IL_pk</t>
  </si>
  <si>
    <t>L_Irating</t>
  </si>
  <si>
    <t>look for 4A - 5A rated Isat inductors</t>
  </si>
  <si>
    <t>Iout_max_est</t>
  </si>
  <si>
    <t>Ilim</t>
  </si>
  <si>
    <t>Output Capacitors</t>
  </si>
  <si>
    <t>Cout_min</t>
  </si>
  <si>
    <t>Vripple</t>
  </si>
  <si>
    <t>uF</t>
  </si>
  <si>
    <t>Ico_rms</t>
  </si>
  <si>
    <t>Cap RMS current must support this</t>
  </si>
  <si>
    <t>Input Caps</t>
  </si>
  <si>
    <t>At least 4.7uF</t>
  </si>
  <si>
    <t>Icin_rms</t>
  </si>
  <si>
    <t>Vin_ripple</t>
  </si>
  <si>
    <t>Cin</t>
  </si>
  <si>
    <t>Rcin</t>
  </si>
  <si>
    <t>mOhm</t>
  </si>
  <si>
    <t>kOhm</t>
  </si>
  <si>
    <t>V</t>
  </si>
  <si>
    <t>Soft-Start</t>
  </si>
  <si>
    <t>Q=CV</t>
  </si>
  <si>
    <t>t=Q/I</t>
  </si>
  <si>
    <t>t=CV/I</t>
  </si>
  <si>
    <t>Iss</t>
  </si>
  <si>
    <t>tss</t>
  </si>
  <si>
    <t>C=Iss*t/1.8</t>
  </si>
  <si>
    <t>nF</t>
  </si>
  <si>
    <t>Diode</t>
  </si>
  <si>
    <t>Pd</t>
  </si>
  <si>
    <t>Vd_rating</t>
  </si>
  <si>
    <t>W</t>
  </si>
  <si>
    <t>A</t>
  </si>
  <si>
    <t>Vd_amps</t>
  </si>
  <si>
    <t>Compensation</t>
  </si>
  <si>
    <t>fout</t>
  </si>
  <si>
    <t>Rout</t>
  </si>
  <si>
    <t>Cout</t>
  </si>
  <si>
    <t>f_rhpz</t>
  </si>
  <si>
    <t>ton</t>
  </si>
  <si>
    <t>toff</t>
  </si>
  <si>
    <t>Pout</t>
  </si>
  <si>
    <t xml:space="preserve">Pin </t>
  </si>
  <si>
    <t>Vin</t>
  </si>
  <si>
    <t>Iin</t>
  </si>
  <si>
    <t>cap</t>
  </si>
  <si>
    <t>ton ms</t>
  </si>
  <si>
    <t>toff ms</t>
  </si>
  <si>
    <t>duty</t>
  </si>
  <si>
    <t>duty %</t>
  </si>
  <si>
    <t>per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</si>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</sst>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0.000"/>
    <numFmt numFmtId="167" formatCode="0.0E+00"/>
    <numFmt numFmtId="168" formatCode="0E+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2" fillId="0" borderId="0" xfId="0" applyFont="1"/>
    <xf numFmtId="165" fontId="0" fillId="0" borderId="0" xfId="1" applyNumberFormat="1" applyFont="1"/>
    <xf numFmtId="0" fontId="0" fillId="0" borderId="0" xfId="0" applyFont="1"/>
    <xf numFmtId="11" fontId="0" fillId="0" borderId="0" xfId="0" applyNumberFormat="1" applyFont="1"/>
    <xf numFmtId="166" fontId="0" fillId="0" borderId="0" xfId="0" applyNumberFormat="1"/>
    <xf numFmtId="2" fontId="0" fillId="0" borderId="0" xfId="0" applyNumberFormat="1"/>
    <xf numFmtId="2" fontId="0" fillId="0" borderId="0" xfId="0" applyNumberFormat="1" applyFont="1"/>
    <xf numFmtId="167" fontId="0" fillId="0" borderId="0" xfId="0" applyNumberFormat="1"/>
    <xf numFmtId="168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484B-13EB-3548-B392-5CEE8E9A20FD}">
  <dimension ref="A1:G78"/>
  <sheetViews>
    <sheetView workbookViewId="0">
      <selection activeCell="D72" sqref="D72"/>
    </sheetView>
  </sheetViews>
  <sheetFormatPr baseColWidth="10" defaultRowHeight="16" x14ac:dyDescent="0.2"/>
  <cols>
    <col min="1" max="1" width="13.83203125" customWidth="1"/>
    <col min="2" max="2" width="12.1640625" bestFit="1" customWidth="1"/>
    <col min="5" max="5" width="12.1640625" bestFit="1" customWidth="1"/>
  </cols>
  <sheetData>
    <row r="1" spans="1:7" ht="21" x14ac:dyDescent="0.25">
      <c r="A1" s="15" t="s">
        <v>3</v>
      </c>
      <c r="B1" s="15"/>
      <c r="C1" s="15"/>
    </row>
    <row r="3" spans="1:7" x14ac:dyDescent="0.2">
      <c r="B3" s="4" t="s">
        <v>12</v>
      </c>
      <c r="C3" s="4" t="s">
        <v>13</v>
      </c>
    </row>
    <row r="4" spans="1:7" x14ac:dyDescent="0.2">
      <c r="A4" t="s">
        <v>17</v>
      </c>
      <c r="B4" s="6">
        <f>1.2*4</f>
        <v>4.8</v>
      </c>
      <c r="C4" s="4"/>
    </row>
    <row r="5" spans="1:7" x14ac:dyDescent="0.2">
      <c r="A5" t="s">
        <v>18</v>
      </c>
      <c r="B5" s="6">
        <v>12</v>
      </c>
      <c r="C5" s="4"/>
    </row>
    <row r="6" spans="1:7" x14ac:dyDescent="0.2">
      <c r="A6" t="s">
        <v>19</v>
      </c>
      <c r="B6" s="6">
        <v>0.5</v>
      </c>
      <c r="C6" s="4"/>
      <c r="E6" t="s">
        <v>76</v>
      </c>
      <c r="F6">
        <f>Vout*Iout</f>
        <v>12</v>
      </c>
      <c r="G6">
        <f>Vout*Iout</f>
        <v>12</v>
      </c>
    </row>
    <row r="7" spans="1:7" x14ac:dyDescent="0.2">
      <c r="A7" t="s">
        <v>23</v>
      </c>
      <c r="B7" s="6">
        <v>1</v>
      </c>
      <c r="C7" s="4"/>
      <c r="E7" t="s">
        <v>77</v>
      </c>
      <c r="F7">
        <f>F6/EFF</f>
        <v>15</v>
      </c>
      <c r="G7">
        <f>G6/EFF</f>
        <v>15</v>
      </c>
    </row>
    <row r="8" spans="1:7" x14ac:dyDescent="0.2">
      <c r="A8" t="s">
        <v>20</v>
      </c>
      <c r="B8" s="7">
        <v>5.5999999999999997E-6</v>
      </c>
      <c r="C8" s="4"/>
      <c r="E8" t="s">
        <v>78</v>
      </c>
      <c r="F8">
        <v>4.8</v>
      </c>
      <c r="G8">
        <v>6</v>
      </c>
    </row>
    <row r="9" spans="1:7" x14ac:dyDescent="0.2">
      <c r="A9" t="s">
        <v>31</v>
      </c>
      <c r="B9" s="10">
        <v>0.3</v>
      </c>
      <c r="C9" s="4"/>
      <c r="E9" t="s">
        <v>79</v>
      </c>
      <c r="F9">
        <f>F7/F8</f>
        <v>3.125</v>
      </c>
      <c r="G9">
        <f>G7/G8</f>
        <v>2.5</v>
      </c>
    </row>
    <row r="10" spans="1:7" x14ac:dyDescent="0.2">
      <c r="A10" t="s">
        <v>42</v>
      </c>
      <c r="B10" s="10">
        <v>0.05</v>
      </c>
      <c r="C10" s="4"/>
    </row>
    <row r="11" spans="1:7" x14ac:dyDescent="0.2">
      <c r="B11" s="10"/>
      <c r="C11" s="4"/>
    </row>
    <row r="12" spans="1:7" x14ac:dyDescent="0.2">
      <c r="A12" t="s">
        <v>39</v>
      </c>
      <c r="B12" s="10">
        <v>5.2</v>
      </c>
      <c r="C12" s="4"/>
    </row>
    <row r="13" spans="1:7" x14ac:dyDescent="0.2">
      <c r="A13" t="s">
        <v>11</v>
      </c>
      <c r="B13" s="3">
        <v>7.7000000000000001E-8</v>
      </c>
      <c r="C13">
        <f>Tonmin*1000000000</f>
        <v>77</v>
      </c>
      <c r="D13" t="s">
        <v>14</v>
      </c>
    </row>
    <row r="15" spans="1:7" x14ac:dyDescent="0.2">
      <c r="A15" s="4" t="s">
        <v>4</v>
      </c>
    </row>
    <row r="16" spans="1:7" x14ac:dyDescent="0.2">
      <c r="A16" t="s">
        <v>2</v>
      </c>
      <c r="B16" s="3">
        <v>545000</v>
      </c>
      <c r="C16">
        <f>fsw/1000</f>
        <v>545</v>
      </c>
      <c r="D16" t="s">
        <v>15</v>
      </c>
    </row>
    <row r="17" spans="1:3" x14ac:dyDescent="0.2">
      <c r="A17" t="s">
        <v>1</v>
      </c>
      <c r="B17" s="2">
        <f>57500*(fsw/1000)^-1.03</f>
        <v>87.333214838613785</v>
      </c>
    </row>
    <row r="18" spans="1:3" x14ac:dyDescent="0.2">
      <c r="A18" t="s">
        <v>0</v>
      </c>
      <c r="B18" s="1">
        <f>B17*1000</f>
        <v>87333.214838613785</v>
      </c>
    </row>
    <row r="20" spans="1:3" x14ac:dyDescent="0.2">
      <c r="A20" s="4" t="s">
        <v>9</v>
      </c>
    </row>
    <row r="21" spans="1:3" x14ac:dyDescent="0.2">
      <c r="A21" t="s">
        <v>10</v>
      </c>
      <c r="B21" cm="1">
        <f t="array" ref="B21">Tonmin*fsw</f>
        <v>4.1965000000000002E-2</v>
      </c>
      <c r="C21" s="5">
        <f>B21</f>
        <v>4.1965000000000002E-2</v>
      </c>
    </row>
    <row r="22" spans="1:3" x14ac:dyDescent="0.2">
      <c r="A22" t="s">
        <v>16</v>
      </c>
      <c r="B22" s="8" cm="1">
        <f t="array" ref="B22">((Vout+Vd-Vin)*Vin^2)/(2*(Vout+Vd)^2*fsw*L)</f>
        <v>0.1860110091743119</v>
      </c>
    </row>
    <row r="23" spans="1:3" x14ac:dyDescent="0.2">
      <c r="A23" t="s">
        <v>21</v>
      </c>
      <c r="B23">
        <f>(Vout+Vd-Vin)/(Vout+Vd)</f>
        <v>0.61599999999999999</v>
      </c>
      <c r="C23" t="s">
        <v>24</v>
      </c>
    </row>
    <row r="24" spans="1:3" x14ac:dyDescent="0.2">
      <c r="A24" t="s">
        <v>22</v>
      </c>
      <c r="B24" s="9" cm="1">
        <f t="array" ref="B24">((2*(Vout+Vd-Vin)*L*Iout*fsw)^0.5)/Vin</f>
        <v>1.4282735304477843</v>
      </c>
      <c r="C24" t="s">
        <v>25</v>
      </c>
    </row>
    <row r="25" spans="1:3" x14ac:dyDescent="0.2">
      <c r="A25" t="s">
        <v>32</v>
      </c>
      <c r="B25" s="9">
        <f>Dccm</f>
        <v>0.61599999999999999</v>
      </c>
    </row>
    <row r="27" spans="1:3" x14ac:dyDescent="0.2">
      <c r="A27" s="4" t="s">
        <v>26</v>
      </c>
    </row>
    <row r="28" spans="1:3" x14ac:dyDescent="0.2">
      <c r="A28" t="s">
        <v>28</v>
      </c>
      <c r="B28">
        <v>0.8</v>
      </c>
    </row>
    <row r="29" spans="1:3" x14ac:dyDescent="0.2">
      <c r="A29" t="s">
        <v>27</v>
      </c>
      <c r="B29" s="9" cm="1">
        <f t="array" ref="B29">(Vout*Iout)/(EFF*Vin)</f>
        <v>3.125</v>
      </c>
    </row>
    <row r="30" spans="1:3" x14ac:dyDescent="0.2">
      <c r="A30" t="s">
        <v>29</v>
      </c>
      <c r="B30" s="3">
        <f>Vin/(Iin_dc*Kripple)*(D/fsw)</f>
        <v>5.7870091743119269E-6</v>
      </c>
    </row>
    <row r="31" spans="1:3" x14ac:dyDescent="0.2">
      <c r="A31" t="s">
        <v>30</v>
      </c>
      <c r="B31" s="3" cm="1">
        <f t="array" ref="B31">(Vout+Vd)/(Iin_dc*Kripple)*(1/(4*fsw))</f>
        <v>6.1162079510703365E-6</v>
      </c>
    </row>
    <row r="32" spans="1:3" x14ac:dyDescent="0.2">
      <c r="B32" s="3"/>
    </row>
    <row r="33" spans="1:4" x14ac:dyDescent="0.2">
      <c r="A33" t="s">
        <v>33</v>
      </c>
      <c r="B33" s="9">
        <f>(Vin/L)*(D/fsw)</f>
        <v>0.96880733944954134</v>
      </c>
    </row>
    <row r="34" spans="1:4" x14ac:dyDescent="0.2">
      <c r="A34" t="s">
        <v>34</v>
      </c>
      <c r="B34" s="8" cm="1">
        <f t="array" ref="B34">SQRT((Iin_dc)^2+(deltaIL/12)^2)</f>
        <v>3.1260427012227225</v>
      </c>
    </row>
    <row r="35" spans="1:4" x14ac:dyDescent="0.2">
      <c r="A35" t="s">
        <v>35</v>
      </c>
      <c r="B35" s="8">
        <f>Iin_dc+deltaIL/2</f>
        <v>3.6094036697247707</v>
      </c>
    </row>
    <row r="36" spans="1:4" x14ac:dyDescent="0.2">
      <c r="A36" t="s">
        <v>36</v>
      </c>
      <c r="B36" s="9">
        <f>B35*1.2</f>
        <v>4.3312844036697244</v>
      </c>
      <c r="D36" t="s">
        <v>37</v>
      </c>
    </row>
    <row r="38" spans="1:4" x14ac:dyDescent="0.2">
      <c r="A38" t="s">
        <v>38</v>
      </c>
      <c r="B38" s="9">
        <f>(Vin*(I_lim-(deltaIL/2))*EFF)/Vout</f>
        <v>1.5089908256880733</v>
      </c>
    </row>
    <row r="39" spans="1:4" x14ac:dyDescent="0.2">
      <c r="B39">
        <f>Vin*I_lim*(1-(Kripple/2))*EFF/Vout</f>
        <v>1.4144000000000003</v>
      </c>
    </row>
    <row r="40" spans="1:4" x14ac:dyDescent="0.2">
      <c r="A40" s="4" t="s">
        <v>40</v>
      </c>
    </row>
    <row r="41" spans="1:4" x14ac:dyDescent="0.2">
      <c r="A41" t="s">
        <v>41</v>
      </c>
      <c r="B41" s="12" cm="1">
        <f t="array" ref="B41">(D*Iout)/(fsw*Vripple)</f>
        <v>2.2605504587155965E-5</v>
      </c>
      <c r="C41" s="9">
        <f>B41*1000000</f>
        <v>22.605504587155966</v>
      </c>
      <c r="D41" t="s">
        <v>43</v>
      </c>
    </row>
    <row r="42" spans="1:4" x14ac:dyDescent="0.2">
      <c r="A42" t="s">
        <v>44</v>
      </c>
      <c r="B42" s="9">
        <f>Iout*SQRT(D/(1-D))</f>
        <v>1.2665570127975552</v>
      </c>
      <c r="D42" t="s">
        <v>45</v>
      </c>
    </row>
    <row r="45" spans="1:4" x14ac:dyDescent="0.2">
      <c r="A45" s="4" t="s">
        <v>46</v>
      </c>
    </row>
    <row r="46" spans="1:4" x14ac:dyDescent="0.2">
      <c r="A46" t="s">
        <v>47</v>
      </c>
    </row>
    <row r="47" spans="1:4" x14ac:dyDescent="0.2">
      <c r="A47" t="s">
        <v>50</v>
      </c>
      <c r="B47" s="3">
        <v>1.0000000000000001E-5</v>
      </c>
      <c r="C47" s="9">
        <f>B47*1000000</f>
        <v>10</v>
      </c>
      <c r="D47" t="s">
        <v>43</v>
      </c>
    </row>
    <row r="48" spans="1:4" x14ac:dyDescent="0.2">
      <c r="A48" t="s">
        <v>51</v>
      </c>
      <c r="B48" s="3">
        <v>0.01</v>
      </c>
      <c r="C48" s="9">
        <f>B48*1000</f>
        <v>10</v>
      </c>
      <c r="D48" t="s">
        <v>52</v>
      </c>
    </row>
    <row r="49" spans="1:5" x14ac:dyDescent="0.2">
      <c r="A49" t="s">
        <v>48</v>
      </c>
      <c r="B49" s="8">
        <f>deltaIL/SQRT(12)</f>
        <v>0.27967058911203896</v>
      </c>
    </row>
    <row r="50" spans="1:5" x14ac:dyDescent="0.2">
      <c r="A50" t="s">
        <v>49</v>
      </c>
      <c r="B50">
        <f>deltaIL/(4*fsw*Cin) + (deltaIL*Rcin)</f>
        <v>5.4128777038969789E-2</v>
      </c>
    </row>
    <row r="52" spans="1:5" x14ac:dyDescent="0.2">
      <c r="A52" s="4" t="s">
        <v>5</v>
      </c>
    </row>
    <row r="53" spans="1:5" x14ac:dyDescent="0.2">
      <c r="A53" t="s">
        <v>6</v>
      </c>
      <c r="B53">
        <v>1.2290000000000001</v>
      </c>
      <c r="D53" t="s">
        <v>54</v>
      </c>
      <c r="E53">
        <f>1.229*(87.6/10+1)</f>
        <v>11.995040000000001</v>
      </c>
    </row>
    <row r="54" spans="1:5" x14ac:dyDescent="0.2">
      <c r="A54" t="s">
        <v>7</v>
      </c>
      <c r="B54" s="1" cm="1">
        <f t="array" ref="B54">Rbot*(Vout/Vfb -1)</f>
        <v>87640.358014646044</v>
      </c>
      <c r="C54" s="2">
        <f>B54/1000</f>
        <v>87.64035801464604</v>
      </c>
      <c r="D54" t="s">
        <v>53</v>
      </c>
    </row>
    <row r="55" spans="1:5" x14ac:dyDescent="0.2">
      <c r="A55" t="s">
        <v>8</v>
      </c>
      <c r="B55">
        <f>10000</f>
        <v>10000</v>
      </c>
      <c r="C55" s="2">
        <f>B55/1000</f>
        <v>10</v>
      </c>
      <c r="D55" t="s">
        <v>53</v>
      </c>
    </row>
    <row r="58" spans="1:5" x14ac:dyDescent="0.2">
      <c r="A58" s="4" t="s">
        <v>55</v>
      </c>
    </row>
    <row r="59" spans="1:5" x14ac:dyDescent="0.2">
      <c r="A59" t="s">
        <v>56</v>
      </c>
    </row>
    <row r="60" spans="1:5" x14ac:dyDescent="0.2">
      <c r="A60" t="s">
        <v>57</v>
      </c>
    </row>
    <row r="61" spans="1:5" x14ac:dyDescent="0.2">
      <c r="A61" t="s">
        <v>58</v>
      </c>
    </row>
    <row r="62" spans="1:5" x14ac:dyDescent="0.2">
      <c r="A62" t="s">
        <v>59</v>
      </c>
      <c r="B62" s="3">
        <v>6.0000000000000002E-6</v>
      </c>
    </row>
    <row r="63" spans="1:5" x14ac:dyDescent="0.2">
      <c r="A63" t="s">
        <v>60</v>
      </c>
      <c r="B63" s="3">
        <v>0.01</v>
      </c>
    </row>
    <row r="64" spans="1:5" x14ac:dyDescent="0.2">
      <c r="A64" t="s">
        <v>61</v>
      </c>
      <c r="B64" s="11">
        <f>Iss*Tss/1.8</f>
        <v>3.3333333333333334E-8</v>
      </c>
      <c r="C64" s="9">
        <f>B64*1000000000</f>
        <v>33.333333333333336</v>
      </c>
      <c r="D64" t="s">
        <v>62</v>
      </c>
    </row>
    <row r="67" spans="1:4" x14ac:dyDescent="0.2">
      <c r="A67" s="4" t="s">
        <v>63</v>
      </c>
    </row>
    <row r="68" spans="1:4" x14ac:dyDescent="0.2">
      <c r="A68" t="s">
        <v>64</v>
      </c>
      <c r="B68">
        <f>Vd*Iout</f>
        <v>0.5</v>
      </c>
      <c r="D68" t="s">
        <v>66</v>
      </c>
    </row>
    <row r="69" spans="1:4" x14ac:dyDescent="0.2">
      <c r="A69" t="s">
        <v>65</v>
      </c>
      <c r="B69">
        <v>20</v>
      </c>
      <c r="D69" t="s">
        <v>54</v>
      </c>
    </row>
    <row r="70" spans="1:4" x14ac:dyDescent="0.2">
      <c r="A70" t="s">
        <v>68</v>
      </c>
      <c r="B70">
        <v>2</v>
      </c>
      <c r="D70" t="s">
        <v>67</v>
      </c>
    </row>
    <row r="73" spans="1:4" x14ac:dyDescent="0.2">
      <c r="A73" s="4" t="s">
        <v>69</v>
      </c>
    </row>
    <row r="74" spans="1:4" x14ac:dyDescent="0.2">
      <c r="A74" t="s">
        <v>71</v>
      </c>
      <c r="B74">
        <f>Vout/Iout</f>
        <v>12</v>
      </c>
    </row>
    <row r="75" spans="1:4" x14ac:dyDescent="0.2">
      <c r="A75" t="s">
        <v>72</v>
      </c>
      <c r="B75" s="3">
        <v>4.6999999999999997E-5</v>
      </c>
    </row>
    <row r="77" spans="1:4" x14ac:dyDescent="0.2">
      <c r="A77" t="s">
        <v>70</v>
      </c>
      <c r="B77" s="1" cm="1">
        <f t="array" ref="B77">2/(2*PI()*Rout*Cout)</f>
        <v>564.37923082232396</v>
      </c>
      <c r="C77" s="8">
        <f>B77/1000</f>
        <v>0.564379230822324</v>
      </c>
      <c r="D77" t="s">
        <v>15</v>
      </c>
    </row>
    <row r="78" spans="1:4" x14ac:dyDescent="0.2">
      <c r="A78" t="s">
        <v>73</v>
      </c>
      <c r="B78" s="1">
        <f>(Rout/(2*PI()*L))*(Vin/Vout)^2</f>
        <v>54567.409060078404</v>
      </c>
      <c r="C78" s="8">
        <f>B78/1000</f>
        <v>54.567409060078404</v>
      </c>
      <c r="D78" t="s">
        <v>15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BFB1-32BC-0946-B6E7-27DFE4800F93}">
  <dimension ref="A1:J15"/>
  <sheetViews>
    <sheetView tabSelected="1" workbookViewId="0">
      <selection activeCell="C7" sqref="C7"/>
    </sheetView>
  </sheetViews>
  <sheetFormatPr baseColWidth="10" defaultRowHeight="16" x14ac:dyDescent="0.2"/>
  <sheetData>
    <row r="1" spans="1:10" x14ac:dyDescent="0.2">
      <c r="B1">
        <v>1000</v>
      </c>
    </row>
    <row r="2" spans="1:10" x14ac:dyDescent="0.2">
      <c r="B2">
        <v>100000</v>
      </c>
    </row>
    <row r="3" spans="1:10" x14ac:dyDescent="0.2">
      <c r="B3">
        <v>0.1</v>
      </c>
      <c r="C3">
        <v>0.2</v>
      </c>
      <c r="D3">
        <v>0.3</v>
      </c>
      <c r="E3">
        <v>0.4</v>
      </c>
      <c r="F3">
        <v>0.5</v>
      </c>
      <c r="G3">
        <v>0.6</v>
      </c>
      <c r="H3">
        <v>0.7</v>
      </c>
      <c r="I3">
        <v>0.8</v>
      </c>
      <c r="J3">
        <v>0.9</v>
      </c>
    </row>
    <row r="4" spans="1:10" x14ac:dyDescent="0.2">
      <c r="B4">
        <f>$B2*B3</f>
        <v>10000</v>
      </c>
      <c r="C4">
        <f>$B2*C3</f>
        <v>20000</v>
      </c>
      <c r="D4">
        <f t="shared" ref="D4:G4" si="0">$B2*D3</f>
        <v>30000</v>
      </c>
      <c r="E4">
        <f t="shared" si="0"/>
        <v>40000</v>
      </c>
      <c r="F4">
        <f t="shared" si="0"/>
        <v>50000</v>
      </c>
      <c r="G4">
        <f t="shared" si="0"/>
        <v>60000</v>
      </c>
      <c r="H4">
        <f>$B2*H3</f>
        <v>70000</v>
      </c>
      <c r="I4">
        <f>$B2*I3</f>
        <v>80000</v>
      </c>
      <c r="J4">
        <f t="shared" ref="J4" si="1">$B2*J3</f>
        <v>90000</v>
      </c>
    </row>
    <row r="5" spans="1:10" x14ac:dyDescent="0.2">
      <c r="B5">
        <f>$B2*(1-B3)</f>
        <v>90000</v>
      </c>
      <c r="C5">
        <f>$B2*(1-C3)</f>
        <v>80000</v>
      </c>
      <c r="D5">
        <f t="shared" ref="D5:G5" si="2">$B2*(1-D3)</f>
        <v>70000</v>
      </c>
      <c r="E5">
        <f t="shared" si="2"/>
        <v>60000</v>
      </c>
      <c r="F5">
        <f t="shared" si="2"/>
        <v>50000</v>
      </c>
      <c r="G5">
        <f t="shared" si="2"/>
        <v>40000</v>
      </c>
      <c r="H5">
        <f>$B2*(1-H3)</f>
        <v>30000.000000000004</v>
      </c>
      <c r="I5">
        <f>$B2*(1-I3)</f>
        <v>19999.999999999996</v>
      </c>
      <c r="J5">
        <f t="shared" ref="J5" si="3">$B2*(1-J3)</f>
        <v>9999.9999999999982</v>
      </c>
    </row>
    <row r="7" spans="1:10" x14ac:dyDescent="0.2">
      <c r="A7" s="13" t="s">
        <v>80</v>
      </c>
      <c r="B7" s="3">
        <f>0.0000001*C7</f>
        <v>6.9999999999999992E-8</v>
      </c>
      <c r="C7" s="14">
        <v>0.7</v>
      </c>
      <c r="D7" s="3"/>
      <c r="E7" s="3"/>
      <c r="F7" s="3"/>
      <c r="G7" s="3"/>
      <c r="H7" s="3"/>
      <c r="I7" s="3"/>
      <c r="J7" s="3"/>
    </row>
    <row r="8" spans="1:10" x14ac:dyDescent="0.2">
      <c r="A8" s="13" t="s">
        <v>74</v>
      </c>
      <c r="B8" s="3">
        <f>0.8*(B1+B4)*$B$7</f>
        <v>6.159999999999999E-4</v>
      </c>
      <c r="C8" s="3">
        <f t="shared" ref="C8:J8" si="4">0.8*(C1+C4)*$B$7</f>
        <v>1.1199999999999999E-3</v>
      </c>
      <c r="D8" s="3">
        <f t="shared" si="4"/>
        <v>1.6799999999999999E-3</v>
      </c>
      <c r="E8" s="3">
        <f t="shared" si="4"/>
        <v>2.2399999999999998E-3</v>
      </c>
      <c r="F8" s="3">
        <f t="shared" si="4"/>
        <v>2.7999999999999995E-3</v>
      </c>
      <c r="G8" s="3">
        <f t="shared" si="4"/>
        <v>3.3599999999999997E-3</v>
      </c>
      <c r="H8" s="3">
        <f t="shared" si="4"/>
        <v>3.9199999999999999E-3</v>
      </c>
      <c r="I8" s="3">
        <f t="shared" si="4"/>
        <v>4.4799999999999996E-3</v>
      </c>
      <c r="J8" s="3">
        <f t="shared" si="4"/>
        <v>5.0399999999999993E-3</v>
      </c>
    </row>
    <row r="9" spans="1:10" x14ac:dyDescent="0.2">
      <c r="A9" s="13" t="s">
        <v>75</v>
      </c>
      <c r="B9" s="3">
        <f>0.8*(C1+B5)*$B$7</f>
        <v>5.0399999999999993E-3</v>
      </c>
      <c r="C9" s="3">
        <f t="shared" ref="C9:J9" si="5">0.8*(D1+C5)*$B$7</f>
        <v>4.4799999999999996E-3</v>
      </c>
      <c r="D9" s="3">
        <f t="shared" si="5"/>
        <v>3.9199999999999999E-3</v>
      </c>
      <c r="E9" s="3">
        <f t="shared" si="5"/>
        <v>3.3599999999999997E-3</v>
      </c>
      <c r="F9" s="3">
        <f t="shared" si="5"/>
        <v>2.7999999999999995E-3</v>
      </c>
      <c r="G9" s="3">
        <f t="shared" si="5"/>
        <v>2.2399999999999998E-3</v>
      </c>
      <c r="H9" s="3">
        <f t="shared" si="5"/>
        <v>1.6800000000000001E-3</v>
      </c>
      <c r="I9" s="3">
        <f t="shared" si="5"/>
        <v>1.1199999999999997E-3</v>
      </c>
      <c r="J9" s="3">
        <f t="shared" si="5"/>
        <v>5.5999999999999984E-4</v>
      </c>
    </row>
    <row r="10" spans="1:10" x14ac:dyDescent="0.2">
      <c r="A10" s="13" t="s">
        <v>81</v>
      </c>
      <c r="B10">
        <f>B8*1000</f>
        <v>0.61599999999999988</v>
      </c>
      <c r="C10">
        <f>C8*1000</f>
        <v>1.1199999999999999</v>
      </c>
      <c r="D10">
        <f t="shared" ref="D10:J10" si="6">D8*1000</f>
        <v>1.68</v>
      </c>
      <c r="E10">
        <f t="shared" si="6"/>
        <v>2.2399999999999998</v>
      </c>
      <c r="F10">
        <f t="shared" si="6"/>
        <v>2.7999999999999994</v>
      </c>
      <c r="G10">
        <f t="shared" si="6"/>
        <v>3.36</v>
      </c>
      <c r="H10">
        <f t="shared" si="6"/>
        <v>3.92</v>
      </c>
      <c r="I10">
        <f t="shared" si="6"/>
        <v>4.4799999999999995</v>
      </c>
      <c r="J10">
        <f t="shared" si="6"/>
        <v>5.0399999999999991</v>
      </c>
    </row>
    <row r="11" spans="1:10" x14ac:dyDescent="0.2">
      <c r="A11" s="13" t="s">
        <v>82</v>
      </c>
      <c r="B11">
        <f>B9*1000</f>
        <v>5.0399999999999991</v>
      </c>
      <c r="C11">
        <f>C9*1000</f>
        <v>4.4799999999999995</v>
      </c>
      <c r="D11">
        <f t="shared" ref="D11:J11" si="7">D9*1000</f>
        <v>3.92</v>
      </c>
      <c r="E11">
        <f t="shared" si="7"/>
        <v>3.36</v>
      </c>
      <c r="F11">
        <f t="shared" si="7"/>
        <v>2.7999999999999994</v>
      </c>
      <c r="G11">
        <f t="shared" si="7"/>
        <v>2.2399999999999998</v>
      </c>
      <c r="H11">
        <f t="shared" si="7"/>
        <v>1.6800000000000002</v>
      </c>
      <c r="I11">
        <f t="shared" si="7"/>
        <v>1.1199999999999997</v>
      </c>
      <c r="J11">
        <f t="shared" si="7"/>
        <v>0.55999999999999983</v>
      </c>
    </row>
    <row r="12" spans="1:10" x14ac:dyDescent="0.2">
      <c r="A12" s="13" t="s">
        <v>83</v>
      </c>
      <c r="B12" s="8">
        <f>B10/(B10+B11)</f>
        <v>0.10891089108910891</v>
      </c>
      <c r="C12" s="8">
        <f t="shared" ref="C12:G12" si="8">C10/(C10+C11)</f>
        <v>0.19999999999999998</v>
      </c>
      <c r="D12" s="8">
        <f t="shared" si="8"/>
        <v>0.3</v>
      </c>
      <c r="E12" s="8">
        <f t="shared" si="8"/>
        <v>0.39999999999999997</v>
      </c>
      <c r="F12" s="8">
        <f t="shared" si="8"/>
        <v>0.5</v>
      </c>
      <c r="G12" s="8">
        <f t="shared" si="8"/>
        <v>0.6</v>
      </c>
      <c r="H12" s="8">
        <f>H10/(H10+H11)</f>
        <v>0.70000000000000007</v>
      </c>
      <c r="I12" s="8">
        <f t="shared" ref="I12" si="9">I10/(I10+I11)</f>
        <v>0.79999999999999993</v>
      </c>
      <c r="J12" s="8">
        <f t="shared" ref="J12" si="10">J10/(J10+J11)</f>
        <v>0.9</v>
      </c>
    </row>
    <row r="13" spans="1:10" x14ac:dyDescent="0.2">
      <c r="A13" s="13" t="s">
        <v>84</v>
      </c>
      <c r="B13" s="2">
        <f>B12*100</f>
        <v>10.891089108910892</v>
      </c>
      <c r="C13" s="2">
        <f t="shared" ref="C13:J13" si="11">C12*100</f>
        <v>20</v>
      </c>
      <c r="D13" s="2">
        <f t="shared" si="11"/>
        <v>30</v>
      </c>
      <c r="E13" s="2">
        <f t="shared" si="11"/>
        <v>40</v>
      </c>
      <c r="F13" s="2">
        <f t="shared" si="11"/>
        <v>50</v>
      </c>
      <c r="G13" s="2">
        <f t="shared" si="11"/>
        <v>60</v>
      </c>
      <c r="H13" s="2">
        <f t="shared" si="11"/>
        <v>70</v>
      </c>
      <c r="I13" s="2">
        <f t="shared" si="11"/>
        <v>80</v>
      </c>
      <c r="J13" s="2">
        <f t="shared" si="11"/>
        <v>90</v>
      </c>
    </row>
    <row r="14" spans="1:10" x14ac:dyDescent="0.2">
      <c r="A14" s="13" t="s">
        <v>85</v>
      </c>
      <c r="B14" s="3">
        <f>B8+B9</f>
        <v>5.6559999999999996E-3</v>
      </c>
      <c r="C14" s="3">
        <f t="shared" ref="C14:J14" si="12">C8+C9</f>
        <v>5.5999999999999991E-3</v>
      </c>
      <c r="D14" s="3">
        <f t="shared" si="12"/>
        <v>5.5999999999999999E-3</v>
      </c>
      <c r="E14" s="3">
        <f t="shared" si="12"/>
        <v>5.5999999999999991E-3</v>
      </c>
      <c r="F14" s="3">
        <f t="shared" si="12"/>
        <v>5.5999999999999991E-3</v>
      </c>
      <c r="G14" s="3">
        <f t="shared" si="12"/>
        <v>5.5999999999999991E-3</v>
      </c>
      <c r="H14" s="3">
        <f t="shared" si="12"/>
        <v>5.5999999999999999E-3</v>
      </c>
      <c r="I14" s="3">
        <f t="shared" si="12"/>
        <v>5.5999999999999991E-3</v>
      </c>
      <c r="J14" s="3">
        <f t="shared" si="12"/>
        <v>5.5999999999999991E-3</v>
      </c>
    </row>
    <row r="15" spans="1:10" x14ac:dyDescent="0.2">
      <c r="A15" s="13" t="s">
        <v>86</v>
      </c>
      <c r="B15" s="9">
        <f>1/B14</f>
        <v>176.80339462517682</v>
      </c>
      <c r="C15" s="9">
        <f t="shared" ref="C15:J15" si="13">1/C14</f>
        <v>178.57142857142861</v>
      </c>
      <c r="D15" s="9">
        <f t="shared" si="13"/>
        <v>178.57142857142858</v>
      </c>
      <c r="E15" s="9">
        <f t="shared" si="13"/>
        <v>178.57142857142861</v>
      </c>
      <c r="F15" s="9">
        <f t="shared" si="13"/>
        <v>178.57142857142861</v>
      </c>
      <c r="G15" s="9">
        <f t="shared" si="13"/>
        <v>178.57142857142861</v>
      </c>
      <c r="H15" s="9">
        <f t="shared" si="13"/>
        <v>178.57142857142858</v>
      </c>
      <c r="I15" s="9">
        <f t="shared" si="13"/>
        <v>178.57142857142861</v>
      </c>
      <c r="J15" s="9">
        <f t="shared" si="13"/>
        <v>178.57142857142861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Boost</vt:lpstr>
      <vt:lpstr>555 Timer</vt:lpstr>
      <vt:lpstr>Cin</vt:lpstr>
      <vt:lpstr>Cout</vt:lpstr>
      <vt:lpstr>D</vt:lpstr>
      <vt:lpstr>Dccm</vt:lpstr>
      <vt:lpstr>Ddcm</vt:lpstr>
      <vt:lpstr>deltaIL</vt:lpstr>
      <vt:lpstr>EFF</vt:lpstr>
      <vt:lpstr>fsw</vt:lpstr>
      <vt:lpstr>I_lim</vt:lpstr>
      <vt:lpstr>Iin_dc</vt:lpstr>
      <vt:lpstr>Iout</vt:lpstr>
      <vt:lpstr>Iss</vt:lpstr>
      <vt:lpstr>Kripple</vt:lpstr>
      <vt:lpstr>L</vt:lpstr>
      <vt:lpstr>Rbot</vt:lpstr>
      <vt:lpstr>Rcin</vt:lpstr>
      <vt:lpstr>Rout</vt:lpstr>
      <vt:lpstr>Tonmin</vt:lpstr>
      <vt:lpstr>Tss</vt:lpstr>
      <vt:lpstr>Vd</vt:lpstr>
      <vt:lpstr>Vfb</vt:lpstr>
      <vt:lpstr>Vin</vt:lpstr>
      <vt:lpstr>Vout</vt:lpstr>
      <vt:lpstr>Vripple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Dean</dc:creator>
  <cp:lastModifiedBy>Christopher Dean</cp:lastModifiedBy>
  <dcterms:created xsi:type="dcterms:W3CDTF">2022-07-25T21:10:22Z</dcterms:created>
  <dcterms:modified xsi:type="dcterms:W3CDTF">2022-08-12T01:48:44Z</dcterms:modified>
</cp:coreProperties>
</file>