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gchr\OneDrive\Desktop\eco\excel class\workbook7\"/>
    </mc:Choice>
  </mc:AlternateContent>
  <xr:revisionPtr revIDLastSave="0" documentId="13_ncr:1_{2B1E20BC-A3E3-404E-AE59-63284963D4C3}" xr6:coauthVersionLast="47" xr6:coauthVersionMax="47" xr10:uidLastSave="{00000000-0000-0000-0000-000000000000}"/>
  <workbookProtection workbookAlgorithmName="SHA-512" workbookHashValue="slHnYiYhvLgrsSndRebRO5CF/90XLuML9K1OmBIHhx+6aGRUuwOCCJOZX1LpdRpV+splWcPDlmHC1u3qKBbfGg==" workbookSaltValue="EuU4Yq1BxVPT6hfXXRSBbw==" workbookSpinCount="100000" lockStructure="1"/>
  <bookViews>
    <workbookView xWindow="4230" yWindow="195" windowWidth="48540" windowHeight="20850" firstSheet="6" activeTab="6" xr2:uid="{6DE3EC4D-10A8-374D-9594-82B1A6C35DCE}"/>
  </bookViews>
  <sheets>
    <sheet name="ENTER SFAM ID" sheetId="42" r:id="rId1"/>
    <sheet name="INTRO Modeling" sheetId="25" r:id="rId2"/>
    <sheet name="EXHIBIT Model Relationships" sheetId="24" r:id="rId3"/>
    <sheet name="INTRO Multiperiod Models" sheetId="50" r:id="rId4"/>
    <sheet name="EXCEL Financial Functions" sheetId="34" r:id="rId5"/>
    <sheet name="DATA TABLES" sheetId="45" r:id="rId6"/>
    <sheet name="MODEL Simple Company" sheetId="33" r:id="rId7"/>
    <sheet name="MODEL Marketing Stratagy" sheetId="32" r:id="rId8"/>
    <sheet name="MODEL Make-Buy Decision" sheetId="48" r:id="rId9"/>
    <sheet name="MODEL Manufacturing Strategy" sheetId="43" r:id="rId10"/>
    <sheet name="MODEL Revise Budget &amp; Staffing" sheetId="35" r:id="rId11"/>
    <sheet name="DATA ANALYSIS Subscription Biz" sheetId="46" r:id="rId12"/>
    <sheet name="DATA Subscription Biz" sheetId="47" r:id="rId13"/>
    <sheet name="MODEL Product Introduction" sheetId="19" r:id="rId14"/>
    <sheet name="SUMMARY" sheetId="15" r:id="rId15"/>
    <sheet name="X" sheetId="37" state="hidden" r:id="rId16"/>
  </sheets>
  <definedNames>
    <definedName name="_xlnm._FilterDatabase" localSheetId="11" hidden="1">'DATA Subscription Biz'!$A$11:$D$20165</definedName>
    <definedName name="_xlnm._FilterDatabase" localSheetId="12" hidden="1">'DATA Subscription Biz'!$B$11:$D$20165</definedName>
    <definedName name="Column">X!$DD$1:$EC$2</definedName>
    <definedName name="Graded" localSheetId="0">#REF!</definedName>
    <definedName name="solver_adj" localSheetId="13" hidden="1">'MODEL Product Introduction'!$C$98:$C$145</definedName>
    <definedName name="solver_cvg" localSheetId="13" hidden="1">0.0001</definedName>
    <definedName name="solver_drv" localSheetId="13" hidden="1">1</definedName>
    <definedName name="solver_eng" localSheetId="13" hidden="1">1</definedName>
    <definedName name="solver_itr" localSheetId="13" hidden="1">2147483647</definedName>
    <definedName name="solver_lhs1" localSheetId="13" hidden="1">'MODEL Product Introduction'!#REF!</definedName>
    <definedName name="solver_lin" localSheetId="13" hidden="1">2</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od" localSheetId="13" hidden="1">2147483647</definedName>
    <definedName name="solver_num" localSheetId="13" hidden="1">1</definedName>
    <definedName name="solver_opt" localSheetId="13" hidden="1">'MODEL Product Introduction'!#REF!</definedName>
    <definedName name="solver_pre" localSheetId="13" hidden="1">0.000001</definedName>
    <definedName name="solver_rbv" localSheetId="13" hidden="1">1</definedName>
    <definedName name="solver_rel1" localSheetId="13" hidden="1">1</definedName>
    <definedName name="solver_rhs1" localSheetId="13" hidden="1">10000000</definedName>
    <definedName name="solver_rlx" localSheetId="13" hidden="1">1</definedName>
    <definedName name="solver_rsd" localSheetId="13" hidden="1">0</definedName>
    <definedName name="solver_scl" localSheetId="13" hidden="1">2</definedName>
    <definedName name="solver_sho" localSheetId="13" hidden="1">2</definedName>
    <definedName name="solver_ssz" localSheetId="13" hidden="1">100</definedName>
    <definedName name="solver_tim" localSheetId="13" hidden="1">2147483647</definedName>
    <definedName name="solver_tol" localSheetId="13" hidden="1">0.01</definedName>
    <definedName name="solver_typ" localSheetId="13" hidden="1">1</definedName>
    <definedName name="solver_val" localSheetId="13" hidden="1">0</definedName>
    <definedName name="solver_ver" localSheetId="13" hidden="1">2</definedName>
    <definedName name="SpreadsheetBuilder_1" localSheetId="0" hidden="1">#REF!</definedName>
    <definedName name="SpreadsheetBuilder_1" hidden="1">#REF!</definedName>
    <definedName name="SpreadsheetBuilder_2" localSheetId="0" hidden="1">#REF!</definedName>
    <definedName name="SpreadsheetBuilder_2" hidden="1">#REF!</definedName>
    <definedName name="SpreadsheetBuilder_3" localSheetId="0" hidden="1">#REF!</definedName>
    <definedName name="SpreadsheetBuilder_3" hidden="1">#REF!</definedName>
    <definedName name="SpreadsheetBuilder_4" localSheetId="0" hidden="1">#REF!</definedName>
    <definedName name="SpreadsheetBuilder_4" hidden="1">#REF!</definedName>
    <definedName name="Workbook">X!$CX$1:$CX$20</definedName>
  </definedNames>
  <calcPr calcId="191029" iterate="1"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00" i="19" l="1"/>
  <c r="O101" i="19" s="1"/>
  <c r="O102" i="19" s="1"/>
  <c r="O103" i="19" s="1"/>
  <c r="O104" i="19" s="1"/>
  <c r="O105" i="19" s="1"/>
  <c r="O106" i="19" s="1"/>
  <c r="O107" i="19" s="1"/>
  <c r="O108" i="19" s="1"/>
  <c r="O109" i="19" s="1"/>
  <c r="O110" i="19" s="1"/>
  <c r="O111" i="19" s="1"/>
  <c r="O112" i="19" s="1"/>
  <c r="O113" i="19" s="1"/>
  <c r="O114" i="19" s="1"/>
  <c r="O115" i="19" s="1"/>
  <c r="O116" i="19" s="1"/>
  <c r="O117" i="19" s="1"/>
  <c r="O118" i="19" s="1"/>
  <c r="O119" i="19" s="1"/>
  <c r="O120" i="19" s="1"/>
  <c r="O121" i="19" s="1"/>
  <c r="O122" i="19" s="1"/>
  <c r="O123" i="19" s="1"/>
  <c r="O124" i="19" s="1"/>
  <c r="O125" i="19" s="1"/>
  <c r="O126" i="19" s="1"/>
  <c r="O127" i="19" s="1"/>
  <c r="O128" i="19" s="1"/>
  <c r="O129" i="19" s="1"/>
  <c r="O130" i="19" s="1"/>
  <c r="O131" i="19" s="1"/>
  <c r="O132" i="19" s="1"/>
  <c r="O133" i="19" s="1"/>
  <c r="O134" i="19" s="1"/>
  <c r="O135" i="19" s="1"/>
  <c r="O136" i="19" s="1"/>
  <c r="O137" i="19" s="1"/>
  <c r="O138" i="19" s="1"/>
  <c r="O139" i="19" s="1"/>
  <c r="O140" i="19" s="1"/>
  <c r="O141" i="19" s="1"/>
  <c r="O142" i="19" s="1"/>
  <c r="O143" i="19" s="1"/>
  <c r="O144" i="19" s="1"/>
  <c r="O145" i="19" s="1"/>
  <c r="O146" i="19" s="1"/>
  <c r="O147" i="19" s="1"/>
  <c r="O148" i="19" s="1"/>
  <c r="O149" i="19" s="1"/>
  <c r="O150" i="19" s="1"/>
  <c r="O151" i="19" s="1"/>
  <c r="O152" i="19" s="1"/>
  <c r="O153" i="19" s="1"/>
  <c r="O154" i="19" s="1"/>
  <c r="O155" i="19" s="1"/>
  <c r="O156" i="19" s="1"/>
  <c r="O157" i="19" s="1"/>
  <c r="O158" i="19" s="1"/>
  <c r="O159" i="19" s="1"/>
  <c r="O160" i="19" s="1"/>
  <c r="O161" i="19" s="1"/>
  <c r="O162" i="19" s="1"/>
  <c r="O163" i="19" s="1"/>
  <c r="O164" i="19" s="1"/>
  <c r="O165" i="19" s="1"/>
  <c r="O166" i="19" s="1"/>
  <c r="O167" i="19" s="1"/>
  <c r="O168" i="19" s="1"/>
  <c r="O169" i="19" s="1"/>
  <c r="O170" i="19" s="1"/>
  <c r="O171" i="19" s="1"/>
  <c r="O172" i="19" s="1"/>
  <c r="O173" i="19" s="1"/>
  <c r="O174" i="19" s="1"/>
  <c r="O175" i="19" s="1"/>
  <c r="O176" i="19" s="1"/>
  <c r="O177" i="19" s="1"/>
  <c r="O178" i="19" s="1"/>
  <c r="O179" i="19" s="1"/>
  <c r="O180" i="19" s="1"/>
  <c r="O181" i="19" s="1"/>
  <c r="O182" i="19" s="1"/>
  <c r="O183" i="19" s="1"/>
  <c r="O184" i="19" s="1"/>
  <c r="O185" i="19" s="1"/>
  <c r="O186" i="19" s="1"/>
  <c r="O187" i="19" s="1"/>
  <c r="O188" i="19" s="1"/>
  <c r="O189" i="19" s="1"/>
  <c r="O190" i="19" s="1"/>
  <c r="O191" i="19" s="1"/>
  <c r="O192" i="19" s="1"/>
  <c r="O193" i="19" s="1"/>
  <c r="O194" i="19" s="1"/>
  <c r="O195" i="19" s="1"/>
  <c r="O196" i="19" s="1"/>
  <c r="O197" i="19" s="1"/>
  <c r="O198" i="19" s="1"/>
  <c r="O199" i="19" s="1"/>
  <c r="O200" i="19" s="1"/>
  <c r="O201" i="19" s="1"/>
  <c r="O202" i="19" s="1"/>
  <c r="O203" i="19" s="1"/>
  <c r="O204" i="19" s="1"/>
  <c r="O205" i="19" s="1"/>
  <c r="O206" i="19" s="1"/>
  <c r="O207" i="19" s="1"/>
  <c r="O208" i="19" s="1"/>
  <c r="O209" i="19" s="1"/>
  <c r="O210" i="19" s="1"/>
  <c r="O211" i="19" s="1"/>
  <c r="O212" i="19" s="1"/>
  <c r="O213" i="19" s="1"/>
  <c r="O214" i="19" s="1"/>
  <c r="O215" i="19" s="1"/>
  <c r="O216" i="19" s="1"/>
  <c r="O217" i="19" s="1"/>
  <c r="O99" i="19"/>
  <c r="O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98" i="19"/>
  <c r="J99" i="19" a="1"/>
  <c r="J99" i="19" s="1"/>
  <c r="J100" i="19" a="1"/>
  <c r="J100" i="19" s="1"/>
  <c r="J101" i="19" a="1"/>
  <c r="J101" i="19" s="1"/>
  <c r="J102" i="19" a="1"/>
  <c r="J102" i="19" s="1"/>
  <c r="J103" i="19" a="1"/>
  <c r="J103" i="19" s="1"/>
  <c r="J104" i="19" a="1"/>
  <c r="J104" i="19" s="1"/>
  <c r="J105" i="19" a="1"/>
  <c r="J105" i="19" s="1"/>
  <c r="J106" i="19" a="1"/>
  <c r="J106" i="19" s="1"/>
  <c r="J107" i="19" a="1"/>
  <c r="J107" i="19" s="1"/>
  <c r="J108" i="19" a="1"/>
  <c r="J108" i="19" s="1"/>
  <c r="J109" i="19" a="1"/>
  <c r="J109" i="19" s="1"/>
  <c r="J110" i="19" a="1"/>
  <c r="J110" i="19" s="1"/>
  <c r="J111" i="19" a="1"/>
  <c r="J111" i="19" s="1"/>
  <c r="J112" i="19" a="1"/>
  <c r="J112" i="19" s="1"/>
  <c r="J113" i="19" a="1"/>
  <c r="J113" i="19" s="1"/>
  <c r="J114" i="19" a="1"/>
  <c r="J114" i="19" s="1"/>
  <c r="J115" i="19" a="1"/>
  <c r="J115" i="19" s="1"/>
  <c r="J116" i="19" a="1"/>
  <c r="J116" i="19" s="1"/>
  <c r="J117" i="19" a="1"/>
  <c r="J117" i="19" s="1"/>
  <c r="J118" i="19" a="1"/>
  <c r="J118" i="19" s="1"/>
  <c r="J119" i="19" a="1"/>
  <c r="J119" i="19" s="1"/>
  <c r="J120" i="19" a="1"/>
  <c r="J120" i="19" s="1"/>
  <c r="J121" i="19" a="1"/>
  <c r="J121" i="19" s="1"/>
  <c r="J122" i="19" a="1"/>
  <c r="J122" i="19" s="1"/>
  <c r="J123" i="19" a="1"/>
  <c r="J123" i="19" s="1"/>
  <c r="J124" i="19" a="1"/>
  <c r="J124" i="19" s="1"/>
  <c r="J125" i="19" a="1"/>
  <c r="J125" i="19" s="1"/>
  <c r="J126" i="19" a="1"/>
  <c r="J126" i="19" s="1"/>
  <c r="J127" i="19" a="1"/>
  <c r="J127" i="19" s="1"/>
  <c r="J128" i="19" a="1"/>
  <c r="J128" i="19" s="1"/>
  <c r="J129" i="19" a="1"/>
  <c r="J129" i="19" s="1"/>
  <c r="J130" i="19" a="1"/>
  <c r="J130" i="19" s="1"/>
  <c r="J131" i="19" a="1"/>
  <c r="J131" i="19" s="1"/>
  <c r="J132" i="19" a="1"/>
  <c r="J132" i="19" s="1"/>
  <c r="J133" i="19" a="1"/>
  <c r="J133" i="19" s="1"/>
  <c r="J134" i="19" a="1"/>
  <c r="J134" i="19" s="1"/>
  <c r="J135" i="19" a="1"/>
  <c r="J135" i="19" s="1"/>
  <c r="J136" i="19" a="1"/>
  <c r="J136" i="19" s="1"/>
  <c r="J137" i="19" a="1"/>
  <c r="J137" i="19" s="1"/>
  <c r="J138" i="19" a="1"/>
  <c r="J138" i="19" s="1"/>
  <c r="J139" i="19" a="1"/>
  <c r="J139" i="19" s="1"/>
  <c r="J140" i="19" a="1"/>
  <c r="J140" i="19" s="1"/>
  <c r="J141" i="19" a="1"/>
  <c r="J141" i="19" s="1"/>
  <c r="J142" i="19" a="1"/>
  <c r="J142" i="19" s="1"/>
  <c r="J143" i="19" a="1"/>
  <c r="J143" i="19" s="1"/>
  <c r="J144" i="19" a="1"/>
  <c r="J144" i="19" s="1"/>
  <c r="J145" i="19" a="1"/>
  <c r="J145" i="19" s="1"/>
  <c r="J146" i="19" a="1"/>
  <c r="J146" i="19" s="1"/>
  <c r="J147" i="19" a="1"/>
  <c r="J147" i="19" s="1"/>
  <c r="J148" i="19" a="1"/>
  <c r="J148" i="19" s="1"/>
  <c r="J149" i="19" a="1"/>
  <c r="J149" i="19" s="1"/>
  <c r="J150" i="19" a="1"/>
  <c r="J150" i="19" s="1"/>
  <c r="J151" i="19" a="1"/>
  <c r="J151" i="19" s="1"/>
  <c r="J152" i="19" a="1"/>
  <c r="J152" i="19" s="1"/>
  <c r="J153" i="19" a="1"/>
  <c r="J153" i="19" s="1"/>
  <c r="J154" i="19" a="1"/>
  <c r="J154" i="19" s="1"/>
  <c r="J155" i="19" a="1"/>
  <c r="J155" i="19" s="1"/>
  <c r="J156" i="19" a="1"/>
  <c r="J156" i="19" s="1"/>
  <c r="J157" i="19" a="1"/>
  <c r="J157" i="19" s="1"/>
  <c r="J158" i="19" a="1"/>
  <c r="J158" i="19" s="1"/>
  <c r="J159" i="19" a="1"/>
  <c r="J159" i="19" s="1"/>
  <c r="J160" i="19" a="1"/>
  <c r="J160" i="19" s="1"/>
  <c r="J161" i="19" a="1"/>
  <c r="J161" i="19" s="1"/>
  <c r="J162" i="19" a="1"/>
  <c r="J162" i="19" s="1"/>
  <c r="J163" i="19" a="1"/>
  <c r="J163" i="19" s="1"/>
  <c r="J164" i="19" a="1"/>
  <c r="J164" i="19" s="1"/>
  <c r="J165" i="19" a="1"/>
  <c r="J165" i="19" s="1"/>
  <c r="J166" i="19" a="1"/>
  <c r="J166" i="19" s="1"/>
  <c r="J167" i="19" a="1"/>
  <c r="J167" i="19" s="1"/>
  <c r="J168" i="19" a="1"/>
  <c r="J168" i="19" s="1"/>
  <c r="J169" i="19" a="1"/>
  <c r="J169" i="19" s="1"/>
  <c r="J170" i="19" a="1"/>
  <c r="J170" i="19" s="1"/>
  <c r="J171" i="19" a="1"/>
  <c r="J171" i="19" s="1"/>
  <c r="J172" i="19" a="1"/>
  <c r="J172" i="19" s="1"/>
  <c r="J173" i="19" a="1"/>
  <c r="J173" i="19" s="1"/>
  <c r="J174" i="19" a="1"/>
  <c r="J174" i="19" s="1"/>
  <c r="J175" i="19" a="1"/>
  <c r="J175" i="19" s="1"/>
  <c r="J176" i="19" a="1"/>
  <c r="J176" i="19" s="1"/>
  <c r="J177" i="19" a="1"/>
  <c r="J177" i="19" s="1"/>
  <c r="J178" i="19" a="1"/>
  <c r="J178" i="19" s="1"/>
  <c r="J179" i="19" a="1"/>
  <c r="J179" i="19" s="1"/>
  <c r="J180" i="19" a="1"/>
  <c r="J180" i="19" s="1"/>
  <c r="J181" i="19" a="1"/>
  <c r="J181" i="19" s="1"/>
  <c r="J182" i="19" a="1"/>
  <c r="J182" i="19" s="1"/>
  <c r="J183" i="19" a="1"/>
  <c r="J183" i="19" s="1"/>
  <c r="J184" i="19" a="1"/>
  <c r="J184" i="19" s="1"/>
  <c r="J185" i="19" a="1"/>
  <c r="J185" i="19" s="1"/>
  <c r="J186" i="19" a="1"/>
  <c r="J186" i="19" s="1"/>
  <c r="J187" i="19" a="1"/>
  <c r="J187" i="19" s="1"/>
  <c r="J188" i="19" a="1"/>
  <c r="J188" i="19" s="1"/>
  <c r="J189" i="19" a="1"/>
  <c r="J189" i="19" s="1"/>
  <c r="J190" i="19" a="1"/>
  <c r="J190" i="19" s="1"/>
  <c r="J191" i="19" a="1"/>
  <c r="J191" i="19" s="1"/>
  <c r="J192" i="19" a="1"/>
  <c r="J192" i="19" s="1"/>
  <c r="J193" i="19" a="1"/>
  <c r="J193" i="19" s="1"/>
  <c r="J194" i="19" a="1"/>
  <c r="J194" i="19" s="1"/>
  <c r="J195" i="19" a="1"/>
  <c r="J195" i="19" s="1"/>
  <c r="J196" i="19" a="1"/>
  <c r="J196" i="19" s="1"/>
  <c r="J197" i="19" a="1"/>
  <c r="J197" i="19" s="1"/>
  <c r="J198" i="19" a="1"/>
  <c r="J198" i="19" s="1"/>
  <c r="J199" i="19" a="1"/>
  <c r="J199" i="19" s="1"/>
  <c r="J200" i="19" a="1"/>
  <c r="J200" i="19" s="1"/>
  <c r="J201" i="19" a="1"/>
  <c r="J201" i="19" s="1"/>
  <c r="J202" i="19" a="1"/>
  <c r="J202" i="19" s="1"/>
  <c r="J203" i="19" a="1"/>
  <c r="J203" i="19" s="1"/>
  <c r="J204" i="19" a="1"/>
  <c r="J204" i="19" s="1"/>
  <c r="J205" i="19" a="1"/>
  <c r="J205" i="19" s="1"/>
  <c r="J206" i="19" a="1"/>
  <c r="J206" i="19" s="1"/>
  <c r="J207" i="19" a="1"/>
  <c r="J207" i="19" s="1"/>
  <c r="J208" i="19" a="1"/>
  <c r="J208" i="19" s="1"/>
  <c r="J209" i="19" a="1"/>
  <c r="J209" i="19" s="1"/>
  <c r="J210" i="19" a="1"/>
  <c r="J210" i="19" s="1"/>
  <c r="J211" i="19" a="1"/>
  <c r="J211" i="19" s="1"/>
  <c r="J212" i="19" a="1"/>
  <c r="J212" i="19" s="1"/>
  <c r="J213" i="19" a="1"/>
  <c r="J213" i="19" s="1"/>
  <c r="J214" i="19" a="1"/>
  <c r="J214" i="19" s="1"/>
  <c r="J215" i="19" a="1"/>
  <c r="J215" i="19" s="1"/>
  <c r="J216" i="19" a="1"/>
  <c r="J216" i="19" s="1"/>
  <c r="J217" i="19" a="1"/>
  <c r="J217" i="19" s="1"/>
  <c r="J98" i="19" a="1"/>
  <c r="J98" i="19" s="1"/>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I137" i="19"/>
  <c r="I138" i="19"/>
  <c r="I139" i="19"/>
  <c r="I140" i="19"/>
  <c r="I141" i="19"/>
  <c r="I142" i="19"/>
  <c r="I143" i="19"/>
  <c r="I144" i="19"/>
  <c r="I145" i="19"/>
  <c r="I146" i="19"/>
  <c r="I147" i="19"/>
  <c r="I148" i="19"/>
  <c r="I149" i="19"/>
  <c r="I150" i="19"/>
  <c r="I151" i="19"/>
  <c r="I152" i="19"/>
  <c r="I153" i="19"/>
  <c r="I154" i="19"/>
  <c r="I155" i="19"/>
  <c r="I156" i="19"/>
  <c r="I157" i="19"/>
  <c r="I158" i="19"/>
  <c r="I159" i="19"/>
  <c r="I160" i="19"/>
  <c r="I161" i="19"/>
  <c r="I162" i="19"/>
  <c r="I163" i="19"/>
  <c r="I164" i="19"/>
  <c r="I165" i="19"/>
  <c r="I166" i="19"/>
  <c r="I167" i="19"/>
  <c r="I168" i="19"/>
  <c r="I169" i="19"/>
  <c r="I170" i="19"/>
  <c r="I171" i="19"/>
  <c r="I172" i="19"/>
  <c r="I173" i="19"/>
  <c r="I174" i="19"/>
  <c r="I175" i="19"/>
  <c r="I176" i="19"/>
  <c r="I177" i="19"/>
  <c r="I178" i="19"/>
  <c r="I179" i="19"/>
  <c r="I180" i="19"/>
  <c r="I181" i="19"/>
  <c r="I182" i="19"/>
  <c r="I183" i="19"/>
  <c r="I184" i="19"/>
  <c r="I185" i="19"/>
  <c r="I186" i="19"/>
  <c r="I187" i="19"/>
  <c r="I188" i="19"/>
  <c r="I189" i="19"/>
  <c r="I190" i="19"/>
  <c r="I191" i="19"/>
  <c r="I192" i="19"/>
  <c r="I193" i="19"/>
  <c r="I194" i="19"/>
  <c r="I195" i="19"/>
  <c r="I196" i="19"/>
  <c r="I197" i="19"/>
  <c r="I198" i="19"/>
  <c r="I199" i="19"/>
  <c r="I200" i="19"/>
  <c r="I201" i="19"/>
  <c r="I202" i="19"/>
  <c r="I203" i="19"/>
  <c r="I204" i="19"/>
  <c r="I205" i="19"/>
  <c r="I206" i="19"/>
  <c r="I207" i="19"/>
  <c r="I208" i="19"/>
  <c r="I209" i="19"/>
  <c r="I210" i="19"/>
  <c r="I211" i="19"/>
  <c r="I212" i="19"/>
  <c r="I213" i="19"/>
  <c r="I214" i="19"/>
  <c r="I215" i="19"/>
  <c r="I216" i="19"/>
  <c r="I217" i="19"/>
  <c r="I98" i="19"/>
  <c r="F102" i="19"/>
  <c r="F103" i="19" s="1"/>
  <c r="F104" i="19" s="1"/>
  <c r="F105" i="19" s="1"/>
  <c r="F106" i="19" s="1"/>
  <c r="F107" i="19" s="1"/>
  <c r="F108" i="19" s="1"/>
  <c r="F109" i="19" s="1"/>
  <c r="F110" i="19" s="1"/>
  <c r="F111" i="19" s="1"/>
  <c r="F112" i="19" s="1"/>
  <c r="F113" i="19" s="1"/>
  <c r="F114" i="19" s="1"/>
  <c r="F115" i="19" s="1"/>
  <c r="F116" i="19" s="1"/>
  <c r="F117" i="19" s="1"/>
  <c r="F118" i="19" s="1"/>
  <c r="F119" i="19" s="1"/>
  <c r="F120" i="19" s="1"/>
  <c r="F121" i="19" s="1"/>
  <c r="F122" i="19" s="1"/>
  <c r="F123" i="19" s="1"/>
  <c r="F124" i="19" s="1"/>
  <c r="F125" i="19" s="1"/>
  <c r="F126" i="19" s="1"/>
  <c r="F127" i="19" s="1"/>
  <c r="F128" i="19" s="1"/>
  <c r="F129" i="19" s="1"/>
  <c r="F130" i="19" s="1"/>
  <c r="F131" i="19" s="1"/>
  <c r="F132" i="19" s="1"/>
  <c r="F133" i="19" s="1"/>
  <c r="F134" i="19" s="1"/>
  <c r="F135" i="19" s="1"/>
  <c r="F136" i="19" s="1"/>
  <c r="F137" i="19" s="1"/>
  <c r="F138" i="19" s="1"/>
  <c r="F139" i="19" s="1"/>
  <c r="F140" i="19" s="1"/>
  <c r="F141" i="19" s="1"/>
  <c r="F142" i="19" s="1"/>
  <c r="F143" i="19" s="1"/>
  <c r="F144" i="19" s="1"/>
  <c r="F145" i="19" s="1"/>
  <c r="F146" i="19" s="1"/>
  <c r="F147" i="19" s="1"/>
  <c r="F148" i="19" s="1"/>
  <c r="F149" i="19" s="1"/>
  <c r="F150" i="19" s="1"/>
  <c r="F151" i="19" s="1"/>
  <c r="F152" i="19" s="1"/>
  <c r="F153" i="19" s="1"/>
  <c r="F154" i="19" s="1"/>
  <c r="F155" i="19" s="1"/>
  <c r="F156" i="19" s="1"/>
  <c r="F157" i="19" s="1"/>
  <c r="F158" i="19" s="1"/>
  <c r="F159" i="19" s="1"/>
  <c r="F160" i="19" s="1"/>
  <c r="F161" i="19" s="1"/>
  <c r="F162" i="19" s="1"/>
  <c r="F163" i="19" s="1"/>
  <c r="F164" i="19" s="1"/>
  <c r="F165" i="19" s="1"/>
  <c r="F166" i="19" s="1"/>
  <c r="F167" i="19" s="1"/>
  <c r="F168" i="19" s="1"/>
  <c r="F169" i="19" s="1"/>
  <c r="F170" i="19" s="1"/>
  <c r="F171" i="19" s="1"/>
  <c r="F172" i="19" s="1"/>
  <c r="F173" i="19" s="1"/>
  <c r="F174" i="19" s="1"/>
  <c r="F175" i="19" s="1"/>
  <c r="F176" i="19" s="1"/>
  <c r="F177" i="19" s="1"/>
  <c r="F178" i="19" s="1"/>
  <c r="F179" i="19" s="1"/>
  <c r="F180" i="19" s="1"/>
  <c r="F181" i="19" s="1"/>
  <c r="F182" i="19" s="1"/>
  <c r="F183" i="19" s="1"/>
  <c r="F184" i="19" s="1"/>
  <c r="F185" i="19" s="1"/>
  <c r="F186" i="19" s="1"/>
  <c r="F187" i="19" s="1"/>
  <c r="F188" i="19" s="1"/>
  <c r="F189" i="19" s="1"/>
  <c r="F190" i="19" s="1"/>
  <c r="F191" i="19" s="1"/>
  <c r="F192" i="19" s="1"/>
  <c r="F193" i="19" s="1"/>
  <c r="F194" i="19" s="1"/>
  <c r="F195" i="19" s="1"/>
  <c r="F196" i="19" s="1"/>
  <c r="F197" i="19" s="1"/>
  <c r="F198" i="19" s="1"/>
  <c r="F199" i="19" s="1"/>
  <c r="F200" i="19" s="1"/>
  <c r="F201" i="19" s="1"/>
  <c r="F202" i="19" s="1"/>
  <c r="F203" i="19" s="1"/>
  <c r="F204" i="19" s="1"/>
  <c r="F205" i="19" s="1"/>
  <c r="F206" i="19" s="1"/>
  <c r="F207" i="19" s="1"/>
  <c r="F208" i="19" s="1"/>
  <c r="F209" i="19" s="1"/>
  <c r="F210" i="19" s="1"/>
  <c r="F211" i="19" s="1"/>
  <c r="F212" i="19" s="1"/>
  <c r="F213" i="19" s="1"/>
  <c r="F214" i="19" s="1"/>
  <c r="F215" i="19" s="1"/>
  <c r="F216" i="19" s="1"/>
  <c r="F217" i="19" s="1"/>
  <c r="F101"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100"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99" i="19"/>
  <c r="E75" i="46"/>
  <c r="E76" i="46"/>
  <c r="E77" i="46"/>
  <c r="E78" i="46"/>
  <c r="E79" i="46"/>
  <c r="E80" i="46"/>
  <c r="E81" i="46"/>
  <c r="E82" i="46"/>
  <c r="E83" i="46"/>
  <c r="E84" i="46"/>
  <c r="E85" i="46"/>
  <c r="E86" i="46"/>
  <c r="E87" i="46"/>
  <c r="E88" i="46"/>
  <c r="E89" i="46"/>
  <c r="E90" i="46"/>
  <c r="E91" i="46"/>
  <c r="E92" i="46"/>
  <c r="E93" i="46"/>
  <c r="E94" i="46"/>
  <c r="E95" i="46"/>
  <c r="E96" i="46"/>
  <c r="E97" i="46"/>
  <c r="E98" i="46"/>
  <c r="E99" i="46"/>
  <c r="E100" i="46"/>
  <c r="E101" i="46"/>
  <c r="E102" i="46"/>
  <c r="E103" i="46"/>
  <c r="E104" i="46"/>
  <c r="E105" i="46"/>
  <c r="E106" i="46"/>
  <c r="E107" i="46"/>
  <c r="E108" i="46"/>
  <c r="E74" i="46"/>
  <c r="D205" i="35"/>
  <c r="E205" i="35"/>
  <c r="C205" i="35"/>
  <c r="B180" i="35"/>
  <c r="F168" i="35"/>
  <c r="F169" i="35"/>
  <c r="F170" i="35"/>
  <c r="F167" i="35"/>
  <c r="D141" i="35"/>
  <c r="E141" i="35"/>
  <c r="D140" i="35"/>
  <c r="E140" i="35"/>
  <c r="D139" i="35"/>
  <c r="E139" i="35"/>
  <c r="C141" i="35"/>
  <c r="C139" i="35"/>
  <c r="C140" i="35"/>
  <c r="D138" i="35"/>
  <c r="E138" i="35"/>
  <c r="C138" i="35"/>
  <c r="D126" i="35"/>
  <c r="E126" i="35"/>
  <c r="D125" i="35"/>
  <c r="E125" i="35"/>
  <c r="D124" i="35"/>
  <c r="E124" i="35"/>
  <c r="D123" i="35"/>
  <c r="E123" i="35"/>
  <c r="C124" i="35"/>
  <c r="C125" i="35"/>
  <c r="C126" i="35"/>
  <c r="C123" i="35"/>
  <c r="D107" i="35"/>
  <c r="E107" i="35"/>
  <c r="D106" i="35"/>
  <c r="E106" i="35"/>
  <c r="C106" i="35"/>
  <c r="C107" i="35"/>
  <c r="D104" i="35"/>
  <c r="E104" i="35"/>
  <c r="D105" i="35"/>
  <c r="E105" i="35"/>
  <c r="C105" i="35"/>
  <c r="C104" i="35"/>
  <c r="E133" i="43"/>
  <c r="F133" i="43"/>
  <c r="G133" i="43"/>
  <c r="H133" i="43"/>
  <c r="I133" i="43"/>
  <c r="J133" i="43"/>
  <c r="K133" i="43"/>
  <c r="L133" i="43"/>
  <c r="M133" i="43"/>
  <c r="D133" i="43"/>
  <c r="E108" i="43"/>
  <c r="F108" i="43"/>
  <c r="G108" i="43"/>
  <c r="H108" i="43"/>
  <c r="I108" i="43"/>
  <c r="J108" i="43"/>
  <c r="K108" i="43"/>
  <c r="L108" i="43"/>
  <c r="M108" i="43"/>
  <c r="D108" i="43"/>
  <c r="E107" i="43"/>
  <c r="F107" i="43"/>
  <c r="G107" i="43"/>
  <c r="H107" i="43"/>
  <c r="I107" i="43"/>
  <c r="J107" i="43"/>
  <c r="K107" i="43"/>
  <c r="L107" i="43"/>
  <c r="M107" i="43"/>
  <c r="D107" i="43"/>
  <c r="M102" i="43"/>
  <c r="L102" i="43"/>
  <c r="K102" i="43"/>
  <c r="J102" i="43"/>
  <c r="I102" i="43"/>
  <c r="H102" i="43"/>
  <c r="G102" i="43"/>
  <c r="F102" i="43"/>
  <c r="E102" i="43"/>
  <c r="D102" i="43"/>
  <c r="D93" i="43"/>
  <c r="E74" i="43"/>
  <c r="F74" i="43"/>
  <c r="G74" i="43"/>
  <c r="H74" i="43"/>
  <c r="I74" i="43"/>
  <c r="J74" i="43"/>
  <c r="K74" i="43"/>
  <c r="L74" i="43"/>
  <c r="M74" i="43"/>
  <c r="D74" i="43"/>
  <c r="E73" i="43"/>
  <c r="F73" i="43"/>
  <c r="G73" i="43"/>
  <c r="H73" i="43"/>
  <c r="I73" i="43"/>
  <c r="J73" i="43"/>
  <c r="K73" i="43"/>
  <c r="L73" i="43"/>
  <c r="M73" i="43"/>
  <c r="D73" i="43"/>
  <c r="E59" i="43"/>
  <c r="F59" i="43"/>
  <c r="G59" i="43"/>
  <c r="H59" i="43"/>
  <c r="I59" i="43"/>
  <c r="J59" i="43"/>
  <c r="K59" i="43"/>
  <c r="L59" i="43"/>
  <c r="M59" i="43"/>
  <c r="E58" i="43"/>
  <c r="F58" i="43"/>
  <c r="G58" i="43"/>
  <c r="H58" i="43"/>
  <c r="I58" i="43"/>
  <c r="J58" i="43"/>
  <c r="K58" i="43"/>
  <c r="L58" i="43"/>
  <c r="M58" i="43"/>
  <c r="D59" i="43"/>
  <c r="D58" i="43"/>
  <c r="F55" i="43"/>
  <c r="G55" i="43"/>
  <c r="H55" i="43" s="1"/>
  <c r="I55" i="43" s="1"/>
  <c r="J55" i="43" s="1"/>
  <c r="K55" i="43" s="1"/>
  <c r="L55" i="43" s="1"/>
  <c r="M55" i="43" s="1"/>
  <c r="E55" i="43"/>
  <c r="E54" i="43"/>
  <c r="F54" i="43" s="1"/>
  <c r="G54" i="43" s="1"/>
  <c r="H54" i="43" s="1"/>
  <c r="I54" i="43" s="1"/>
  <c r="J54" i="43" s="1"/>
  <c r="K54" i="43" s="1"/>
  <c r="L54" i="43" s="1"/>
  <c r="M54" i="43" s="1"/>
  <c r="D55" i="43"/>
  <c r="D54" i="43"/>
  <c r="E44" i="43"/>
  <c r="F44" i="43" s="1"/>
  <c r="G44" i="43" s="1"/>
  <c r="H44" i="43" s="1"/>
  <c r="I44" i="43" s="1"/>
  <c r="J44" i="43" s="1"/>
  <c r="K44" i="43" s="1"/>
  <c r="L44" i="43" s="1"/>
  <c r="M44" i="43" s="1"/>
  <c r="D44" i="43"/>
  <c r="B93" i="34"/>
  <c r="B112" i="32"/>
  <c r="B109" i="32"/>
  <c r="B106" i="32"/>
  <c r="B103" i="32"/>
  <c r="B100" i="32"/>
  <c r="K96" i="32"/>
  <c r="L96" i="32"/>
  <c r="M96" i="32"/>
  <c r="K95" i="32"/>
  <c r="L95" i="32"/>
  <c r="M95" i="32"/>
  <c r="K94" i="32"/>
  <c r="L94" i="32"/>
  <c r="M94" i="32"/>
  <c r="K93" i="32"/>
  <c r="L93" i="32"/>
  <c r="M93" i="32"/>
  <c r="K92" i="32"/>
  <c r="L92" i="32"/>
  <c r="M92" i="32"/>
  <c r="J96" i="32"/>
  <c r="J95" i="32"/>
  <c r="J94" i="32"/>
  <c r="J93" i="32"/>
  <c r="J92" i="32"/>
  <c r="E96" i="32"/>
  <c r="F96" i="32"/>
  <c r="G96" i="32"/>
  <c r="E95" i="32"/>
  <c r="F95" i="32"/>
  <c r="G95" i="32"/>
  <c r="E94" i="32"/>
  <c r="F94" i="32"/>
  <c r="G94" i="32"/>
  <c r="E93" i="32"/>
  <c r="F93" i="32"/>
  <c r="G93" i="32"/>
  <c r="E92" i="32"/>
  <c r="F92" i="32"/>
  <c r="G92" i="32"/>
  <c r="D96" i="32"/>
  <c r="D95" i="32"/>
  <c r="D94" i="32"/>
  <c r="D93" i="32"/>
  <c r="D92" i="32"/>
  <c r="K87" i="32"/>
  <c r="L87" i="32"/>
  <c r="M87" i="32"/>
  <c r="K86" i="32"/>
  <c r="L86" i="32"/>
  <c r="M86" i="32"/>
  <c r="K85" i="32"/>
  <c r="L85" i="32"/>
  <c r="M85" i="32"/>
  <c r="K84" i="32"/>
  <c r="L84" i="32"/>
  <c r="M84" i="32"/>
  <c r="K83" i="32"/>
  <c r="L83" i="32"/>
  <c r="M83" i="32"/>
  <c r="K82" i="32"/>
  <c r="L82" i="32"/>
  <c r="M82" i="32"/>
  <c r="K81" i="32"/>
  <c r="L81" i="32"/>
  <c r="M81" i="32"/>
  <c r="J87" i="32"/>
  <c r="J86" i="32"/>
  <c r="J85" i="32"/>
  <c r="J84" i="32"/>
  <c r="J83" i="32"/>
  <c r="J82" i="32"/>
  <c r="J81" i="32"/>
  <c r="E87" i="32"/>
  <c r="F87" i="32"/>
  <c r="G87" i="32"/>
  <c r="E86" i="32"/>
  <c r="F86" i="32"/>
  <c r="G86" i="32"/>
  <c r="E85" i="32"/>
  <c r="F85" i="32"/>
  <c r="G85" i="32"/>
  <c r="E84" i="32"/>
  <c r="F84" i="32"/>
  <c r="G84" i="32"/>
  <c r="E83" i="32"/>
  <c r="F83" i="32"/>
  <c r="G83" i="32"/>
  <c r="E82" i="32"/>
  <c r="F82" i="32"/>
  <c r="G82" i="32"/>
  <c r="D87" i="32"/>
  <c r="D86" i="32"/>
  <c r="D85" i="32"/>
  <c r="D84" i="32"/>
  <c r="D83" i="32"/>
  <c r="D82" i="32"/>
  <c r="K77" i="32"/>
  <c r="L77" i="32"/>
  <c r="M77" i="32"/>
  <c r="J77" i="32"/>
  <c r="K76" i="32"/>
  <c r="L76" i="32"/>
  <c r="M76" i="32"/>
  <c r="J76" i="32"/>
  <c r="K75" i="32"/>
  <c r="L75" i="32"/>
  <c r="M75" i="32"/>
  <c r="J75" i="32"/>
  <c r="E77" i="32"/>
  <c r="F77" i="32"/>
  <c r="G77" i="32"/>
  <c r="D77" i="32"/>
  <c r="E76" i="32"/>
  <c r="F76" i="32"/>
  <c r="G76" i="32"/>
  <c r="D76" i="32"/>
  <c r="E75" i="32"/>
  <c r="F75" i="32"/>
  <c r="G75" i="32"/>
  <c r="D75" i="32"/>
  <c r="E70" i="32"/>
  <c r="F70" i="32"/>
  <c r="G70" i="32"/>
  <c r="D70" i="32"/>
  <c r="E69" i="32"/>
  <c r="F69" i="32"/>
  <c r="G69" i="32"/>
  <c r="D69" i="32"/>
  <c r="E68" i="32"/>
  <c r="F68" i="32"/>
  <c r="G68" i="32"/>
  <c r="D68" i="32"/>
  <c r="K70" i="32"/>
  <c r="L70" i="32"/>
  <c r="M70" i="32"/>
  <c r="J70" i="32"/>
  <c r="K69" i="32"/>
  <c r="L69" i="32"/>
  <c r="M69" i="32"/>
  <c r="J69" i="32"/>
  <c r="K68" i="32"/>
  <c r="L68" i="32"/>
  <c r="M68" i="32"/>
  <c r="J68" i="32"/>
  <c r="K67" i="32"/>
  <c r="L67" i="32"/>
  <c r="M67" i="32"/>
  <c r="J67" i="32"/>
  <c r="K66" i="32"/>
  <c r="L66" i="32"/>
  <c r="M66" i="32"/>
  <c r="J66" i="32"/>
  <c r="E62" i="32"/>
  <c r="F62" i="32"/>
  <c r="G62" i="32"/>
  <c r="D62" i="32"/>
  <c r="E61" i="32"/>
  <c r="F61" i="32"/>
  <c r="G61" i="32"/>
  <c r="D61" i="32"/>
  <c r="F58" i="32"/>
  <c r="E58" i="32"/>
  <c r="F99" i="33"/>
  <c r="F97" i="33"/>
  <c r="F95" i="33"/>
  <c r="F94" i="33"/>
  <c r="F93" i="33"/>
  <c r="F92" i="33"/>
  <c r="E99" i="33"/>
  <c r="E95" i="33"/>
  <c r="E94" i="33"/>
  <c r="E93" i="33"/>
  <c r="E92" i="33"/>
  <c r="D92" i="33"/>
  <c r="F77" i="33"/>
  <c r="F74" i="33"/>
  <c r="E78" i="33"/>
  <c r="E76" i="33"/>
  <c r="E75" i="33"/>
  <c r="D78" i="33"/>
  <c r="D75" i="33"/>
  <c r="F70" i="33"/>
  <c r="F64" i="33"/>
  <c r="F62" i="33"/>
  <c r="F60" i="33"/>
  <c r="F59" i="33"/>
  <c r="E70" i="33"/>
  <c r="E69" i="33" s="1"/>
  <c r="E67" i="33"/>
  <c r="E64" i="33"/>
  <c r="E63" i="33"/>
  <c r="E61" i="33"/>
  <c r="E60" i="33"/>
  <c r="D70" i="33"/>
  <c r="D69" i="33" s="1"/>
  <c r="D67" i="33"/>
  <c r="D64" i="33"/>
  <c r="D63" i="33"/>
  <c r="D61" i="33"/>
  <c r="D60" i="33"/>
  <c r="F57" i="33"/>
  <c r="B229" i="34"/>
  <c r="B210" i="34"/>
  <c r="B187" i="34"/>
  <c r="B141" i="34"/>
  <c r="B89" i="34"/>
  <c r="G85" i="34"/>
  <c r="F85" i="34"/>
  <c r="G461" i="25"/>
  <c r="G460" i="25"/>
  <c r="G458" i="25"/>
  <c r="G456" i="25"/>
  <c r="G455" i="25"/>
  <c r="F461" i="25"/>
  <c r="F460" i="25"/>
  <c r="F458" i="25"/>
  <c r="F456" i="25"/>
  <c r="F455" i="25"/>
  <c r="G452" i="25"/>
  <c r="F452" i="25"/>
  <c r="F427" i="25"/>
  <c r="E427" i="25"/>
  <c r="G416" i="25"/>
  <c r="F416" i="25"/>
  <c r="G414" i="25"/>
  <c r="F414" i="25"/>
  <c r="E416" i="25"/>
  <c r="E414" i="25"/>
  <c r="G403" i="25"/>
  <c r="G402" i="25"/>
  <c r="G401" i="25"/>
  <c r="F403" i="25"/>
  <c r="F402" i="25"/>
  <c r="F401" i="25"/>
  <c r="G399" i="25"/>
  <c r="F399" i="25"/>
  <c r="E399" i="25"/>
  <c r="F76" i="33" l="1"/>
  <c r="B223" i="34"/>
  <c r="B117" i="50" l="1"/>
  <c r="CD150" i="37"/>
  <c r="A52" i="34"/>
  <c r="A56" i="34"/>
  <c r="A110" i="50"/>
  <c r="A115" i="50"/>
  <c r="A43" i="34"/>
  <c r="B99" i="34" l="1"/>
  <c r="B100" i="34"/>
  <c r="B116" i="34"/>
  <c r="B117" i="34"/>
  <c r="B118" i="34"/>
  <c r="A26" i="35" l="1"/>
  <c r="CJ121" i="37" l="1"/>
  <c r="CJ120" i="37"/>
  <c r="B197" i="34" l="1"/>
  <c r="CD121" i="37" l="1"/>
  <c r="CD120" i="37"/>
  <c r="D26" i="34" l="1"/>
  <c r="E26" i="34"/>
  <c r="F26" i="34"/>
  <c r="G26" i="34"/>
  <c r="H26" i="34"/>
  <c r="I26" i="34"/>
  <c r="J26" i="34"/>
  <c r="K26" i="34"/>
  <c r="L26" i="34"/>
  <c r="M26" i="34" s="1"/>
  <c r="C26" i="34"/>
  <c r="H139" i="50"/>
  <c r="I139" i="50"/>
  <c r="J139" i="50"/>
  <c r="K139" i="50"/>
  <c r="L139" i="50"/>
  <c r="M139" i="50"/>
  <c r="G139" i="50"/>
  <c r="E139" i="50"/>
  <c r="F139" i="50"/>
  <c r="D139" i="50"/>
  <c r="C107" i="50"/>
  <c r="K106" i="50"/>
  <c r="L106" i="50"/>
  <c r="M106" i="50"/>
  <c r="I106" i="50"/>
  <c r="J106" i="50"/>
  <c r="E106" i="50"/>
  <c r="F106" i="50"/>
  <c r="G106" i="50"/>
  <c r="H106" i="50"/>
  <c r="D106" i="50"/>
  <c r="D107" i="50" s="1"/>
  <c r="D80" i="19" l="1"/>
  <c r="D77" i="19"/>
  <c r="D75" i="19"/>
  <c r="A27" i="19"/>
  <c r="A122" i="46"/>
  <c r="A121" i="46"/>
  <c r="B33" i="46"/>
  <c r="B42" i="33"/>
  <c r="A28" i="33"/>
  <c r="A73" i="50"/>
  <c r="CW92" i="37" l="1"/>
  <c r="CX92" i="37"/>
  <c r="CY92" i="37"/>
  <c r="CV92" i="37"/>
  <c r="A250" i="19" l="1"/>
  <c r="A163" i="43"/>
  <c r="A206" i="34"/>
  <c r="B27" i="34"/>
  <c r="A95" i="43" l="1"/>
  <c r="A137" i="43" l="1"/>
  <c r="A244" i="19"/>
  <c r="A191" i="34" l="1"/>
  <c r="A192" i="34"/>
  <c r="A193" i="34"/>
  <c r="CD53" i="37"/>
  <c r="B202" i="34" l="1"/>
  <c r="B201" i="34"/>
  <c r="A36" i="50" l="1"/>
  <c r="A192" i="25"/>
  <c r="H188" i="25"/>
  <c r="I188" i="25" s="1"/>
  <c r="G188" i="25"/>
  <c r="H187" i="25"/>
  <c r="I187" i="25" s="1"/>
  <c r="L187" i="25" s="1"/>
  <c r="L188" i="25" l="1"/>
  <c r="A15" i="50"/>
  <c r="A61" i="50" l="1"/>
  <c r="E134" i="50" l="1"/>
  <c r="F134" i="50" s="1"/>
  <c r="G134" i="50" s="1"/>
  <c r="H134" i="50" s="1"/>
  <c r="I134" i="50" s="1"/>
  <c r="J134" i="50" s="1"/>
  <c r="K134" i="50" s="1"/>
  <c r="L134" i="50" s="1"/>
  <c r="M134" i="50" s="1"/>
  <c r="C138" i="50" l="1"/>
  <c r="C140" i="50" s="1"/>
  <c r="D133" i="50"/>
  <c r="D135" i="50" s="1"/>
  <c r="E132" i="50"/>
  <c r="E133" i="50" s="1"/>
  <c r="C129" i="50"/>
  <c r="D129" i="50" s="1"/>
  <c r="E129" i="50" s="1"/>
  <c r="F129" i="50" s="1"/>
  <c r="G129" i="50" s="1"/>
  <c r="H129" i="50" s="1"/>
  <c r="I129" i="50" s="1"/>
  <c r="J129" i="50" s="1"/>
  <c r="K129" i="50" s="1"/>
  <c r="L129" i="50" s="1"/>
  <c r="M129" i="50" s="1"/>
  <c r="C103" i="50"/>
  <c r="D103" i="50" s="1"/>
  <c r="E103" i="50" s="1"/>
  <c r="F103" i="50" s="1"/>
  <c r="G103" i="50" s="1"/>
  <c r="H103" i="50" s="1"/>
  <c r="I103" i="50" s="1"/>
  <c r="J103" i="50" s="1"/>
  <c r="K103" i="50" s="1"/>
  <c r="L103" i="50" s="1"/>
  <c r="M103" i="50" s="1"/>
  <c r="A98" i="50" s="1"/>
  <c r="E105" i="50"/>
  <c r="E55" i="50"/>
  <c r="F55" i="50" s="1"/>
  <c r="G55" i="50" s="1"/>
  <c r="H55" i="50" s="1"/>
  <c r="I55" i="50" s="1"/>
  <c r="J55" i="50" s="1"/>
  <c r="K55" i="50" s="1"/>
  <c r="L55" i="50" s="1"/>
  <c r="M55" i="50" s="1"/>
  <c r="A47" i="50"/>
  <c r="A46" i="50"/>
  <c r="F105" i="50" l="1"/>
  <c r="E107" i="50"/>
  <c r="E135" i="50"/>
  <c r="E136" i="50" s="1"/>
  <c r="E137" i="50" s="1"/>
  <c r="E138" i="50" s="1"/>
  <c r="E140" i="50" s="1"/>
  <c r="D136" i="50"/>
  <c r="D137" i="50" s="1"/>
  <c r="D138" i="50" s="1"/>
  <c r="D140" i="50" s="1"/>
  <c r="F132" i="50"/>
  <c r="D58" i="50"/>
  <c r="C58" i="50"/>
  <c r="E57" i="50"/>
  <c r="E58" i="50" s="1"/>
  <c r="G105" i="50" l="1"/>
  <c r="F107" i="50"/>
  <c r="G132" i="50"/>
  <c r="F133" i="50"/>
  <c r="F135" i="50" s="1"/>
  <c r="F57" i="50"/>
  <c r="C54" i="50"/>
  <c r="D54" i="50" s="1"/>
  <c r="E54" i="50" s="1"/>
  <c r="F54" i="50" s="1"/>
  <c r="G54" i="50" s="1"/>
  <c r="H54" i="50" s="1"/>
  <c r="I54" i="50" s="1"/>
  <c r="J54" i="50" s="1"/>
  <c r="K54" i="50" s="1"/>
  <c r="L54" i="50" s="1"/>
  <c r="M54" i="50" s="1"/>
  <c r="A85" i="50" s="1"/>
  <c r="H105" i="50" l="1"/>
  <c r="G107" i="50"/>
  <c r="F136" i="50"/>
  <c r="F137" i="50" s="1"/>
  <c r="F138" i="50" s="1"/>
  <c r="F140" i="50" s="1"/>
  <c r="G133" i="50"/>
  <c r="G135" i="50" s="1"/>
  <c r="H132" i="50"/>
  <c r="G57" i="50"/>
  <c r="F58" i="50"/>
  <c r="I105" i="50" l="1"/>
  <c r="H107" i="50"/>
  <c r="H133" i="50"/>
  <c r="H135" i="50" s="1"/>
  <c r="I132" i="50"/>
  <c r="G136" i="50"/>
  <c r="G137" i="50" s="1"/>
  <c r="G138" i="50" s="1"/>
  <c r="G140" i="50" s="1"/>
  <c r="H57" i="50"/>
  <c r="G58" i="50"/>
  <c r="J105" i="50" l="1"/>
  <c r="I107" i="50"/>
  <c r="H136" i="50"/>
  <c r="H137" i="50" s="1"/>
  <c r="H138" i="50" s="1"/>
  <c r="H140" i="50" s="1"/>
  <c r="J132" i="50"/>
  <c r="I133" i="50"/>
  <c r="I135" i="50" s="1"/>
  <c r="I57" i="50"/>
  <c r="H58" i="50"/>
  <c r="B29" i="50"/>
  <c r="A28" i="50"/>
  <c r="K105" i="50" l="1"/>
  <c r="J107" i="50"/>
  <c r="I136" i="50"/>
  <c r="I137" i="50" s="1"/>
  <c r="I138" i="50" s="1"/>
  <c r="I140" i="50" s="1"/>
  <c r="K132" i="50"/>
  <c r="J133" i="50"/>
  <c r="J135" i="50" s="1"/>
  <c r="J57" i="50"/>
  <c r="I58" i="50"/>
  <c r="A4" i="50"/>
  <c r="F1" i="50"/>
  <c r="L105" i="50" l="1"/>
  <c r="K107" i="50"/>
  <c r="J136" i="50"/>
  <c r="J137" i="50" s="1"/>
  <c r="J138" i="50" s="1"/>
  <c r="J140" i="50" s="1"/>
  <c r="L132" i="50"/>
  <c r="K133" i="50"/>
  <c r="K135" i="50" s="1"/>
  <c r="K57" i="50"/>
  <c r="J58" i="50"/>
  <c r="B46" i="33"/>
  <c r="A194" i="34"/>
  <c r="M105" i="50" l="1"/>
  <c r="L107" i="50"/>
  <c r="M132" i="50"/>
  <c r="L133" i="50"/>
  <c r="L135" i="50" s="1"/>
  <c r="K136" i="50"/>
  <c r="K137" i="50" s="1"/>
  <c r="K138" i="50" s="1"/>
  <c r="K140" i="50" s="1"/>
  <c r="L57" i="50"/>
  <c r="K58" i="50"/>
  <c r="A255" i="19"/>
  <c r="A254" i="19"/>
  <c r="A243" i="19"/>
  <c r="A242" i="19"/>
  <c r="A220" i="19"/>
  <c r="A68" i="48"/>
  <c r="K61" i="48"/>
  <c r="B230" i="34"/>
  <c r="A227" i="34"/>
  <c r="B225" i="34"/>
  <c r="A219" i="34"/>
  <c r="L136" i="50" l="1"/>
  <c r="L137" i="50" s="1"/>
  <c r="L138" i="50" s="1"/>
  <c r="L140" i="50" s="1"/>
  <c r="M133" i="50"/>
  <c r="M135" i="50" s="1"/>
  <c r="M57" i="50"/>
  <c r="M58" i="50" s="1"/>
  <c r="L58" i="50"/>
  <c r="M136" i="50" l="1"/>
  <c r="M137" i="50" s="1"/>
  <c r="M138" i="50" s="1"/>
  <c r="M140" i="50" s="1"/>
  <c r="B74" i="50"/>
  <c r="CD138" i="37"/>
  <c r="B143" i="50" l="1"/>
  <c r="FC175" i="37"/>
  <c r="FB174" i="37"/>
  <c r="FC174" i="37"/>
  <c r="CJ122" i="37" l="1"/>
  <c r="CE126" i="37" l="1"/>
  <c r="CF126" i="37"/>
  <c r="CG126" i="37"/>
  <c r="CH126" i="37"/>
  <c r="CI126" i="37"/>
  <c r="CJ126" i="37"/>
  <c r="CK126" i="37"/>
  <c r="CL126" i="37"/>
  <c r="CM126" i="37"/>
  <c r="CD126" i="37"/>
  <c r="CD125" i="37"/>
  <c r="CD124" i="37"/>
  <c r="CD123" i="37"/>
  <c r="CD110" i="37" l="1"/>
  <c r="CD109" i="37"/>
  <c r="CD104" i="37"/>
  <c r="CE124" i="37" l="1"/>
  <c r="CE125" i="37"/>
  <c r="CE123" i="37"/>
  <c r="CF123" i="37" l="1"/>
  <c r="CF125" i="37"/>
  <c r="CF124" i="37"/>
  <c r="CG124" i="37" l="1"/>
  <c r="CG125" i="37"/>
  <c r="CG123" i="37"/>
  <c r="CH123" i="37" l="1"/>
  <c r="CH125" i="37"/>
  <c r="CH124" i="37"/>
  <c r="CI125" i="37" l="1"/>
  <c r="CI124" i="37"/>
  <c r="CI123" i="37"/>
  <c r="CJ124" i="37" l="1"/>
  <c r="CJ123" i="37"/>
  <c r="CJ125" i="37"/>
  <c r="CK123" i="37" l="1"/>
  <c r="CK125" i="37"/>
  <c r="CK124" i="37"/>
  <c r="CM125" i="37" l="1"/>
  <c r="CL125" i="37"/>
  <c r="CM124" i="37"/>
  <c r="CL124" i="37"/>
  <c r="CM123" i="37"/>
  <c r="CL123" i="37"/>
  <c r="CD122" i="37" l="1"/>
  <c r="CD54" i="37" l="1"/>
  <c r="CD165" i="37" l="1"/>
  <c r="CD164" i="37"/>
  <c r="CD55" i="37" l="1"/>
  <c r="CD48" i="37"/>
  <c r="CE48" i="37"/>
  <c r="CD37" i="37"/>
  <c r="CE37" i="37"/>
  <c r="CF37" i="37"/>
  <c r="CG37" i="37"/>
  <c r="CD38" i="37"/>
  <c r="CE38" i="37"/>
  <c r="CF38" i="37"/>
  <c r="CG38" i="37"/>
  <c r="CD39" i="37"/>
  <c r="CE39" i="37"/>
  <c r="CF39" i="37"/>
  <c r="CG39" i="37"/>
  <c r="CD40" i="37"/>
  <c r="CE40" i="37"/>
  <c r="CF40" i="37"/>
  <c r="CG40" i="37"/>
  <c r="CD41" i="37"/>
  <c r="CE41" i="37"/>
  <c r="CF41" i="37"/>
  <c r="CG41" i="37"/>
  <c r="CE36" i="37"/>
  <c r="CF36" i="37"/>
  <c r="CG36" i="37"/>
  <c r="CD36" i="37"/>
  <c r="CE78" i="37" l="1"/>
  <c r="CE77" i="37"/>
  <c r="CF48" i="37" l="1"/>
  <c r="CK49" i="37" s="1"/>
  <c r="G98" i="19"/>
  <c r="CD49" i="37" l="1"/>
  <c r="CK50" i="37" s="1"/>
  <c r="CK51" i="37" s="1"/>
  <c r="CD145" i="37"/>
  <c r="CD144" i="37"/>
  <c r="CD142" i="37"/>
  <c r="CD141" i="37"/>
  <c r="CD140" i="37"/>
  <c r="CD139" i="37"/>
  <c r="CD149" i="37"/>
  <c r="CD148" i="37"/>
  <c r="CD147" i="37"/>
  <c r="CD50" i="37" l="1"/>
  <c r="CJ92" i="37"/>
  <c r="CK92" i="37"/>
  <c r="CL92" i="37"/>
  <c r="CM92" i="37"/>
  <c r="CD85" i="37" l="1"/>
  <c r="CD84" i="37"/>
  <c r="CJ85" i="37"/>
  <c r="CJ84" i="37"/>
  <c r="CB1" i="37" l="1"/>
  <c r="CB10" i="37" s="1"/>
  <c r="CB14" i="37" l="1"/>
  <c r="CB4" i="37"/>
  <c r="CB6" i="37"/>
  <c r="CB12" i="37"/>
  <c r="CB15" i="37"/>
  <c r="CB8" i="37"/>
  <c r="CB2" i="37"/>
  <c r="CC2" i="37" s="1"/>
  <c r="CB3" i="37"/>
  <c r="CB5" i="37"/>
  <c r="CB7" i="37"/>
  <c r="CB9" i="37"/>
  <c r="CB11" i="37"/>
  <c r="CB13" i="37"/>
  <c r="C40" i="43" l="1"/>
  <c r="C41" i="43"/>
  <c r="CC3" i="37"/>
  <c r="CC4" i="37" s="1"/>
  <c r="CC5" i="37" s="1"/>
  <c r="CC6" i="37" l="1"/>
  <c r="CC7" i="37" s="1"/>
  <c r="CC8" i="37" s="1"/>
  <c r="CC9" i="37" s="1"/>
  <c r="CG2" i="37" l="1"/>
  <c r="E452" i="25" s="1"/>
  <c r="CC10" i="37"/>
  <c r="CC11" i="37" s="1"/>
  <c r="E453" i="25" l="1"/>
  <c r="E455" i="25"/>
  <c r="CC12" i="37"/>
  <c r="CC13" i="37" s="1"/>
  <c r="CC14" i="37" s="1"/>
  <c r="CC15" i="37" s="1"/>
  <c r="CP126" i="37" l="1"/>
  <c r="CP125" i="37"/>
  <c r="CY123" i="37"/>
  <c r="CX123" i="37"/>
  <c r="CW123" i="37"/>
  <c r="CV123" i="37"/>
  <c r="CU123" i="37"/>
  <c r="CT123" i="37"/>
  <c r="CS123" i="37"/>
  <c r="CR123" i="37"/>
  <c r="CQ123" i="37"/>
  <c r="CP123" i="37"/>
  <c r="CQ125" i="37" l="1"/>
  <c r="CQ126" i="37"/>
  <c r="CJ104" i="37"/>
  <c r="CV85" i="37"/>
  <c r="CV84" i="37"/>
  <c r="CK78" i="37"/>
  <c r="CK77" i="37"/>
  <c r="CD24" i="37"/>
  <c r="CD25" i="37"/>
  <c r="CD26" i="37"/>
  <c r="CD27" i="37"/>
  <c r="CD28" i="37"/>
  <c r="CD23" i="37"/>
  <c r="CR126" i="37" l="1"/>
  <c r="CR125" i="37"/>
  <c r="CS125" i="37" l="1"/>
  <c r="CS126" i="37"/>
  <c r="CT126" i="37" l="1"/>
  <c r="CT125" i="37"/>
  <c r="CU125" i="37" l="1"/>
  <c r="CU126" i="37"/>
  <c r="CV125" i="37" l="1"/>
  <c r="CV126" i="37"/>
  <c r="CW126" i="37" l="1"/>
  <c r="CW125" i="37"/>
  <c r="CX125" i="37" l="1"/>
  <c r="CX126" i="37"/>
  <c r="CY125" i="37" l="1"/>
  <c r="CY126" i="37"/>
  <c r="E60" i="32" l="1"/>
  <c r="F60" i="32" s="1"/>
  <c r="G60" i="32" s="1"/>
  <c r="F42" i="48" l="1"/>
  <c r="G42" i="48" s="1"/>
  <c r="H42" i="48" l="1"/>
  <c r="I42" i="48" s="1"/>
  <c r="A134" i="43" l="1"/>
  <c r="A186" i="34" l="1"/>
  <c r="A249" i="19"/>
  <c r="A162" i="43"/>
  <c r="A15" i="33"/>
  <c r="A77" i="34"/>
  <c r="A69" i="34"/>
  <c r="A7" i="34" l="1"/>
  <c r="E34" i="19" l="1"/>
  <c r="E35" i="19"/>
  <c r="E36" i="19"/>
  <c r="E33" i="19"/>
  <c r="A135" i="34"/>
  <c r="A62" i="34"/>
  <c r="A67" i="34"/>
  <c r="A250" i="34" l="1"/>
  <c r="B16" i="45" l="1"/>
  <c r="A165" i="43"/>
  <c r="C175" i="25" l="1"/>
  <c r="D175" i="25"/>
  <c r="E175" i="25"/>
  <c r="D177" i="25"/>
  <c r="E177" i="25" s="1"/>
  <c r="E176" i="25" s="1"/>
  <c r="C179" i="25"/>
  <c r="D179" i="25"/>
  <c r="E179" i="25" s="1"/>
  <c r="B45" i="45"/>
  <c r="D91" i="43"/>
  <c r="D104" i="43"/>
  <c r="G82" i="43"/>
  <c r="G81" i="43"/>
  <c r="C80" i="43"/>
  <c r="C81" i="43"/>
  <c r="C82" i="43"/>
  <c r="L186" i="25" l="1"/>
  <c r="I186" i="25"/>
  <c r="D186" i="25"/>
  <c r="H186" i="25"/>
  <c r="C186" i="25"/>
  <c r="G186" i="25"/>
  <c r="CP131" i="37"/>
  <c r="E178" i="25"/>
  <c r="D131" i="43" l="1"/>
  <c r="CD131" i="37"/>
  <c r="Y187" i="34"/>
  <c r="F40" i="48"/>
  <c r="G40" i="48"/>
  <c r="H40" i="48"/>
  <c r="I40" i="48"/>
  <c r="E40" i="48"/>
  <c r="A65" i="48"/>
  <c r="D58" i="48"/>
  <c r="F60" i="48"/>
  <c r="G60" i="48"/>
  <c r="H60" i="48"/>
  <c r="I60" i="48"/>
  <c r="E60" i="48"/>
  <c r="C82" i="48"/>
  <c r="C83" i="48" s="1"/>
  <c r="C84" i="48" s="1"/>
  <c r="D52" i="48"/>
  <c r="D59" i="48"/>
  <c r="D61" i="48" s="1"/>
  <c r="D37" i="48"/>
  <c r="D62" i="48" l="1"/>
  <c r="E37" i="48"/>
  <c r="F37" i="48" s="1"/>
  <c r="G37" i="48" s="1"/>
  <c r="H37" i="48" s="1"/>
  <c r="I37" i="48" s="1"/>
  <c r="C37" i="48"/>
  <c r="A25" i="48" s="1"/>
  <c r="CN117" i="37"/>
  <c r="CM117" i="37"/>
  <c r="CM118" i="37"/>
  <c r="CJ118" i="37"/>
  <c r="CN118" i="37"/>
  <c r="CK118" i="37"/>
  <c r="CL118" i="37"/>
  <c r="CL117" i="37"/>
  <c r="CK117" i="37"/>
  <c r="CJ117" i="37"/>
  <c r="D60" i="48"/>
  <c r="D51" i="48"/>
  <c r="A56" i="48"/>
  <c r="A4" i="48"/>
  <c r="E51" i="48" l="1"/>
  <c r="CD113" i="37" s="1"/>
  <c r="E57" i="48"/>
  <c r="CJ113" i="37" s="1"/>
  <c r="D63" i="48"/>
  <c r="D125" i="43"/>
  <c r="E125" i="43" s="1"/>
  <c r="F125" i="43" s="1"/>
  <c r="G125" i="43" s="1"/>
  <c r="H125" i="43" s="1"/>
  <c r="I125" i="43" s="1"/>
  <c r="J125" i="43" s="1"/>
  <c r="K125" i="43" s="1"/>
  <c r="L125" i="43" s="1"/>
  <c r="M125" i="43" s="1"/>
  <c r="D71" i="43"/>
  <c r="E71" i="43" s="1"/>
  <c r="F71" i="43" s="1"/>
  <c r="G71" i="43" s="1"/>
  <c r="H71" i="43" s="1"/>
  <c r="I71" i="43" s="1"/>
  <c r="J71" i="43" s="1"/>
  <c r="K71" i="43" s="1"/>
  <c r="L71" i="43" s="1"/>
  <c r="M71" i="43" s="1"/>
  <c r="D99" i="43"/>
  <c r="D52" i="43"/>
  <c r="D38" i="43"/>
  <c r="CD117" i="37" l="1"/>
  <c r="F57" i="48"/>
  <c r="F51" i="48"/>
  <c r="CE113" i="37" s="1"/>
  <c r="A143" i="43"/>
  <c r="D50" i="48"/>
  <c r="E44" i="48" s="1"/>
  <c r="G57" i="48" l="1"/>
  <c r="G51" i="48"/>
  <c r="CF113" i="37" s="1"/>
  <c r="CE117" i="37"/>
  <c r="CK113" i="37"/>
  <c r="CD111" i="37"/>
  <c r="CJ111" i="37"/>
  <c r="A23" i="19"/>
  <c r="H57" i="48" l="1"/>
  <c r="CG117" i="37" s="1"/>
  <c r="H51" i="48"/>
  <c r="CG113" i="37" s="1"/>
  <c r="CF117" i="37"/>
  <c r="CL113" i="37"/>
  <c r="E67" i="32"/>
  <c r="H73" i="32"/>
  <c r="H74" i="32"/>
  <c r="N73" i="32"/>
  <c r="N74" i="32"/>
  <c r="E66" i="32"/>
  <c r="CM113" i="37" l="1"/>
  <c r="I51" i="48"/>
  <c r="CH113" i="37" s="1"/>
  <c r="I57" i="48"/>
  <c r="CH117" i="37" s="1"/>
  <c r="CD107" i="37"/>
  <c r="CJ107" i="37"/>
  <c r="F67" i="32"/>
  <c r="CK85" i="37"/>
  <c r="CE85" i="37"/>
  <c r="CW85" i="37"/>
  <c r="F66" i="32"/>
  <c r="CE84" i="37"/>
  <c r="CK84" i="37"/>
  <c r="CW84" i="37"/>
  <c r="A150" i="34"/>
  <c r="CN113" i="37" l="1"/>
  <c r="G66" i="32"/>
  <c r="CF84" i="37"/>
  <c r="CL84" i="37"/>
  <c r="CX84" i="37"/>
  <c r="G67" i="32"/>
  <c r="CF85" i="37"/>
  <c r="CL85" i="37"/>
  <c r="CX85" i="37"/>
  <c r="CM84" i="37" l="1"/>
  <c r="CG84" i="37"/>
  <c r="CY84" i="37"/>
  <c r="CG85" i="37"/>
  <c r="CM85" i="37"/>
  <c r="CY85" i="37"/>
  <c r="A36" i="46"/>
  <c r="A37" i="46" s="1"/>
  <c r="A39" i="46" s="1"/>
  <c r="A40" i="46" s="1"/>
  <c r="A41" i="46" s="1"/>
  <c r="A46" i="46" s="1"/>
  <c r="A47" i="46" s="1"/>
  <c r="A11" i="46" l="1"/>
  <c r="A4" i="47" l="1"/>
  <c r="A4" i="46"/>
  <c r="A7" i="47" s="1"/>
  <c r="D100" i="43" l="1"/>
  <c r="E99" i="43" l="1"/>
  <c r="F99" i="43" s="1"/>
  <c r="G99" i="43" s="1"/>
  <c r="H99" i="43" s="1"/>
  <c r="I99" i="43" s="1"/>
  <c r="J99" i="43" s="1"/>
  <c r="K99" i="43" s="1"/>
  <c r="L99" i="43" s="1"/>
  <c r="M99" i="43" s="1"/>
  <c r="C99" i="43"/>
  <c r="E52" i="43"/>
  <c r="F52" i="43" s="1"/>
  <c r="G52" i="43" s="1"/>
  <c r="H52" i="43" s="1"/>
  <c r="I52" i="43" s="1"/>
  <c r="J52" i="43" s="1"/>
  <c r="K52" i="43" s="1"/>
  <c r="L52" i="43" s="1"/>
  <c r="M52" i="43" s="1"/>
  <c r="C52" i="43"/>
  <c r="A156" i="34" l="1"/>
  <c r="A207" i="35" l="1"/>
  <c r="F200" i="35"/>
  <c r="F198" i="35"/>
  <c r="F199" i="35"/>
  <c r="A191" i="35"/>
  <c r="A4" i="15" l="1"/>
  <c r="A4" i="35"/>
  <c r="A4" i="19"/>
  <c r="A4" i="32"/>
  <c r="A4" i="43"/>
  <c r="A4" i="33"/>
  <c r="A4" i="45"/>
  <c r="A4" i="34"/>
  <c r="A4" i="24"/>
  <c r="A4" i="42"/>
  <c r="A4" i="25" l="1"/>
  <c r="F1" i="43" l="1"/>
  <c r="H81" i="32" l="1"/>
  <c r="N71" i="32"/>
  <c r="H71" i="32"/>
  <c r="N80" i="32" l="1"/>
  <c r="N89" i="32" s="1"/>
  <c r="H80" i="32"/>
  <c r="H89" i="32" s="1"/>
  <c r="G65" i="32" l="1"/>
  <c r="F65" i="32" s="1"/>
  <c r="E65" i="32" s="1"/>
  <c r="D65" i="32" s="1"/>
  <c r="G72" i="32"/>
  <c r="F72" i="32" s="1"/>
  <c r="E72" i="32" s="1"/>
  <c r="D72" i="32" s="1"/>
  <c r="G80" i="32"/>
  <c r="F80" i="32" s="1"/>
  <c r="E80" i="32" s="1"/>
  <c r="D80" i="32" s="1"/>
  <c r="G89" i="32"/>
  <c r="F89" i="32" s="1"/>
  <c r="E89" i="32" s="1"/>
  <c r="D89" i="32" s="1"/>
  <c r="N81" i="32" l="1"/>
  <c r="N67" i="32"/>
  <c r="H67" i="32"/>
  <c r="N66" i="32" l="1"/>
  <c r="H66" i="32"/>
  <c r="C38" i="43" l="1"/>
  <c r="E38" i="43"/>
  <c r="F38" i="43" s="1"/>
  <c r="G38" i="43" s="1"/>
  <c r="H38" i="43" s="1"/>
  <c r="I38" i="43" s="1"/>
  <c r="J38" i="43" s="1"/>
  <c r="K38" i="43" s="1"/>
  <c r="L38" i="43" s="1"/>
  <c r="M38" i="43" s="1"/>
  <c r="E82" i="43" l="1"/>
  <c r="E81" i="43"/>
  <c r="G107" i="19" l="1"/>
  <c r="G109" i="19"/>
  <c r="G110" i="19"/>
  <c r="G119" i="19"/>
  <c r="E451" i="25" l="1"/>
  <c r="D451" i="25" s="1"/>
  <c r="D455" i="25"/>
  <c r="E459" i="25"/>
  <c r="F459" i="25" s="1"/>
  <c r="F453" i="25"/>
  <c r="CK42" i="37" l="1"/>
  <c r="G459" i="25"/>
  <c r="E458" i="25"/>
  <c r="G453" i="25"/>
  <c r="E456" i="25"/>
  <c r="E460" i="25"/>
  <c r="G451" i="25"/>
  <c r="F451" i="25"/>
  <c r="CL42" i="37" l="1"/>
  <c r="CD42" i="37"/>
  <c r="CK43" i="37"/>
  <c r="E461" i="25"/>
  <c r="CD46" i="37" l="1"/>
  <c r="CD44" i="37"/>
  <c r="CD43" i="37"/>
  <c r="CK45" i="37"/>
  <c r="CK44" i="37"/>
  <c r="CK46" i="37"/>
  <c r="CE42" i="37"/>
  <c r="CL43" i="37"/>
  <c r="D216" i="34"/>
  <c r="E216" i="34" s="1"/>
  <c r="C215" i="34"/>
  <c r="D215" i="34" s="1"/>
  <c r="E215" i="34" s="1"/>
  <c r="F215" i="34" s="1"/>
  <c r="G215" i="34" s="1"/>
  <c r="H215" i="34" s="1"/>
  <c r="I215" i="34" s="1"/>
  <c r="J215" i="34" s="1"/>
  <c r="K215" i="34" s="1"/>
  <c r="L215" i="34" s="1"/>
  <c r="D140" i="34"/>
  <c r="C139" i="34"/>
  <c r="D139" i="34" s="1"/>
  <c r="E139" i="34" s="1"/>
  <c r="F139" i="34" s="1"/>
  <c r="G139" i="34" s="1"/>
  <c r="H139" i="34" s="1"/>
  <c r="I139" i="34" s="1"/>
  <c r="J139" i="34" s="1"/>
  <c r="K139" i="34" s="1"/>
  <c r="L139" i="34" s="1"/>
  <c r="CE46" i="37" l="1"/>
  <c r="CE44" i="37"/>
  <c r="CE43" i="37"/>
  <c r="CL44" i="37"/>
  <c r="CL45" i="37"/>
  <c r="CL46" i="37"/>
  <c r="CD47" i="37"/>
  <c r="CD45" i="37"/>
  <c r="CK47" i="37"/>
  <c r="E140" i="34"/>
  <c r="F140" i="34" s="1"/>
  <c r="G140" i="34" s="1"/>
  <c r="H140" i="34" s="1"/>
  <c r="I140" i="34" s="1"/>
  <c r="J140" i="34" s="1"/>
  <c r="K140" i="34" s="1"/>
  <c r="L140" i="34" s="1"/>
  <c r="F216" i="34"/>
  <c r="G216" i="34" s="1"/>
  <c r="H216" i="34" s="1"/>
  <c r="I216" i="34" s="1"/>
  <c r="J216" i="34" s="1"/>
  <c r="K216" i="34" s="1"/>
  <c r="L216" i="34" s="1"/>
  <c r="B215" i="34"/>
  <c r="B139" i="34"/>
  <c r="CD52" i="37" l="1"/>
  <c r="CE45" i="37"/>
  <c r="CE47" i="37"/>
  <c r="CL47" i="37"/>
  <c r="CK52" i="37"/>
  <c r="B217" i="34"/>
  <c r="C58" i="43" l="1"/>
  <c r="E39" i="48"/>
  <c r="E41" i="48"/>
  <c r="E424" i="25"/>
  <c r="CO3" i="37"/>
  <c r="CO7" i="37"/>
  <c r="CO11" i="37"/>
  <c r="CO12" i="37"/>
  <c r="CO4" i="37"/>
  <c r="CO8" i="37"/>
  <c r="CO5" i="37"/>
  <c r="CO9" i="37"/>
  <c r="CO13" i="37"/>
  <c r="CO2" i="37"/>
  <c r="CO6" i="37"/>
  <c r="CO10" i="37"/>
  <c r="CO14" i="37"/>
  <c r="CL3" i="37"/>
  <c r="CM3" i="37"/>
  <c r="CL11" i="37"/>
  <c r="CM11" i="37"/>
  <c r="CM12" i="37"/>
  <c r="CM5" i="37"/>
  <c r="CM9" i="37"/>
  <c r="CL7" i="37"/>
  <c r="CM7" i="37"/>
  <c r="CM4" i="37"/>
  <c r="CM8" i="37"/>
  <c r="CM6" i="37"/>
  <c r="CM10" i="37"/>
  <c r="CM2" i="37"/>
  <c r="CL4" i="37"/>
  <c r="CL8" i="37"/>
  <c r="CL5" i="37"/>
  <c r="CL9" i="37"/>
  <c r="CL6" i="37"/>
  <c r="CL10" i="37"/>
  <c r="CL2" i="37"/>
  <c r="C98" i="19" s="1"/>
  <c r="CI2" i="37"/>
  <c r="CN6" i="37"/>
  <c r="CH3" i="37"/>
  <c r="CE2" i="37"/>
  <c r="CD3" i="37"/>
  <c r="CN9" i="37"/>
  <c r="CN13" i="37"/>
  <c r="CI5" i="37"/>
  <c r="CG6" i="37"/>
  <c r="CK6" i="37"/>
  <c r="CJ7" i="37"/>
  <c r="CJ8" i="37"/>
  <c r="CK9" i="37"/>
  <c r="CJ2" i="37"/>
  <c r="D57" i="33" s="1"/>
  <c r="CE3" i="37"/>
  <c r="CE4" i="37"/>
  <c r="CI4" i="37"/>
  <c r="CF5" i="37"/>
  <c r="CN5" i="37"/>
  <c r="CN10" i="37"/>
  <c r="D58" i="32"/>
  <c r="CK2" i="37"/>
  <c r="CF3" i="37"/>
  <c r="CJ3" i="37"/>
  <c r="D73" i="33" s="1"/>
  <c r="CN3" i="37"/>
  <c r="CF4" i="37"/>
  <c r="CJ4" i="37"/>
  <c r="D76" i="33" s="1"/>
  <c r="CN4" i="37"/>
  <c r="CG5" i="37"/>
  <c r="CK5" i="37"/>
  <c r="CI6" i="37"/>
  <c r="CH7" i="37"/>
  <c r="CK10" i="37"/>
  <c r="CN11" i="37"/>
  <c r="CN12" i="37"/>
  <c r="CH4" i="37"/>
  <c r="E410" i="25" s="1"/>
  <c r="CN7" i="37"/>
  <c r="CN8" i="37"/>
  <c r="CF2" i="37"/>
  <c r="CN2" i="37"/>
  <c r="CI3" i="37"/>
  <c r="CJ5" i="37"/>
  <c r="CH6" i="37"/>
  <c r="E423" i="25" s="1"/>
  <c r="CK7" i="37"/>
  <c r="CK8" i="37"/>
  <c r="CD2" i="37"/>
  <c r="CH2" i="37"/>
  <c r="E393" i="25" s="1"/>
  <c r="CG3" i="37"/>
  <c r="CK3" i="37"/>
  <c r="CG4" i="37"/>
  <c r="CK4" i="37"/>
  <c r="CH5" i="37"/>
  <c r="CJ6" i="37"/>
  <c r="CI7" i="37"/>
  <c r="CI8" i="37"/>
  <c r="CJ9" i="37"/>
  <c r="A7" i="25"/>
  <c r="A8" i="25"/>
  <c r="CD70" i="37" l="1"/>
  <c r="CD61" i="37"/>
  <c r="H98" i="19"/>
  <c r="CD35" i="37"/>
  <c r="CH26" i="37"/>
  <c r="CI26" i="37" s="1"/>
  <c r="CH25" i="37"/>
  <c r="CI25" i="37" s="1"/>
  <c r="CH28" i="37"/>
  <c r="CI28" i="37" s="1"/>
  <c r="FH173" i="37"/>
  <c r="FG173" i="37"/>
  <c r="FA174" i="37"/>
  <c r="CH23" i="37"/>
  <c r="CI23" i="37" s="1"/>
  <c r="CH27" i="37"/>
  <c r="CI27" i="37" s="1"/>
  <c r="CH24" i="37"/>
  <c r="CI24" i="37" s="1"/>
  <c r="FU173" i="37"/>
  <c r="FV173" i="37"/>
  <c r="FO174" i="37"/>
  <c r="F39" i="48"/>
  <c r="CP82" i="37"/>
  <c r="E65" i="33"/>
  <c r="E57" i="33"/>
  <c r="CJ70" i="37"/>
  <c r="CJ61" i="37"/>
  <c r="CK76" i="37"/>
  <c r="CK35" i="37"/>
  <c r="C39" i="43"/>
  <c r="D40" i="43"/>
  <c r="C59" i="43"/>
  <c r="C57" i="43" s="1"/>
  <c r="D41" i="43"/>
  <c r="F41" i="48"/>
  <c r="E43" i="48"/>
  <c r="D93" i="33"/>
  <c r="G59" i="32"/>
  <c r="D83" i="35"/>
  <c r="E84" i="35"/>
  <c r="C83" i="35"/>
  <c r="D84" i="35"/>
  <c r="E83" i="35"/>
  <c r="C84" i="35"/>
  <c r="C81" i="35"/>
  <c r="E82" i="35"/>
  <c r="D81" i="35"/>
  <c r="D82" i="35"/>
  <c r="E81" i="35"/>
  <c r="C82" i="35"/>
  <c r="D59" i="33"/>
  <c r="D65" i="33"/>
  <c r="CD33" i="37"/>
  <c r="E395" i="25"/>
  <c r="C99" i="19"/>
  <c r="A92" i="34"/>
  <c r="D85" i="34"/>
  <c r="D84" i="34"/>
  <c r="C84" i="34" s="1"/>
  <c r="CD51" i="37" l="1"/>
  <c r="CL174" i="37"/>
  <c r="CR173" i="37"/>
  <c r="FJ173" i="37"/>
  <c r="FF173" i="37"/>
  <c r="CF146" i="37"/>
  <c r="CK146" i="37"/>
  <c r="CI146" i="37"/>
  <c r="CD146" i="37"/>
  <c r="CE146" i="37"/>
  <c r="CJ146" i="37"/>
  <c r="CS173" i="37"/>
  <c r="CK71" i="37"/>
  <c r="CE76" i="37"/>
  <c r="CP128" i="37"/>
  <c r="CD128" i="37"/>
  <c r="CP127" i="37"/>
  <c r="FT173" i="37"/>
  <c r="FX173" i="37"/>
  <c r="CJ73" i="37"/>
  <c r="CD73" i="37"/>
  <c r="CD58" i="37"/>
  <c r="CE70" i="37"/>
  <c r="CE61" i="37"/>
  <c r="H99" i="19"/>
  <c r="CP83" i="37"/>
  <c r="CD34" i="37"/>
  <c r="CE81" i="37"/>
  <c r="CQ82" i="37"/>
  <c r="FI173" i="37"/>
  <c r="FW173" i="37"/>
  <c r="CD29" i="37"/>
  <c r="CD83" i="37"/>
  <c r="CV87" i="37"/>
  <c r="CP87" i="37"/>
  <c r="FH174" i="37"/>
  <c r="FG174" i="37"/>
  <c r="FA175" i="37"/>
  <c r="CD82" i="37"/>
  <c r="CV86" i="37"/>
  <c r="CP86" i="37"/>
  <c r="FB175" i="37"/>
  <c r="FP175" i="37"/>
  <c r="FU174" i="37"/>
  <c r="FV174" i="37"/>
  <c r="FO175" i="37"/>
  <c r="G39" i="48"/>
  <c r="CK70" i="37"/>
  <c r="CK61" i="37"/>
  <c r="CJ58" i="37"/>
  <c r="CK29" i="37"/>
  <c r="CK34" i="37"/>
  <c r="CK33" i="37"/>
  <c r="D39" i="43"/>
  <c r="D43" i="43" s="1"/>
  <c r="E40" i="43"/>
  <c r="E41" i="43"/>
  <c r="G41" i="48"/>
  <c r="F43" i="48"/>
  <c r="F393" i="25"/>
  <c r="CE31" i="37" s="1"/>
  <c r="E402" i="25"/>
  <c r="E59" i="32"/>
  <c r="CQ81" i="37" s="1"/>
  <c r="F59" i="32"/>
  <c r="CR81" i="37" s="1"/>
  <c r="B382" i="25"/>
  <c r="B381" i="25"/>
  <c r="B383" i="25"/>
  <c r="B385" i="25"/>
  <c r="B386" i="25"/>
  <c r="B384" i="25"/>
  <c r="E59" i="33"/>
  <c r="CE73" i="37" s="1"/>
  <c r="E401" i="25"/>
  <c r="C100" i="19"/>
  <c r="H100" i="19" s="1"/>
  <c r="E84" i="34"/>
  <c r="A9" i="34"/>
  <c r="A8" i="34"/>
  <c r="CM175" i="37" l="1"/>
  <c r="CL175" i="37"/>
  <c r="CE71" i="37"/>
  <c r="CL76" i="37"/>
  <c r="CF76" i="37"/>
  <c r="CT173" i="37"/>
  <c r="CQ173" i="37"/>
  <c r="CU173" i="37"/>
  <c r="CR174" i="37"/>
  <c r="CS174" i="37"/>
  <c r="CD127" i="37"/>
  <c r="CQ128" i="37"/>
  <c r="CP129" i="37"/>
  <c r="D57" i="43"/>
  <c r="CQ127" i="37"/>
  <c r="CE58" i="37"/>
  <c r="CD62" i="37"/>
  <c r="CD59" i="37"/>
  <c r="CJ62" i="37"/>
  <c r="CJ59" i="37"/>
  <c r="FY173" i="37"/>
  <c r="FK173" i="37"/>
  <c r="CJ94" i="37"/>
  <c r="CF81" i="37"/>
  <c r="CR82" i="37"/>
  <c r="CD93" i="37"/>
  <c r="CD94" i="37"/>
  <c r="CJ93" i="37"/>
  <c r="CE83" i="37"/>
  <c r="CW87" i="37"/>
  <c r="CQ87" i="37"/>
  <c r="CJ87" i="37"/>
  <c r="CV94" i="37"/>
  <c r="CV90" i="37"/>
  <c r="FC176" i="37"/>
  <c r="FQ176" i="37"/>
  <c r="CD88" i="37"/>
  <c r="CD86" i="37"/>
  <c r="CP93" i="37"/>
  <c r="CP89" i="37"/>
  <c r="CP88" i="37"/>
  <c r="CD87" i="37"/>
  <c r="CP94" i="37"/>
  <c r="CP90" i="37"/>
  <c r="CE82" i="37"/>
  <c r="CW86" i="37"/>
  <c r="CQ86" i="37"/>
  <c r="FG175" i="37"/>
  <c r="FH175" i="37"/>
  <c r="FA176" i="37"/>
  <c r="FB176" i="37"/>
  <c r="FP176" i="37"/>
  <c r="CJ88" i="37"/>
  <c r="CJ86" i="37"/>
  <c r="CV93" i="37"/>
  <c r="CV89" i="37"/>
  <c r="CV88" i="37"/>
  <c r="FI174" i="37"/>
  <c r="FW174" i="37"/>
  <c r="CQ83" i="37"/>
  <c r="E403" i="25"/>
  <c r="FO176" i="37"/>
  <c r="FU175" i="37"/>
  <c r="FV175" i="37"/>
  <c r="H39" i="48"/>
  <c r="F78" i="33"/>
  <c r="CK73" i="37"/>
  <c r="CK58" i="37"/>
  <c r="CL31" i="37"/>
  <c r="F40" i="43"/>
  <c r="F41" i="43"/>
  <c r="E39" i="43"/>
  <c r="E43" i="43" s="1"/>
  <c r="H41" i="48"/>
  <c r="G43" i="48"/>
  <c r="G393" i="25"/>
  <c r="CF31" i="37" s="1"/>
  <c r="F125" i="35"/>
  <c r="E127" i="35"/>
  <c r="F126" i="35"/>
  <c r="C127" i="35"/>
  <c r="F123" i="35"/>
  <c r="F205" i="35"/>
  <c r="D127" i="35"/>
  <c r="F124" i="35"/>
  <c r="F410" i="25"/>
  <c r="CE33" i="37" s="1"/>
  <c r="F395" i="25"/>
  <c r="CL30" i="37" s="1"/>
  <c r="C101" i="19"/>
  <c r="H101" i="19" s="1"/>
  <c r="F84" i="34"/>
  <c r="G84" i="34" s="1"/>
  <c r="A88" i="34" s="1"/>
  <c r="A80" i="34"/>
  <c r="CM176" i="37" l="1"/>
  <c r="A189" i="35"/>
  <c r="CH142" i="37"/>
  <c r="CL176" i="37"/>
  <c r="CE30" i="37"/>
  <c r="CL71" i="37"/>
  <c r="CF71" i="37"/>
  <c r="CN176" i="37"/>
  <c r="CV173" i="37"/>
  <c r="CT174" i="37"/>
  <c r="CS175" i="37"/>
  <c r="CR175" i="37"/>
  <c r="CE128" i="37"/>
  <c r="CF127" i="37"/>
  <c r="CE127" i="37"/>
  <c r="CD129" i="37"/>
  <c r="CR128" i="37"/>
  <c r="CQ129" i="37"/>
  <c r="E57" i="43"/>
  <c r="CD134" i="37" s="1"/>
  <c r="F140" i="35"/>
  <c r="CJ64" i="37"/>
  <c r="CE62" i="37"/>
  <c r="CE59" i="37"/>
  <c r="CK62" i="37"/>
  <c r="CK59" i="37"/>
  <c r="FL173" i="37"/>
  <c r="FZ173" i="37"/>
  <c r="CH140" i="37"/>
  <c r="CF83" i="37"/>
  <c r="CX87" i="37"/>
  <c r="CR87" i="37"/>
  <c r="CE34" i="37"/>
  <c r="CJ89" i="37"/>
  <c r="CJ99" i="37"/>
  <c r="CJ91" i="37"/>
  <c r="CV99" i="37"/>
  <c r="CV95" i="37"/>
  <c r="CV91" i="37"/>
  <c r="CD100" i="37"/>
  <c r="CD90" i="37"/>
  <c r="CP100" i="37"/>
  <c r="CP96" i="37"/>
  <c r="CR83" i="37"/>
  <c r="CE93" i="37"/>
  <c r="CD89" i="37"/>
  <c r="CD91" i="37"/>
  <c r="CD99" i="37"/>
  <c r="CP99" i="37"/>
  <c r="CP95" i="37"/>
  <c r="CP91" i="37"/>
  <c r="CF82" i="37"/>
  <c r="CX86" i="37"/>
  <c r="CR86" i="37"/>
  <c r="CJ90" i="37"/>
  <c r="CJ100" i="37"/>
  <c r="CV100" i="37"/>
  <c r="CV96" i="37"/>
  <c r="FH176" i="37"/>
  <c r="FA177" i="37"/>
  <c r="FG176" i="37"/>
  <c r="FQ177" i="37"/>
  <c r="FB177" i="37"/>
  <c r="FP177" i="37"/>
  <c r="CM177" i="37" s="1"/>
  <c r="CE29" i="37"/>
  <c r="CK86" i="37"/>
  <c r="CW93" i="37"/>
  <c r="CW89" i="37"/>
  <c r="CW88" i="37"/>
  <c r="FC177" i="37"/>
  <c r="CK88" i="37"/>
  <c r="CK87" i="37"/>
  <c r="CW94" i="37"/>
  <c r="CW90" i="37"/>
  <c r="FI175" i="37"/>
  <c r="FW175" i="37"/>
  <c r="CE86" i="37"/>
  <c r="CQ93" i="37"/>
  <c r="CQ89" i="37"/>
  <c r="CQ88" i="37"/>
  <c r="CE88" i="37"/>
  <c r="CE87" i="37"/>
  <c r="CQ94" i="37"/>
  <c r="CQ90" i="37"/>
  <c r="FU176" i="37"/>
  <c r="FO177" i="37"/>
  <c r="FV176" i="37"/>
  <c r="G40" i="43"/>
  <c r="CR127" i="37"/>
  <c r="I39" i="48"/>
  <c r="CM31" i="37"/>
  <c r="CL33" i="37"/>
  <c r="CL34" i="37"/>
  <c r="CL29" i="37"/>
  <c r="F39" i="43"/>
  <c r="F43" i="43" s="1"/>
  <c r="G41" i="43"/>
  <c r="I41" i="48"/>
  <c r="H43" i="48"/>
  <c r="G58" i="32"/>
  <c r="E142" i="35"/>
  <c r="F141" i="35"/>
  <c r="D142" i="35"/>
  <c r="F138" i="35"/>
  <c r="F139" i="35"/>
  <c r="C142" i="35"/>
  <c r="F127" i="35"/>
  <c r="C102" i="19"/>
  <c r="H102" i="19" s="1"/>
  <c r="CL177" i="37" l="1"/>
  <c r="CW173" i="37"/>
  <c r="CR176" i="37"/>
  <c r="CT175" i="37"/>
  <c r="CS176" i="37"/>
  <c r="CN177" i="37"/>
  <c r="CP130" i="37"/>
  <c r="CD132" i="37"/>
  <c r="CD133" i="37"/>
  <c r="D129" i="43"/>
  <c r="CP132" i="37"/>
  <c r="F57" i="43"/>
  <c r="CF128" i="37"/>
  <c r="CP133" i="37"/>
  <c r="CD130" i="37"/>
  <c r="D128" i="43"/>
  <c r="CS128" i="37"/>
  <c r="D72" i="43"/>
  <c r="CS127" i="37"/>
  <c r="CE64" i="37"/>
  <c r="CK64" i="37"/>
  <c r="FC178" i="37"/>
  <c r="CH141" i="37"/>
  <c r="CE89" i="37"/>
  <c r="CE99" i="37"/>
  <c r="CE91" i="37"/>
  <c r="CQ99" i="37"/>
  <c r="CQ95" i="37"/>
  <c r="CQ91" i="37"/>
  <c r="CE94" i="37"/>
  <c r="CJ96" i="37"/>
  <c r="CV102" i="37"/>
  <c r="CD95" i="37"/>
  <c r="CP101" i="37"/>
  <c r="CP97" i="37"/>
  <c r="CK90" i="37"/>
  <c r="CW100" i="37"/>
  <c r="CW96" i="37"/>
  <c r="CK91" i="37"/>
  <c r="CK89" i="37"/>
  <c r="CK99" i="37"/>
  <c r="CW99" i="37"/>
  <c r="CW95" i="37"/>
  <c r="CW91" i="37"/>
  <c r="CL86" i="37"/>
  <c r="CL88" i="37"/>
  <c r="CX93" i="37"/>
  <c r="CX89" i="37"/>
  <c r="CX88" i="37"/>
  <c r="CK94" i="37"/>
  <c r="CK93" i="37"/>
  <c r="CF87" i="37"/>
  <c r="CF94" i="37"/>
  <c r="CR94" i="37"/>
  <c r="CR90" i="37"/>
  <c r="CF93" i="37"/>
  <c r="CF86" i="37"/>
  <c r="CF88" i="37"/>
  <c r="CR93" i="37"/>
  <c r="CR89" i="37"/>
  <c r="CR88" i="37"/>
  <c r="CD96" i="37"/>
  <c r="CP102" i="37"/>
  <c r="CJ95" i="37"/>
  <c r="CV101" i="37"/>
  <c r="CV97" i="37"/>
  <c r="CE90" i="37"/>
  <c r="CQ100" i="37"/>
  <c r="CQ96" i="37"/>
  <c r="CL87" i="37"/>
  <c r="CX94" i="37"/>
  <c r="CX90" i="37"/>
  <c r="FG177" i="37"/>
  <c r="FA178" i="37"/>
  <c r="FH177" i="37"/>
  <c r="FI176" i="37"/>
  <c r="FW176" i="37"/>
  <c r="FB178" i="37"/>
  <c r="FP178" i="37"/>
  <c r="CM178" i="37" s="1"/>
  <c r="CE32" i="37"/>
  <c r="CL32" i="37"/>
  <c r="FQ178" i="37"/>
  <c r="CS82" i="37"/>
  <c r="FU177" i="37"/>
  <c r="FO178" i="37"/>
  <c r="FV177" i="37"/>
  <c r="H40" i="43"/>
  <c r="H41" i="43"/>
  <c r="G39" i="43"/>
  <c r="G43" i="43" s="1"/>
  <c r="I43" i="48"/>
  <c r="A190" i="35"/>
  <c r="F142" i="35"/>
  <c r="G410" i="25"/>
  <c r="CF33" i="37" s="1"/>
  <c r="C103" i="19"/>
  <c r="F158" i="35"/>
  <c r="CL178" i="37" l="1"/>
  <c r="CS177" i="37"/>
  <c r="CR177" i="37"/>
  <c r="CT176" i="37"/>
  <c r="CN178" i="37"/>
  <c r="F171" i="35"/>
  <c r="CH145" i="37"/>
  <c r="CH128" i="37"/>
  <c r="CG128" i="37"/>
  <c r="CG127" i="37"/>
  <c r="D127" i="43"/>
  <c r="CP135" i="37" s="1"/>
  <c r="G57" i="43"/>
  <c r="CT127" i="37"/>
  <c r="FC179" i="37"/>
  <c r="A192" i="35"/>
  <c r="CS83" i="37"/>
  <c r="CL90" i="37"/>
  <c r="CX100" i="37"/>
  <c r="CX96" i="37"/>
  <c r="CK100" i="37"/>
  <c r="CE96" i="37"/>
  <c r="CQ102" i="37"/>
  <c r="CL94" i="37"/>
  <c r="CE100" i="37"/>
  <c r="CD102" i="37"/>
  <c r="CD97" i="37"/>
  <c r="CD98" i="37"/>
  <c r="CP98" i="37"/>
  <c r="CJ101" i="37"/>
  <c r="CE95" i="37"/>
  <c r="CQ101" i="37"/>
  <c r="CQ97" i="37"/>
  <c r="CJ102" i="37"/>
  <c r="CJ97" i="37"/>
  <c r="CJ98" i="37"/>
  <c r="CV98" i="37"/>
  <c r="CG83" i="37"/>
  <c r="CS87" i="37"/>
  <c r="CY87" i="37"/>
  <c r="H62" i="32"/>
  <c r="CK95" i="37"/>
  <c r="CW101" i="37"/>
  <c r="CW97" i="37"/>
  <c r="CL89" i="37"/>
  <c r="CL99" i="37"/>
  <c r="CL91" i="37"/>
  <c r="CX99" i="37"/>
  <c r="CX95" i="37"/>
  <c r="CX91" i="37"/>
  <c r="CD101" i="37"/>
  <c r="CF90" i="37"/>
  <c r="CR100" i="37"/>
  <c r="CR96" i="37"/>
  <c r="CK96" i="37"/>
  <c r="CW102" i="37"/>
  <c r="CF99" i="37"/>
  <c r="CF91" i="37"/>
  <c r="CF89" i="37"/>
  <c r="CR99" i="37"/>
  <c r="CR95" i="37"/>
  <c r="CR91" i="37"/>
  <c r="CG82" i="37"/>
  <c r="CS86" i="37"/>
  <c r="CY86" i="37"/>
  <c r="H61" i="32"/>
  <c r="CD105" i="37" s="1"/>
  <c r="CL93" i="37"/>
  <c r="FQ179" i="37"/>
  <c r="FB179" i="37"/>
  <c r="FP179" i="37"/>
  <c r="CM179" i="37" s="1"/>
  <c r="FI177" i="37"/>
  <c r="FW177" i="37"/>
  <c r="FH178" i="37"/>
  <c r="FG178" i="37"/>
  <c r="FA179" i="37"/>
  <c r="CF34" i="37"/>
  <c r="FU178" i="37"/>
  <c r="FO179" i="37"/>
  <c r="FV178" i="37"/>
  <c r="I40" i="43"/>
  <c r="H39" i="43"/>
  <c r="H43" i="43" s="1"/>
  <c r="CT128" i="37"/>
  <c r="CM34" i="37"/>
  <c r="CM33" i="37"/>
  <c r="I41" i="43"/>
  <c r="C104" i="19"/>
  <c r="F102" i="35"/>
  <c r="F116" i="35"/>
  <c r="E55" i="33"/>
  <c r="B51" i="33" s="1"/>
  <c r="CL179" i="37" l="1"/>
  <c r="B43" i="33"/>
  <c r="CR178" i="37"/>
  <c r="CN179" i="37"/>
  <c r="CS178" i="37"/>
  <c r="CT177" i="37"/>
  <c r="CI128" i="37"/>
  <c r="CH127" i="37"/>
  <c r="CU127" i="37"/>
  <c r="H57" i="43"/>
  <c r="CL101" i="37"/>
  <c r="CE102" i="37"/>
  <c r="CP103" i="37"/>
  <c r="CJ105" i="37"/>
  <c r="CH82" i="37"/>
  <c r="CD103" i="37"/>
  <c r="CL95" i="37"/>
  <c r="CX101" i="37"/>
  <c r="CX97" i="37"/>
  <c r="CG94" i="37"/>
  <c r="CG87" i="37"/>
  <c r="CS94" i="37"/>
  <c r="CS90" i="37"/>
  <c r="CE97" i="37"/>
  <c r="CE98" i="37"/>
  <c r="CQ98" i="37"/>
  <c r="CF95" i="37"/>
  <c r="CR101" i="37"/>
  <c r="CR97" i="37"/>
  <c r="CF100" i="37"/>
  <c r="CM87" i="37"/>
  <c r="CY94" i="37"/>
  <c r="CY90" i="37"/>
  <c r="CG88" i="37"/>
  <c r="CG86" i="37"/>
  <c r="CG93" i="37"/>
  <c r="CS93" i="37"/>
  <c r="CS89" i="37"/>
  <c r="CS88" i="37"/>
  <c r="CK101" i="37"/>
  <c r="CV103" i="37"/>
  <c r="CM88" i="37"/>
  <c r="CM86" i="37"/>
  <c r="CY93" i="37"/>
  <c r="CY89" i="37"/>
  <c r="CY88" i="37"/>
  <c r="CF96" i="37"/>
  <c r="CR102" i="37"/>
  <c r="CK98" i="37"/>
  <c r="CK97" i="37"/>
  <c r="CW98" i="37"/>
  <c r="CJ103" i="37"/>
  <c r="CL96" i="37"/>
  <c r="CX102" i="37"/>
  <c r="CE101" i="37"/>
  <c r="CE103" i="37"/>
  <c r="CQ103" i="37"/>
  <c r="CK102" i="37"/>
  <c r="CL100" i="37"/>
  <c r="FI178" i="37"/>
  <c r="FW178" i="37"/>
  <c r="FQ180" i="37"/>
  <c r="FH179" i="37"/>
  <c r="FG179" i="37"/>
  <c r="FA180" i="37"/>
  <c r="FC180" i="37"/>
  <c r="FB180" i="37"/>
  <c r="FP180" i="37"/>
  <c r="CM180" i="37" s="1"/>
  <c r="FU179" i="37"/>
  <c r="FO180" i="37"/>
  <c r="FV179" i="37"/>
  <c r="J40" i="43"/>
  <c r="I39" i="43"/>
  <c r="I43" i="43" s="1"/>
  <c r="CU128" i="37"/>
  <c r="J41" i="43"/>
  <c r="C105" i="19"/>
  <c r="F55" i="33"/>
  <c r="E108" i="35"/>
  <c r="D108" i="35"/>
  <c r="C108" i="35"/>
  <c r="F106" i="35"/>
  <c r="F104" i="35"/>
  <c r="A188" i="35" s="1"/>
  <c r="F105" i="35"/>
  <c r="F107" i="35"/>
  <c r="D55" i="33"/>
  <c r="M89" i="32"/>
  <c r="M80" i="32"/>
  <c r="M72" i="32"/>
  <c r="M65" i="32"/>
  <c r="G57" i="32"/>
  <c r="F57" i="32" s="1"/>
  <c r="E57" i="32" s="1"/>
  <c r="D57" i="32" s="1"/>
  <c r="A40" i="32" s="1"/>
  <c r="CL180" i="37" l="1"/>
  <c r="CD135" i="37"/>
  <c r="CN180" i="37"/>
  <c r="CR179" i="37"/>
  <c r="CT178" i="37"/>
  <c r="CS179" i="37"/>
  <c r="CJ128" i="37"/>
  <c r="CI127" i="37"/>
  <c r="I57" i="43"/>
  <c r="CV127" i="37"/>
  <c r="CF102" i="37"/>
  <c r="CH139" i="37"/>
  <c r="CM93" i="37"/>
  <c r="CK103" i="37"/>
  <c r="CG100" i="37"/>
  <c r="CG90" i="37"/>
  <c r="CS100" i="37"/>
  <c r="CS96" i="37"/>
  <c r="CL97" i="37"/>
  <c r="CL98" i="37"/>
  <c r="CX98" i="37"/>
  <c r="CM90" i="37"/>
  <c r="CY100" i="37"/>
  <c r="CY96" i="37"/>
  <c r="CG91" i="37"/>
  <c r="CG99" i="37"/>
  <c r="CG89" i="37"/>
  <c r="CS99" i="37"/>
  <c r="CS95" i="37"/>
  <c r="CS91" i="37"/>
  <c r="CM94" i="37"/>
  <c r="CF97" i="37"/>
  <c r="CF98" i="37"/>
  <c r="CR98" i="37"/>
  <c r="CF101" i="37"/>
  <c r="CF103" i="37"/>
  <c r="CR103" i="37"/>
  <c r="CM91" i="37"/>
  <c r="CM89" i="37"/>
  <c r="CM99" i="37"/>
  <c r="CY99" i="37"/>
  <c r="CY95" i="37"/>
  <c r="CY91" i="37"/>
  <c r="CW103" i="37"/>
  <c r="FC181" i="37"/>
  <c r="FI179" i="37"/>
  <c r="FW179" i="37"/>
  <c r="FH180" i="37"/>
  <c r="FG180" i="37"/>
  <c r="FA181" i="37"/>
  <c r="FQ181" i="37"/>
  <c r="FB181" i="37"/>
  <c r="FP181" i="37"/>
  <c r="FU180" i="37"/>
  <c r="FO181" i="37"/>
  <c r="FV180" i="37"/>
  <c r="K40" i="43"/>
  <c r="J39" i="43"/>
  <c r="J43" i="43" s="1"/>
  <c r="CV128" i="37"/>
  <c r="K41" i="43"/>
  <c r="C106" i="19"/>
  <c r="L80" i="32"/>
  <c r="L72" i="32"/>
  <c r="L89" i="32"/>
  <c r="L65" i="32"/>
  <c r="F108" i="35"/>
  <c r="CM181" i="37" l="1"/>
  <c r="CL181" i="37"/>
  <c r="CT179" i="37"/>
  <c r="CS180" i="37"/>
  <c r="CR180" i="37"/>
  <c r="CN181" i="37"/>
  <c r="CK128" i="37"/>
  <c r="CJ127" i="37"/>
  <c r="J57" i="43"/>
  <c r="CW127" i="37"/>
  <c r="CH143" i="37"/>
  <c r="CD143" i="37"/>
  <c r="CG95" i="37"/>
  <c r="CS101" i="37"/>
  <c r="CS97" i="37"/>
  <c r="CM100" i="37"/>
  <c r="CG96" i="37"/>
  <c r="CS102" i="37"/>
  <c r="CM95" i="37"/>
  <c r="CY101" i="37"/>
  <c r="CY97" i="37"/>
  <c r="CM96" i="37"/>
  <c r="CY102" i="37"/>
  <c r="CL102" i="37"/>
  <c r="CX103" i="37"/>
  <c r="CL103" i="37"/>
  <c r="FH181" i="37"/>
  <c r="FG181" i="37"/>
  <c r="FA182" i="37"/>
  <c r="FB182" i="37"/>
  <c r="FP182" i="37"/>
  <c r="FI180" i="37"/>
  <c r="FW180" i="37"/>
  <c r="FQ182" i="37"/>
  <c r="FC182" i="37"/>
  <c r="FU181" i="37"/>
  <c r="FO182" i="37"/>
  <c r="FV181" i="37"/>
  <c r="L40" i="43"/>
  <c r="K39" i="43"/>
  <c r="K43" i="43" s="1"/>
  <c r="CW128" i="37"/>
  <c r="L41" i="43"/>
  <c r="C107" i="19"/>
  <c r="H68" i="32"/>
  <c r="K65" i="32"/>
  <c r="K72" i="32"/>
  <c r="K80" i="32"/>
  <c r="K89" i="32"/>
  <c r="CM182" i="37" l="1"/>
  <c r="CL182" i="37"/>
  <c r="CR181" i="37"/>
  <c r="CT180" i="37"/>
  <c r="CS181" i="37"/>
  <c r="CN182" i="37"/>
  <c r="CK127" i="37"/>
  <c r="CX128" i="37"/>
  <c r="CX127" i="37"/>
  <c r="K57" i="43"/>
  <c r="CM102" i="37"/>
  <c r="CH144" i="37"/>
  <c r="CM103" i="37"/>
  <c r="CM101" i="37"/>
  <c r="CY103" i="37"/>
  <c r="CG101" i="37"/>
  <c r="CM97" i="37"/>
  <c r="CM98" i="37"/>
  <c r="CY98" i="37"/>
  <c r="CG102" i="37"/>
  <c r="CG98" i="37"/>
  <c r="CG97" i="37"/>
  <c r="CS98" i="37"/>
  <c r="FG182" i="37"/>
  <c r="FH182" i="37"/>
  <c r="FA183" i="37"/>
  <c r="FQ183" i="37"/>
  <c r="FB183" i="37"/>
  <c r="FP183" i="37"/>
  <c r="CM183" i="37" s="1"/>
  <c r="FI181" i="37"/>
  <c r="FW181" i="37"/>
  <c r="FC183" i="37"/>
  <c r="FU182" i="37"/>
  <c r="FO183" i="37"/>
  <c r="FV182" i="37"/>
  <c r="M40" i="43"/>
  <c r="M41" i="43"/>
  <c r="L39" i="43"/>
  <c r="L43" i="43" s="1"/>
  <c r="N68" i="32"/>
  <c r="N82" i="32"/>
  <c r="C108" i="19"/>
  <c r="N70" i="32"/>
  <c r="H69" i="32"/>
  <c r="N75" i="32"/>
  <c r="H82" i="32"/>
  <c r="J72" i="32"/>
  <c r="J89" i="32"/>
  <c r="J80" i="32"/>
  <c r="J65" i="32"/>
  <c r="G392" i="25"/>
  <c r="F392" i="25" s="1"/>
  <c r="E392" i="25" s="1"/>
  <c r="G395" i="25"/>
  <c r="CM30" i="37" s="1"/>
  <c r="G409" i="25"/>
  <c r="F409" i="25" s="1"/>
  <c r="E409" i="25" s="1"/>
  <c r="G422" i="25"/>
  <c r="F422" i="25" s="1"/>
  <c r="E422" i="25" s="1"/>
  <c r="F423" i="25"/>
  <c r="CL183" i="37" l="1"/>
  <c r="CF30" i="37"/>
  <c r="CN183" i="37"/>
  <c r="CR182" i="37"/>
  <c r="CT181" i="37"/>
  <c r="CS182" i="37"/>
  <c r="CL128" i="37"/>
  <c r="CL127" i="37"/>
  <c r="CY128" i="37"/>
  <c r="L57" i="43"/>
  <c r="CY127" i="37"/>
  <c r="CS103" i="37"/>
  <c r="CG103" i="37"/>
  <c r="FC184" i="37"/>
  <c r="FQ184" i="37"/>
  <c r="FB184" i="37"/>
  <c r="FP184" i="37"/>
  <c r="CL35" i="37"/>
  <c r="FH183" i="37"/>
  <c r="FG183" i="37"/>
  <c r="FA184" i="37"/>
  <c r="FI182" i="37"/>
  <c r="FW182" i="37"/>
  <c r="CM29" i="37"/>
  <c r="CF29" i="37"/>
  <c r="FU183" i="37"/>
  <c r="FO184" i="37"/>
  <c r="FV183" i="37"/>
  <c r="M39" i="43"/>
  <c r="M43" i="43" s="1"/>
  <c r="H70" i="32"/>
  <c r="H75" i="32"/>
  <c r="H92" i="32"/>
  <c r="N76" i="32"/>
  <c r="N69" i="32"/>
  <c r="N83" i="32"/>
  <c r="C109" i="19"/>
  <c r="N92" i="32"/>
  <c r="H83" i="32"/>
  <c r="CM184" i="37" l="1"/>
  <c r="CL184" i="37"/>
  <c r="CN184" i="37"/>
  <c r="CS183" i="37"/>
  <c r="CR183" i="37"/>
  <c r="CT182" i="37"/>
  <c r="CM128" i="37"/>
  <c r="CM127" i="37"/>
  <c r="M57" i="43"/>
  <c r="G423" i="25"/>
  <c r="CE35" i="37"/>
  <c r="CM32" i="37"/>
  <c r="CF32" i="37"/>
  <c r="FG184" i="37"/>
  <c r="FH184" i="37"/>
  <c r="FA185" i="37"/>
  <c r="FB185" i="37"/>
  <c r="FP185" i="37"/>
  <c r="FI183" i="37"/>
  <c r="FW183" i="37"/>
  <c r="FQ185" i="37"/>
  <c r="FC185" i="37"/>
  <c r="FU184" i="37"/>
  <c r="FO185" i="37"/>
  <c r="FV184" i="37"/>
  <c r="N85" i="32"/>
  <c r="N93" i="32"/>
  <c r="N77" i="32"/>
  <c r="CD106" i="37" s="1"/>
  <c r="N84" i="32"/>
  <c r="H76" i="32"/>
  <c r="H93" i="32"/>
  <c r="H94" i="32"/>
  <c r="H84" i="32"/>
  <c r="C110" i="19"/>
  <c r="H77" i="32"/>
  <c r="CM185" i="37" l="1"/>
  <c r="CM35" i="37"/>
  <c r="G427" i="25"/>
  <c r="CL185" i="37"/>
  <c r="CN185" i="37"/>
  <c r="CT183" i="37"/>
  <c r="CR184" i="37"/>
  <c r="CS184" i="37"/>
  <c r="CF35" i="37"/>
  <c r="CJ106" i="37"/>
  <c r="FQ186" i="37"/>
  <c r="FH185" i="37"/>
  <c r="FG185" i="37"/>
  <c r="FA186" i="37"/>
  <c r="FB186" i="37"/>
  <c r="FP186" i="37"/>
  <c r="CM186" i="37" s="1"/>
  <c r="FC186" i="37"/>
  <c r="FI184" i="37"/>
  <c r="FW184" i="37"/>
  <c r="FU185" i="37"/>
  <c r="FO186" i="37"/>
  <c r="FV185" i="37"/>
  <c r="N95" i="32"/>
  <c r="N86" i="32"/>
  <c r="N94" i="32"/>
  <c r="H85" i="32"/>
  <c r="H86" i="32"/>
  <c r="C111" i="19"/>
  <c r="A98" i="19"/>
  <c r="CL186" i="37" l="1"/>
  <c r="CN186" i="37"/>
  <c r="CR185" i="37"/>
  <c r="CT184" i="37"/>
  <c r="CS185" i="37"/>
  <c r="FI185" i="37"/>
  <c r="FW185" i="37"/>
  <c r="FC187" i="37"/>
  <c r="FQ187" i="37"/>
  <c r="FH186" i="37"/>
  <c r="FG186" i="37"/>
  <c r="FA187" i="37"/>
  <c r="FB187" i="37"/>
  <c r="FP187" i="37"/>
  <c r="FU186" i="37"/>
  <c r="FO187" i="37"/>
  <c r="FV186" i="37"/>
  <c r="N96" i="32"/>
  <c r="H96" i="32"/>
  <c r="H95" i="32"/>
  <c r="C112" i="19"/>
  <c r="A110" i="19"/>
  <c r="B222" i="19"/>
  <c r="A122" i="19" l="1"/>
  <c r="CM187" i="37"/>
  <c r="CL187" i="37"/>
  <c r="CR186" i="37"/>
  <c r="CS186" i="37"/>
  <c r="CT185" i="37"/>
  <c r="CN187" i="37"/>
  <c r="CJ108" i="37"/>
  <c r="CD108" i="37"/>
  <c r="FI186" i="37"/>
  <c r="FW186" i="37"/>
  <c r="FQ188" i="37"/>
  <c r="FC188" i="37"/>
  <c r="FH187" i="37"/>
  <c r="FG187" i="37"/>
  <c r="FA188" i="37"/>
  <c r="FB188" i="37"/>
  <c r="FP188" i="37"/>
  <c r="FU187" i="37"/>
  <c r="FO188" i="37"/>
  <c r="FV187" i="37"/>
  <c r="C113" i="19"/>
  <c r="A134" i="19" l="1"/>
  <c r="CM188" i="37"/>
  <c r="CL188" i="37"/>
  <c r="CR187" i="37"/>
  <c r="CS187" i="37"/>
  <c r="CT186" i="37"/>
  <c r="CN188" i="37"/>
  <c r="FB189" i="37"/>
  <c r="FP189" i="37"/>
  <c r="CM189" i="37" s="1"/>
  <c r="FI187" i="37"/>
  <c r="FW187" i="37"/>
  <c r="FH188" i="37"/>
  <c r="FG188" i="37"/>
  <c r="FA189" i="37"/>
  <c r="FQ189" i="37"/>
  <c r="FC189" i="37"/>
  <c r="FU188" i="37"/>
  <c r="FO189" i="37"/>
  <c r="FV188" i="37"/>
  <c r="C114" i="19"/>
  <c r="A12" i="34"/>
  <c r="A146" i="19" l="1"/>
  <c r="CL189" i="37"/>
  <c r="CN189" i="37"/>
  <c r="CS188" i="37"/>
  <c r="CT187" i="37"/>
  <c r="CR188" i="37"/>
  <c r="FC190" i="37"/>
  <c r="FB190" i="37"/>
  <c r="FP190" i="37"/>
  <c r="CM190" i="37" s="1"/>
  <c r="FH189" i="37"/>
  <c r="FG189" i="37"/>
  <c r="FA190" i="37"/>
  <c r="FI188" i="37"/>
  <c r="FW188" i="37"/>
  <c r="FQ190" i="37"/>
  <c r="FU189" i="37"/>
  <c r="FO190" i="37"/>
  <c r="FV189" i="37"/>
  <c r="C115" i="19"/>
  <c r="A158" i="19" l="1"/>
  <c r="CL190" i="37"/>
  <c r="CT188" i="37"/>
  <c r="CR189" i="37"/>
  <c r="CS189" i="37"/>
  <c r="CN190" i="37"/>
  <c r="FQ191" i="37"/>
  <c r="FB191" i="37"/>
  <c r="FP191" i="37"/>
  <c r="CM191" i="37" s="1"/>
  <c r="FG190" i="37"/>
  <c r="FH190" i="37"/>
  <c r="FA191" i="37"/>
  <c r="FI189" i="37"/>
  <c r="FW189" i="37"/>
  <c r="FC191" i="37"/>
  <c r="FU190" i="37"/>
  <c r="FO191" i="37"/>
  <c r="FV190" i="37"/>
  <c r="C116" i="19"/>
  <c r="D131" i="34"/>
  <c r="C130" i="34"/>
  <c r="B130" i="34" s="1"/>
  <c r="A170" i="19" l="1"/>
  <c r="CL191" i="37"/>
  <c r="CN191" i="37"/>
  <c r="CR190" i="37"/>
  <c r="CT189" i="37"/>
  <c r="CS190" i="37"/>
  <c r="FH191" i="37"/>
  <c r="FG191" i="37"/>
  <c r="FA192" i="37"/>
  <c r="FC192" i="37"/>
  <c r="FB192" i="37"/>
  <c r="FP192" i="37"/>
  <c r="FQ192" i="37"/>
  <c r="FI190" i="37"/>
  <c r="FW190" i="37"/>
  <c r="FU191" i="37"/>
  <c r="FV191" i="37"/>
  <c r="FO192" i="37"/>
  <c r="C117" i="19"/>
  <c r="E131" i="34"/>
  <c r="F131" i="34" s="1"/>
  <c r="G131" i="34" s="1"/>
  <c r="H131" i="34" s="1"/>
  <c r="I131" i="34" s="1"/>
  <c r="J131" i="34" s="1"/>
  <c r="K131" i="34" s="1"/>
  <c r="L131" i="34" s="1"/>
  <c r="D130" i="34"/>
  <c r="E130" i="34" s="1"/>
  <c r="F130" i="34" s="1"/>
  <c r="G130" i="34" s="1"/>
  <c r="H130" i="34" s="1"/>
  <c r="I130" i="34" s="1"/>
  <c r="J130" i="34" s="1"/>
  <c r="K130" i="34" s="1"/>
  <c r="L130" i="34" s="1"/>
  <c r="C25" i="34"/>
  <c r="C24" i="34"/>
  <c r="B24" i="34" s="1"/>
  <c r="A182" i="19" l="1"/>
  <c r="CM192" i="37"/>
  <c r="CL192" i="37"/>
  <c r="D25" i="34"/>
  <c r="E25" i="34" s="1"/>
  <c r="F25" i="34" s="1"/>
  <c r="G25" i="34" s="1"/>
  <c r="H25" i="34" s="1"/>
  <c r="I25" i="34" s="1"/>
  <c r="J25" i="34" s="1"/>
  <c r="K25" i="34" s="1"/>
  <c r="L25" i="34" s="1"/>
  <c r="M25" i="34" s="1"/>
  <c r="B54" i="34" s="1"/>
  <c r="CT190" i="37"/>
  <c r="CR191" i="37"/>
  <c r="CS191" i="37"/>
  <c r="CN192" i="37"/>
  <c r="FH192" i="37"/>
  <c r="FA193" i="37"/>
  <c r="FG192" i="37"/>
  <c r="FB193" i="37"/>
  <c r="FP193" i="37"/>
  <c r="FI191" i="37"/>
  <c r="FW191" i="37"/>
  <c r="FC193" i="37"/>
  <c r="FQ193" i="37"/>
  <c r="FV192" i="37"/>
  <c r="FU192" i="37"/>
  <c r="FO193" i="37"/>
  <c r="B136" i="34"/>
  <c r="C118" i="19"/>
  <c r="C27" i="34"/>
  <c r="D24" i="34"/>
  <c r="E24" i="34" s="1"/>
  <c r="F24" i="34" s="1"/>
  <c r="G24" i="34" s="1"/>
  <c r="H24" i="34" s="1"/>
  <c r="I24" i="34" s="1"/>
  <c r="J24" i="34" s="1"/>
  <c r="K24" i="34" s="1"/>
  <c r="L24" i="34" s="1"/>
  <c r="A109" i="50" s="1"/>
  <c r="A194" i="19" l="1"/>
  <c r="CM193" i="37"/>
  <c r="B58" i="34"/>
  <c r="B28" i="34" s="1"/>
  <c r="B45" i="34"/>
  <c r="CL193" i="37"/>
  <c r="D27" i="34"/>
  <c r="CS192" i="37"/>
  <c r="CR192" i="37"/>
  <c r="CT191" i="37"/>
  <c r="CN193" i="37"/>
  <c r="FI192" i="37"/>
  <c r="FW192" i="37"/>
  <c r="FB194" i="37"/>
  <c r="FP194" i="37"/>
  <c r="FH193" i="37"/>
  <c r="FG193" i="37"/>
  <c r="FA194" i="37"/>
  <c r="FC194" i="37"/>
  <c r="FQ194" i="37"/>
  <c r="FV193" i="37"/>
  <c r="FO194" i="37"/>
  <c r="FU193" i="37"/>
  <c r="C119" i="19"/>
  <c r="E27" i="34"/>
  <c r="A206" i="19" l="1"/>
  <c r="CM194" i="37"/>
  <c r="CL194" i="37"/>
  <c r="E28" i="34"/>
  <c r="D28" i="34"/>
  <c r="C28" i="34"/>
  <c r="CR193" i="37"/>
  <c r="CS193" i="37"/>
  <c r="CT192" i="37"/>
  <c r="CN194" i="37"/>
  <c r="FQ195" i="37"/>
  <c r="FI193" i="37"/>
  <c r="FW193" i="37"/>
  <c r="FC195" i="37"/>
  <c r="FB195" i="37"/>
  <c r="FP195" i="37"/>
  <c r="CM195" i="37" s="1"/>
  <c r="FH194" i="37"/>
  <c r="FG194" i="37"/>
  <c r="FA195" i="37"/>
  <c r="FU194" i="37"/>
  <c r="FV194" i="37"/>
  <c r="FO195" i="37"/>
  <c r="C120" i="19"/>
  <c r="F27" i="34"/>
  <c r="F28" i="34" s="1"/>
  <c r="CL195" i="37" l="1"/>
  <c r="CR194" i="37"/>
  <c r="CS194" i="37"/>
  <c r="CT193" i="37"/>
  <c r="CN195" i="37"/>
  <c r="FC196" i="37"/>
  <c r="FH195" i="37"/>
  <c r="FG195" i="37"/>
  <c r="FA196" i="37"/>
  <c r="FI194" i="37"/>
  <c r="FW194" i="37"/>
  <c r="FB196" i="37"/>
  <c r="FP196" i="37"/>
  <c r="CM196" i="37" s="1"/>
  <c r="FQ196" i="37"/>
  <c r="FU195" i="37"/>
  <c r="FV195" i="37"/>
  <c r="FO196" i="37"/>
  <c r="G27" i="34"/>
  <c r="G28" i="34" s="1"/>
  <c r="CL196" i="37" l="1"/>
  <c r="CS195" i="37"/>
  <c r="CT194" i="37"/>
  <c r="CR195" i="37"/>
  <c r="CN196" i="37"/>
  <c r="FQ197" i="37"/>
  <c r="FI195" i="37"/>
  <c r="FW195" i="37"/>
  <c r="FB197" i="37"/>
  <c r="FP197" i="37"/>
  <c r="CM197" i="37" s="1"/>
  <c r="FC197" i="37"/>
  <c r="H27" i="34"/>
  <c r="CN197" i="37" l="1"/>
  <c r="CT195" i="37"/>
  <c r="FC198" i="37"/>
  <c r="FQ198" i="37"/>
  <c r="H28" i="34"/>
  <c r="I27" i="34"/>
  <c r="I28" i="34" s="1"/>
  <c r="CN198" i="37" l="1"/>
  <c r="J27" i="34"/>
  <c r="J28" i="34" s="1"/>
  <c r="K27" i="34" l="1"/>
  <c r="K28" i="34" s="1"/>
  <c r="B68" i="34" l="1"/>
  <c r="L27" i="34"/>
  <c r="L28" i="34" s="1"/>
  <c r="M27" i="34" l="1"/>
  <c r="B63" i="34" l="1"/>
  <c r="M28" i="34" s="1"/>
  <c r="C50" i="19"/>
  <c r="G99" i="19" s="1"/>
  <c r="FT174" i="37" l="1"/>
  <c r="D50" i="19"/>
  <c r="G100" i="19" s="1"/>
  <c r="G111" i="19"/>
  <c r="G108" i="19"/>
  <c r="G120" i="19"/>
  <c r="FF175" i="37" l="1"/>
  <c r="FX175" i="37"/>
  <c r="FY175" i="37" s="1"/>
  <c r="FF174" i="37"/>
  <c r="CQ174" i="37" s="1"/>
  <c r="FX174" i="37"/>
  <c r="FY174" i="37" s="1"/>
  <c r="E50" i="19"/>
  <c r="G101" i="19" s="1"/>
  <c r="G112" i="19"/>
  <c r="FJ174" i="37" l="1"/>
  <c r="CU174" i="37" s="1"/>
  <c r="FF176" i="37"/>
  <c r="FX176" i="37"/>
  <c r="FY176" i="37" s="1"/>
  <c r="FJ175" i="37"/>
  <c r="CU175" i="37" s="1"/>
  <c r="F50" i="19"/>
  <c r="G102" i="19" s="1"/>
  <c r="G113" i="19"/>
  <c r="FJ176" i="37" l="1"/>
  <c r="CU176" i="37" s="1"/>
  <c r="FK174" i="37"/>
  <c r="CV174" i="37" s="1"/>
  <c r="FL174" i="37"/>
  <c r="FZ174" i="37"/>
  <c r="FF177" i="37"/>
  <c r="FX177" i="37"/>
  <c r="FY177" i="37" s="1"/>
  <c r="FK175" i="37"/>
  <c r="CV175" i="37" s="1"/>
  <c r="G50" i="19"/>
  <c r="G114" i="19"/>
  <c r="FT176" i="37"/>
  <c r="CQ176" i="37" s="1"/>
  <c r="FT175" i="37"/>
  <c r="CQ175" i="37" s="1"/>
  <c r="FL175" i="37" l="1"/>
  <c r="FZ175" i="37"/>
  <c r="FK176" i="37"/>
  <c r="CV176" i="37" s="1"/>
  <c r="FJ177" i="37"/>
  <c r="CU177" i="37" s="1"/>
  <c r="CW174" i="37"/>
  <c r="H50" i="19"/>
  <c r="G115" i="19"/>
  <c r="G103" i="19"/>
  <c r="FT177" i="37"/>
  <c r="CQ177" i="37" s="1"/>
  <c r="CW175" i="37" l="1"/>
  <c r="FZ176" i="37"/>
  <c r="FL176" i="37"/>
  <c r="FK177" i="37"/>
  <c r="CV177" i="37" s="1"/>
  <c r="I50" i="19"/>
  <c r="G116" i="19"/>
  <c r="G104" i="19"/>
  <c r="H103" i="19"/>
  <c r="B121" i="19"/>
  <c r="B128" i="19"/>
  <c r="CW176" i="37" l="1"/>
  <c r="FZ177" i="37"/>
  <c r="FL177" i="37"/>
  <c r="FF178" i="37"/>
  <c r="FT178" i="37"/>
  <c r="G128" i="19"/>
  <c r="C121" i="19"/>
  <c r="G121" i="19"/>
  <c r="J50" i="19"/>
  <c r="G105" i="19"/>
  <c r="G117" i="19"/>
  <c r="H104" i="19"/>
  <c r="A99" i="19"/>
  <c r="B129" i="19"/>
  <c r="B133" i="19"/>
  <c r="B125" i="19"/>
  <c r="B132" i="19"/>
  <c r="B124" i="19"/>
  <c r="B130" i="19"/>
  <c r="B126" i="19"/>
  <c r="B140" i="19"/>
  <c r="B131" i="19"/>
  <c r="B127" i="19"/>
  <c r="B123" i="19"/>
  <c r="B122" i="19"/>
  <c r="CW177" i="37" l="1"/>
  <c r="CQ178" i="37"/>
  <c r="FX178" i="37"/>
  <c r="FY178" i="37" s="1"/>
  <c r="FJ178" i="37"/>
  <c r="FF179" i="37"/>
  <c r="FH196" i="37"/>
  <c r="FG196" i="37"/>
  <c r="FA197" i="37"/>
  <c r="FT179" i="37"/>
  <c r="FU196" i="37"/>
  <c r="FV196" i="37"/>
  <c r="FO197" i="37"/>
  <c r="G123" i="19"/>
  <c r="G126" i="19"/>
  <c r="G130" i="19"/>
  <c r="G129" i="19"/>
  <c r="G125" i="19"/>
  <c r="G127" i="19"/>
  <c r="G133" i="19"/>
  <c r="G131" i="19"/>
  <c r="G124" i="19"/>
  <c r="G122" i="19"/>
  <c r="G132" i="19"/>
  <c r="G118" i="19"/>
  <c r="G106" i="19"/>
  <c r="B152" i="19"/>
  <c r="G140" i="19"/>
  <c r="C122" i="19"/>
  <c r="H105" i="19"/>
  <c r="A111" i="19"/>
  <c r="A100" i="19"/>
  <c r="B223" i="19"/>
  <c r="B144" i="19"/>
  <c r="B141" i="19"/>
  <c r="B137" i="19"/>
  <c r="B136" i="19"/>
  <c r="B145" i="19"/>
  <c r="B139" i="19"/>
  <c r="B143" i="19"/>
  <c r="B138" i="19"/>
  <c r="B135" i="19"/>
  <c r="B142" i="19"/>
  <c r="B134" i="19"/>
  <c r="A123" i="19" l="1"/>
  <c r="A112" i="19"/>
  <c r="A124" i="19" s="1"/>
  <c r="A136" i="19" s="1"/>
  <c r="A148" i="19" s="1"/>
  <c r="A160" i="19" s="1"/>
  <c r="A172" i="19" s="1"/>
  <c r="A184" i="19" s="1"/>
  <c r="A196" i="19" s="1"/>
  <c r="A208" i="19" s="1"/>
  <c r="CL197" i="37"/>
  <c r="CR196" i="37"/>
  <c r="CQ179" i="37"/>
  <c r="CU178" i="37"/>
  <c r="CS196" i="37"/>
  <c r="FK178" i="37"/>
  <c r="CV178" i="37" s="1"/>
  <c r="FX179" i="37"/>
  <c r="FY179" i="37" s="1"/>
  <c r="FF180" i="37"/>
  <c r="FJ179" i="37"/>
  <c r="FB198" i="37"/>
  <c r="FP198" i="37"/>
  <c r="CM198" i="37" s="1"/>
  <c r="FT180" i="37"/>
  <c r="FI196" i="37"/>
  <c r="FW196" i="37"/>
  <c r="FH197" i="37"/>
  <c r="FG197" i="37"/>
  <c r="FA198" i="37"/>
  <c r="FV197" i="37"/>
  <c r="FO198" i="37"/>
  <c r="FU197" i="37"/>
  <c r="G152" i="19"/>
  <c r="C123" i="19"/>
  <c r="B164" i="19"/>
  <c r="B176" i="19" s="1"/>
  <c r="B149" i="19"/>
  <c r="G137" i="19"/>
  <c r="B154" i="19"/>
  <c r="G142" i="19"/>
  <c r="B151" i="19"/>
  <c r="G139" i="19"/>
  <c r="B153" i="19"/>
  <c r="G141" i="19"/>
  <c r="B147" i="19"/>
  <c r="G135" i="19"/>
  <c r="B157" i="19"/>
  <c r="G145" i="19"/>
  <c r="B156" i="19"/>
  <c r="G144" i="19"/>
  <c r="B146" i="19"/>
  <c r="G134" i="19"/>
  <c r="B155" i="19"/>
  <c r="G143" i="19"/>
  <c r="B150" i="19"/>
  <c r="G138" i="19"/>
  <c r="B148" i="19"/>
  <c r="G136" i="19"/>
  <c r="H106" i="19"/>
  <c r="A101" i="19"/>
  <c r="B224" i="19"/>
  <c r="A135" i="19" l="1"/>
  <c r="CL198" i="37"/>
  <c r="CT196" i="37"/>
  <c r="CS197" i="37"/>
  <c r="CU179" i="37"/>
  <c r="CR197" i="37"/>
  <c r="CQ180" i="37"/>
  <c r="FL178" i="37"/>
  <c r="FZ178" i="37"/>
  <c r="FK179" i="37"/>
  <c r="CV179" i="37" s="1"/>
  <c r="FJ180" i="37"/>
  <c r="FX180" i="37"/>
  <c r="FY180" i="37" s="1"/>
  <c r="FF181" i="37"/>
  <c r="FQ199" i="37"/>
  <c r="FC199" i="37"/>
  <c r="FT181" i="37"/>
  <c r="FG198" i="37"/>
  <c r="FH198" i="37"/>
  <c r="FA199" i="37"/>
  <c r="FB199" i="37"/>
  <c r="FP199" i="37"/>
  <c r="CM199" i="37" s="1"/>
  <c r="FI197" i="37"/>
  <c r="FW197" i="37"/>
  <c r="FU198" i="37"/>
  <c r="FV198" i="37"/>
  <c r="FO199" i="37"/>
  <c r="A113" i="19"/>
  <c r="G148" i="19"/>
  <c r="G155" i="19"/>
  <c r="G156" i="19"/>
  <c r="G147" i="19"/>
  <c r="G151" i="19"/>
  <c r="G149" i="19"/>
  <c r="G176" i="19"/>
  <c r="G164" i="19"/>
  <c r="C124" i="19"/>
  <c r="G150" i="19"/>
  <c r="G146" i="19"/>
  <c r="G157" i="19"/>
  <c r="G153" i="19"/>
  <c r="G154" i="19"/>
  <c r="B168" i="19"/>
  <c r="B180" i="19" s="1"/>
  <c r="B159" i="19"/>
  <c r="B165" i="19"/>
  <c r="B167" i="19"/>
  <c r="B160" i="19"/>
  <c r="B163" i="19"/>
  <c r="B175" i="19" s="1"/>
  <c r="B161" i="19"/>
  <c r="B173" i="19" s="1"/>
  <c r="B169" i="19"/>
  <c r="B166" i="19"/>
  <c r="B162" i="19"/>
  <c r="B158" i="19"/>
  <c r="H107" i="19"/>
  <c r="A102" i="19"/>
  <c r="B225" i="19"/>
  <c r="B188" i="19"/>
  <c r="A147" i="19" l="1"/>
  <c r="A125" i="19"/>
  <c r="CL199" i="37"/>
  <c r="CW178" i="37"/>
  <c r="CT197" i="37"/>
  <c r="CS198" i="37"/>
  <c r="CR198" i="37"/>
  <c r="CQ181" i="37"/>
  <c r="CN199" i="37"/>
  <c r="CU180" i="37"/>
  <c r="FK180" i="37"/>
  <c r="CV180" i="37" s="1"/>
  <c r="FL179" i="37"/>
  <c r="FZ179" i="37"/>
  <c r="FJ181" i="37"/>
  <c r="FX181" i="37"/>
  <c r="FY181" i="37" s="1"/>
  <c r="FF182" i="37"/>
  <c r="FI198" i="37"/>
  <c r="FW198" i="37"/>
  <c r="FQ200" i="37"/>
  <c r="FH199" i="37"/>
  <c r="FG199" i="37"/>
  <c r="FA200" i="37"/>
  <c r="FT182" i="37"/>
  <c r="FB200" i="37"/>
  <c r="FP200" i="37"/>
  <c r="CM200" i="37" s="1"/>
  <c r="FC200" i="37"/>
  <c r="FU199" i="37"/>
  <c r="FV199" i="37"/>
  <c r="FO200" i="37"/>
  <c r="A114" i="19"/>
  <c r="A126" i="19" s="1"/>
  <c r="A138" i="19" s="1"/>
  <c r="A150" i="19" s="1"/>
  <c r="A162" i="19" s="1"/>
  <c r="A174" i="19" s="1"/>
  <c r="A186" i="19" s="1"/>
  <c r="A198" i="19" s="1"/>
  <c r="A210" i="19" s="1"/>
  <c r="G175" i="19"/>
  <c r="G169" i="19"/>
  <c r="G160" i="19"/>
  <c r="G159" i="19"/>
  <c r="C125" i="19"/>
  <c r="G188" i="19"/>
  <c r="G166" i="19"/>
  <c r="G173" i="19"/>
  <c r="G158" i="19"/>
  <c r="G167" i="19"/>
  <c r="G168" i="19"/>
  <c r="G163" i="19"/>
  <c r="G180" i="19"/>
  <c r="G162" i="19"/>
  <c r="G161" i="19"/>
  <c r="G165" i="19"/>
  <c r="B171" i="19"/>
  <c r="B183" i="19" s="1"/>
  <c r="B181" i="19"/>
  <c r="B193" i="19" s="1"/>
  <c r="B172" i="19"/>
  <c r="B184" i="19" s="1"/>
  <c r="B177" i="19"/>
  <c r="B189" i="19" s="1"/>
  <c r="B179" i="19"/>
  <c r="B178" i="19"/>
  <c r="B174" i="19"/>
  <c r="B170" i="19"/>
  <c r="H108" i="19"/>
  <c r="A103" i="19"/>
  <c r="B226" i="19"/>
  <c r="B200" i="19"/>
  <c r="B185" i="19"/>
  <c r="B192" i="19"/>
  <c r="B187" i="19"/>
  <c r="A159" i="19" l="1"/>
  <c r="A137" i="19"/>
  <c r="CL200" i="37"/>
  <c r="CN200" i="37"/>
  <c r="CU181" i="37"/>
  <c r="CT198" i="37"/>
  <c r="CR199" i="37"/>
  <c r="CS199" i="37"/>
  <c r="CQ182" i="37"/>
  <c r="CW179" i="37"/>
  <c r="FL180" i="37"/>
  <c r="FZ180" i="37"/>
  <c r="FK181" i="37"/>
  <c r="CV181" i="37" s="1"/>
  <c r="FJ182" i="37"/>
  <c r="FX182" i="37"/>
  <c r="FY182" i="37" s="1"/>
  <c r="FF183" i="37"/>
  <c r="FC201" i="37"/>
  <c r="FT183" i="37"/>
  <c r="FH200" i="37"/>
  <c r="FG200" i="37"/>
  <c r="FA201" i="37"/>
  <c r="FB201" i="37"/>
  <c r="FP201" i="37"/>
  <c r="FI199" i="37"/>
  <c r="FW199" i="37"/>
  <c r="FQ201" i="37"/>
  <c r="FU200" i="37"/>
  <c r="FO201" i="37"/>
  <c r="FV200" i="37"/>
  <c r="G193" i="19"/>
  <c r="G184" i="19"/>
  <c r="G185" i="19"/>
  <c r="G178" i="19"/>
  <c r="G177" i="19"/>
  <c r="G171" i="19"/>
  <c r="G192" i="19"/>
  <c r="C126" i="19"/>
  <c r="G189" i="19"/>
  <c r="G174" i="19"/>
  <c r="G181" i="19"/>
  <c r="G187" i="19"/>
  <c r="G183" i="19"/>
  <c r="G200" i="19"/>
  <c r="G170" i="19"/>
  <c r="G179" i="19"/>
  <c r="G172" i="19"/>
  <c r="B191" i="19"/>
  <c r="B190" i="19"/>
  <c r="B186" i="19"/>
  <c r="B182" i="19"/>
  <c r="H109" i="19"/>
  <c r="A115" i="19"/>
  <c r="A104" i="19"/>
  <c r="B227" i="19"/>
  <c r="B195" i="19"/>
  <c r="B212" i="19"/>
  <c r="B201" i="19"/>
  <c r="B199" i="19"/>
  <c r="B204" i="19"/>
  <c r="B196" i="19"/>
  <c r="B197" i="19"/>
  <c r="B205" i="19"/>
  <c r="A171" i="19" l="1"/>
  <c r="A149" i="19"/>
  <c r="A127" i="19"/>
  <c r="CM201" i="37"/>
  <c r="CL201" i="37"/>
  <c r="CW180" i="37"/>
  <c r="CS200" i="37"/>
  <c r="CU182" i="37"/>
  <c r="CT199" i="37"/>
  <c r="CR200" i="37"/>
  <c r="CQ183" i="37"/>
  <c r="CN201" i="37"/>
  <c r="FL181" i="37"/>
  <c r="FX183" i="37"/>
  <c r="FY183" i="37" s="1"/>
  <c r="FJ183" i="37"/>
  <c r="FZ181" i="37"/>
  <c r="FK182" i="37"/>
  <c r="CV182" i="37" s="1"/>
  <c r="FF184" i="37"/>
  <c r="FC202" i="37"/>
  <c r="FQ202" i="37"/>
  <c r="FB202" i="37"/>
  <c r="FP202" i="37"/>
  <c r="CM202" i="37" s="1"/>
  <c r="FT184" i="37"/>
  <c r="FH201" i="37"/>
  <c r="FG201" i="37"/>
  <c r="FA202" i="37"/>
  <c r="FI200" i="37"/>
  <c r="FW200" i="37"/>
  <c r="FV201" i="37"/>
  <c r="FU201" i="37"/>
  <c r="FO202" i="37"/>
  <c r="G201" i="19"/>
  <c r="G191" i="19"/>
  <c r="G196" i="19"/>
  <c r="G212" i="19"/>
  <c r="G197" i="19"/>
  <c r="G182" i="19"/>
  <c r="C127" i="19"/>
  <c r="G204" i="19"/>
  <c r="B203" i="19"/>
  <c r="B215" i="19" s="1"/>
  <c r="G186" i="19"/>
  <c r="G205" i="19"/>
  <c r="G199" i="19"/>
  <c r="G195" i="19"/>
  <c r="G190" i="19"/>
  <c r="B202" i="19"/>
  <c r="B198" i="19"/>
  <c r="B210" i="19" s="1"/>
  <c r="B194" i="19"/>
  <c r="H110" i="19"/>
  <c r="A116" i="19"/>
  <c r="A128" i="19" s="1"/>
  <c r="A140" i="19" s="1"/>
  <c r="A152" i="19" s="1"/>
  <c r="A164" i="19" s="1"/>
  <c r="A176" i="19" s="1"/>
  <c r="A188" i="19" s="1"/>
  <c r="A200" i="19" s="1"/>
  <c r="A212" i="19" s="1"/>
  <c r="A105" i="19"/>
  <c r="A117" i="19" s="1"/>
  <c r="A129" i="19" s="1"/>
  <c r="A141" i="19" s="1"/>
  <c r="A153" i="19" s="1"/>
  <c r="A165" i="19" s="1"/>
  <c r="A177" i="19" s="1"/>
  <c r="A189" i="19" s="1"/>
  <c r="A201" i="19" s="1"/>
  <c r="A213" i="19" s="1"/>
  <c r="B228" i="19"/>
  <c r="B216" i="19"/>
  <c r="B207" i="19"/>
  <c r="B213" i="19"/>
  <c r="B208" i="19"/>
  <c r="B211" i="19"/>
  <c r="B217" i="19"/>
  <c r="B209" i="19"/>
  <c r="A183" i="19" l="1"/>
  <c r="A161" i="19"/>
  <c r="A139" i="19"/>
  <c r="CL202" i="37"/>
  <c r="CN202" i="37"/>
  <c r="CS201" i="37"/>
  <c r="CQ184" i="37"/>
  <c r="CT200" i="37"/>
  <c r="CU183" i="37"/>
  <c r="CR201" i="37"/>
  <c r="CW181" i="37"/>
  <c r="FK183" i="37"/>
  <c r="CV183" i="37" s="1"/>
  <c r="FX184" i="37"/>
  <c r="FY184" i="37" s="1"/>
  <c r="FJ184" i="37"/>
  <c r="FL182" i="37"/>
  <c r="FZ182" i="37"/>
  <c r="FF185" i="37"/>
  <c r="FQ203" i="37"/>
  <c r="FI201" i="37"/>
  <c r="FW201" i="37"/>
  <c r="FB203" i="37"/>
  <c r="FP203" i="37"/>
  <c r="FH202" i="37"/>
  <c r="FG202" i="37"/>
  <c r="FA203" i="37"/>
  <c r="FT185" i="37"/>
  <c r="FC203" i="37"/>
  <c r="FV202" i="37"/>
  <c r="FU202" i="37"/>
  <c r="FO203" i="37"/>
  <c r="G209" i="19"/>
  <c r="G217" i="19"/>
  <c r="G213" i="19"/>
  <c r="G208" i="19"/>
  <c r="G194" i="19"/>
  <c r="G215" i="19"/>
  <c r="G210" i="19"/>
  <c r="G198" i="19"/>
  <c r="G203" i="19"/>
  <c r="C128" i="19"/>
  <c r="G216" i="19"/>
  <c r="G202" i="19"/>
  <c r="B214" i="19"/>
  <c r="G211" i="19"/>
  <c r="G207" i="19"/>
  <c r="B206" i="19"/>
  <c r="H111" i="19"/>
  <c r="A106" i="19"/>
  <c r="B229" i="19"/>
  <c r="A195" i="19" l="1"/>
  <c r="A173" i="19"/>
  <c r="A151" i="19"/>
  <c r="CM203" i="37"/>
  <c r="CL203" i="37"/>
  <c r="CN203" i="37"/>
  <c r="CQ185" i="37"/>
  <c r="CR202" i="37"/>
  <c r="CS202" i="37"/>
  <c r="CT201" i="37"/>
  <c r="CW182" i="37"/>
  <c r="CU184" i="37"/>
  <c r="FZ183" i="37"/>
  <c r="FL183" i="37"/>
  <c r="FK184" i="37"/>
  <c r="CV184" i="37" s="1"/>
  <c r="FX185" i="37"/>
  <c r="FY185" i="37" s="1"/>
  <c r="FJ185" i="37"/>
  <c r="FF186" i="37"/>
  <c r="FC204" i="37"/>
  <c r="FH203" i="37"/>
  <c r="FG203" i="37"/>
  <c r="FA204" i="37"/>
  <c r="FT186" i="37"/>
  <c r="FB204" i="37"/>
  <c r="FP204" i="37"/>
  <c r="CM204" i="37" s="1"/>
  <c r="FQ204" i="37"/>
  <c r="FI202" i="37"/>
  <c r="FW202" i="37"/>
  <c r="FV203" i="37"/>
  <c r="FU203" i="37"/>
  <c r="FO204" i="37"/>
  <c r="G214" i="19"/>
  <c r="G206" i="19"/>
  <c r="C129" i="19"/>
  <c r="H112" i="19"/>
  <c r="A118" i="19"/>
  <c r="A107" i="19"/>
  <c r="B230" i="19"/>
  <c r="A207" i="19" l="1"/>
  <c r="A185" i="19"/>
  <c r="A163" i="19"/>
  <c r="A130" i="19"/>
  <c r="CL204" i="37"/>
  <c r="CW183" i="37"/>
  <c r="CR203" i="37"/>
  <c r="CU185" i="37"/>
  <c r="CS203" i="37"/>
  <c r="CT202" i="37"/>
  <c r="CQ186" i="37"/>
  <c r="CN204" i="37"/>
  <c r="FL184" i="37"/>
  <c r="FZ184" i="37"/>
  <c r="FK185" i="37"/>
  <c r="CV185" i="37" s="1"/>
  <c r="FX186" i="37"/>
  <c r="FY186" i="37" s="1"/>
  <c r="FJ186" i="37"/>
  <c r="FF187" i="37"/>
  <c r="FQ205" i="37"/>
  <c r="FB205" i="37"/>
  <c r="FP205" i="37"/>
  <c r="FH204" i="37"/>
  <c r="FA205" i="37"/>
  <c r="FG204" i="37"/>
  <c r="FI203" i="37"/>
  <c r="FW203" i="37"/>
  <c r="FT187" i="37"/>
  <c r="FC205" i="37"/>
  <c r="FU204" i="37"/>
  <c r="FO205" i="37"/>
  <c r="FV204" i="37"/>
  <c r="C130" i="19"/>
  <c r="H113" i="19"/>
  <c r="A119" i="19"/>
  <c r="A131" i="19" s="1"/>
  <c r="A143" i="19" s="1"/>
  <c r="A155" i="19" s="1"/>
  <c r="A167" i="19" s="1"/>
  <c r="A179" i="19" s="1"/>
  <c r="A191" i="19" s="1"/>
  <c r="A203" i="19" s="1"/>
  <c r="A215" i="19" s="1"/>
  <c r="A108" i="19"/>
  <c r="B231" i="19"/>
  <c r="A235" i="19" s="1"/>
  <c r="A197" i="19" l="1"/>
  <c r="A175" i="19"/>
  <c r="A142" i="19"/>
  <c r="CM205" i="37"/>
  <c r="CL205" i="37"/>
  <c r="CR204" i="37"/>
  <c r="CS204" i="37"/>
  <c r="CQ187" i="37"/>
  <c r="CT203" i="37"/>
  <c r="CU186" i="37"/>
  <c r="CW184" i="37"/>
  <c r="CN205" i="37"/>
  <c r="FJ187" i="37"/>
  <c r="FL185" i="37"/>
  <c r="FZ185" i="37"/>
  <c r="FK186" i="37"/>
  <c r="CV186" i="37" s="1"/>
  <c r="FX187" i="37"/>
  <c r="FY187" i="37" s="1"/>
  <c r="FF188" i="37"/>
  <c r="FC206" i="37"/>
  <c r="FT188" i="37"/>
  <c r="FB206" i="37"/>
  <c r="FP206" i="37"/>
  <c r="CM206" i="37" s="1"/>
  <c r="FQ206" i="37"/>
  <c r="FI204" i="37"/>
  <c r="FW204" i="37"/>
  <c r="FH205" i="37"/>
  <c r="FG205" i="37"/>
  <c r="FA206" i="37"/>
  <c r="FU205" i="37"/>
  <c r="FO206" i="37"/>
  <c r="FV205" i="37"/>
  <c r="C131" i="19"/>
  <c r="H114" i="19"/>
  <c r="A120" i="19"/>
  <c r="A132" i="19" s="1"/>
  <c r="A144" i="19" s="1"/>
  <c r="A156" i="19" s="1"/>
  <c r="A168" i="19" s="1"/>
  <c r="A180" i="19" s="1"/>
  <c r="A192" i="19" s="1"/>
  <c r="A204" i="19" s="1"/>
  <c r="A216" i="19" s="1"/>
  <c r="A109" i="19"/>
  <c r="C222" i="19" s="1"/>
  <c r="A209" i="19" l="1"/>
  <c r="A187" i="19"/>
  <c r="A154" i="19"/>
  <c r="CL206" i="37"/>
  <c r="CS205" i="37"/>
  <c r="CW185" i="37"/>
  <c r="CQ188" i="37"/>
  <c r="CU187" i="37"/>
  <c r="CT204" i="37"/>
  <c r="CR205" i="37"/>
  <c r="CN206" i="37"/>
  <c r="FZ186" i="37"/>
  <c r="FK187" i="37"/>
  <c r="CV187" i="37" s="1"/>
  <c r="FL186" i="37"/>
  <c r="FX188" i="37"/>
  <c r="FY188" i="37" s="1"/>
  <c r="FF189" i="37"/>
  <c r="FJ188" i="37"/>
  <c r="FC207" i="37"/>
  <c r="FQ207" i="37"/>
  <c r="FT189" i="37"/>
  <c r="FG206" i="37"/>
  <c r="FH206" i="37"/>
  <c r="FA207" i="37"/>
  <c r="FB207" i="37"/>
  <c r="FP207" i="37"/>
  <c r="CM207" i="37" s="1"/>
  <c r="FI205" i="37"/>
  <c r="FW205" i="37"/>
  <c r="FV206" i="37"/>
  <c r="FU206" i="37"/>
  <c r="FO207" i="37"/>
  <c r="C132" i="19"/>
  <c r="H115" i="19"/>
  <c r="A121" i="19"/>
  <c r="C223" i="19" s="1"/>
  <c r="A199" i="19" l="1"/>
  <c r="A166" i="19"/>
  <c r="CL207" i="37"/>
  <c r="CU188" i="37"/>
  <c r="CR206" i="37"/>
  <c r="CT205" i="37"/>
  <c r="CS206" i="37"/>
  <c r="CW186" i="37"/>
  <c r="CQ189" i="37"/>
  <c r="CN207" i="37"/>
  <c r="FL187" i="37"/>
  <c r="FZ187" i="37"/>
  <c r="FX189" i="37"/>
  <c r="FY189" i="37" s="1"/>
  <c r="FJ189" i="37"/>
  <c r="FK188" i="37"/>
  <c r="CV188" i="37" s="1"/>
  <c r="FF190" i="37"/>
  <c r="FQ208" i="37"/>
  <c r="FC208" i="37"/>
  <c r="FI206" i="37"/>
  <c r="FW206" i="37"/>
  <c r="FH207" i="37"/>
  <c r="FG207" i="37"/>
  <c r="FA208" i="37"/>
  <c r="FT190" i="37"/>
  <c r="FB208" i="37"/>
  <c r="FP208" i="37"/>
  <c r="CM208" i="37" s="1"/>
  <c r="FU207" i="37"/>
  <c r="FO208" i="37"/>
  <c r="FV207" i="37"/>
  <c r="C133" i="19"/>
  <c r="H116" i="19"/>
  <c r="A133" i="19"/>
  <c r="A211" i="19" l="1"/>
  <c r="A178" i="19"/>
  <c r="C224" i="19"/>
  <c r="CL208" i="37"/>
  <c r="CN208" i="37"/>
  <c r="CU189" i="37"/>
  <c r="CT206" i="37"/>
  <c r="CW187" i="37"/>
  <c r="CR207" i="37"/>
  <c r="CS207" i="37"/>
  <c r="CQ190" i="37"/>
  <c r="FX190" i="37"/>
  <c r="FY190" i="37" s="1"/>
  <c r="FK189" i="37"/>
  <c r="CV189" i="37" s="1"/>
  <c r="FJ190" i="37"/>
  <c r="FZ188" i="37"/>
  <c r="FL188" i="37"/>
  <c r="FF191" i="37"/>
  <c r="FQ209" i="37"/>
  <c r="FH208" i="37"/>
  <c r="FA209" i="37"/>
  <c r="FG208" i="37"/>
  <c r="FC209" i="37"/>
  <c r="FT191" i="37"/>
  <c r="FB209" i="37"/>
  <c r="FP209" i="37"/>
  <c r="CM209" i="37" s="1"/>
  <c r="FI207" i="37"/>
  <c r="FW207" i="37"/>
  <c r="FU208" i="37"/>
  <c r="FO209" i="37"/>
  <c r="FV208" i="37"/>
  <c r="C134" i="19"/>
  <c r="H117" i="19"/>
  <c r="A145" i="19"/>
  <c r="A190" i="19" l="1"/>
  <c r="C225" i="19"/>
  <c r="CL209" i="37"/>
  <c r="CN209" i="37"/>
  <c r="CW188" i="37"/>
  <c r="CT207" i="37"/>
  <c r="CU190" i="37"/>
  <c r="CR208" i="37"/>
  <c r="CQ191" i="37"/>
  <c r="CS208" i="37"/>
  <c r="FJ191" i="37"/>
  <c r="FL189" i="37"/>
  <c r="FZ189" i="37"/>
  <c r="FK190" i="37"/>
  <c r="CV190" i="37" s="1"/>
  <c r="FX191" i="37"/>
  <c r="FY191" i="37" s="1"/>
  <c r="FF192" i="37"/>
  <c r="FQ210" i="37"/>
  <c r="FT192" i="37"/>
  <c r="FI208" i="37"/>
  <c r="FW208" i="37"/>
  <c r="FH209" i="37"/>
  <c r="FG209" i="37"/>
  <c r="FA210" i="37"/>
  <c r="FB210" i="37"/>
  <c r="FP210" i="37"/>
  <c r="CM210" i="37" s="1"/>
  <c r="FC210" i="37"/>
  <c r="FU209" i="37"/>
  <c r="FV209" i="37"/>
  <c r="FO210" i="37"/>
  <c r="C135" i="19"/>
  <c r="A157" i="19"/>
  <c r="H118" i="19"/>
  <c r="A202" i="19" l="1"/>
  <c r="A169" i="19"/>
  <c r="C226" i="19"/>
  <c r="CL210" i="37"/>
  <c r="CN210" i="37"/>
  <c r="CT208" i="37"/>
  <c r="CS209" i="37"/>
  <c r="CU191" i="37"/>
  <c r="CR209" i="37"/>
  <c r="CQ192" i="37"/>
  <c r="CW189" i="37"/>
  <c r="FK191" i="37"/>
  <c r="CV191" i="37" s="1"/>
  <c r="FZ190" i="37"/>
  <c r="FL190" i="37"/>
  <c r="FX192" i="37"/>
  <c r="FY192" i="37" s="1"/>
  <c r="FJ192" i="37"/>
  <c r="FF193" i="37"/>
  <c r="FH210" i="37"/>
  <c r="FG210" i="37"/>
  <c r="FA211" i="37"/>
  <c r="FC211" i="37"/>
  <c r="FB211" i="37"/>
  <c r="FP211" i="37"/>
  <c r="CM211" i="37" s="1"/>
  <c r="FI209" i="37"/>
  <c r="FW209" i="37"/>
  <c r="FQ211" i="37"/>
  <c r="FT193" i="37"/>
  <c r="FO211" i="37"/>
  <c r="FU210" i="37"/>
  <c r="FV210" i="37"/>
  <c r="C136" i="19"/>
  <c r="H119" i="19"/>
  <c r="A214" i="19" l="1"/>
  <c r="A181" i="19"/>
  <c r="C227" i="19"/>
  <c r="CL211" i="37"/>
  <c r="CU192" i="37"/>
  <c r="CT209" i="37"/>
  <c r="CQ193" i="37"/>
  <c r="CR210" i="37"/>
  <c r="CS210" i="37"/>
  <c r="CW190" i="37"/>
  <c r="CN211" i="37"/>
  <c r="FX193" i="37"/>
  <c r="FY193" i="37" s="1"/>
  <c r="FK192" i="37"/>
  <c r="CV192" i="37" s="1"/>
  <c r="FL191" i="37"/>
  <c r="FZ191" i="37"/>
  <c r="FJ193" i="37"/>
  <c r="FF194" i="37"/>
  <c r="CD161" i="37"/>
  <c r="FQ212" i="37"/>
  <c r="FT194" i="37"/>
  <c r="FC212" i="37"/>
  <c r="FH211" i="37"/>
  <c r="FG211" i="37"/>
  <c r="FA212" i="37"/>
  <c r="FB212" i="37"/>
  <c r="FP212" i="37"/>
  <c r="FI210" i="37"/>
  <c r="FW210" i="37"/>
  <c r="FU211" i="37"/>
  <c r="FO212" i="37"/>
  <c r="FV211" i="37"/>
  <c r="C137" i="19"/>
  <c r="H120" i="19"/>
  <c r="C228" i="19" l="1"/>
  <c r="A193" i="19"/>
  <c r="CM212" i="37"/>
  <c r="CL212" i="37"/>
  <c r="CU193" i="37"/>
  <c r="CN212" i="37"/>
  <c r="CQ194" i="37"/>
  <c r="CT210" i="37"/>
  <c r="CR211" i="37"/>
  <c r="CS211" i="37"/>
  <c r="CW191" i="37"/>
  <c r="FX194" i="37"/>
  <c r="FY194" i="37" s="1"/>
  <c r="FL192" i="37"/>
  <c r="FZ192" i="37"/>
  <c r="FK193" i="37"/>
  <c r="CV193" i="37" s="1"/>
  <c r="FJ194" i="37"/>
  <c r="FF195" i="37"/>
  <c r="FQ213" i="37"/>
  <c r="FT195" i="37"/>
  <c r="FC213" i="37"/>
  <c r="FB213" i="37"/>
  <c r="FP213" i="37"/>
  <c r="CM213" i="37" s="1"/>
  <c r="FH212" i="37"/>
  <c r="FG212" i="37"/>
  <c r="FA213" i="37"/>
  <c r="FI211" i="37"/>
  <c r="FW211" i="37"/>
  <c r="FU212" i="37"/>
  <c r="FO213" i="37"/>
  <c r="FV212" i="37"/>
  <c r="C138" i="19"/>
  <c r="H121" i="19"/>
  <c r="A205" i="19" l="1"/>
  <c r="C229" i="19"/>
  <c r="CL213" i="37"/>
  <c r="CU194" i="37"/>
  <c r="CW192" i="37"/>
  <c r="CQ195" i="37"/>
  <c r="CR212" i="37"/>
  <c r="CN213" i="37"/>
  <c r="CS212" i="37"/>
  <c r="CT211" i="37"/>
  <c r="FL193" i="37"/>
  <c r="FZ193" i="37"/>
  <c r="FK194" i="37"/>
  <c r="CV194" i="37" s="1"/>
  <c r="FX195" i="37"/>
  <c r="FY195" i="37" s="1"/>
  <c r="FJ195" i="37"/>
  <c r="FF196" i="37"/>
  <c r="FQ214" i="37"/>
  <c r="FH213" i="37"/>
  <c r="FG213" i="37"/>
  <c r="FA214" i="37"/>
  <c r="FT196" i="37"/>
  <c r="FB214" i="37"/>
  <c r="FP214" i="37"/>
  <c r="CM214" i="37" s="1"/>
  <c r="FI212" i="37"/>
  <c r="FW212" i="37"/>
  <c r="FC214" i="37"/>
  <c r="FU213" i="37"/>
  <c r="FO214" i="37"/>
  <c r="FV213" i="37"/>
  <c r="C139" i="19"/>
  <c r="H122" i="19"/>
  <c r="C230" i="19" l="1"/>
  <c r="A217" i="19"/>
  <c r="C231" i="19" s="1"/>
  <c r="B261" i="19" s="1"/>
  <c r="CO161" i="37"/>
  <c r="CL214" i="37"/>
  <c r="CN214" i="37"/>
  <c r="CT212" i="37"/>
  <c r="CU195" i="37"/>
  <c r="CS213" i="37"/>
  <c r="CQ196" i="37"/>
  <c r="CR213" i="37"/>
  <c r="CW193" i="37"/>
  <c r="FX196" i="37"/>
  <c r="FY196" i="37" s="1"/>
  <c r="FZ194" i="37"/>
  <c r="FL194" i="37"/>
  <c r="FK195" i="37"/>
  <c r="CV195" i="37" s="1"/>
  <c r="FJ196" i="37"/>
  <c r="FF197" i="37"/>
  <c r="FC215" i="37"/>
  <c r="FQ215" i="37"/>
  <c r="FB215" i="37"/>
  <c r="FP215" i="37"/>
  <c r="CM215" i="37" s="1"/>
  <c r="FI213" i="37"/>
  <c r="FW213" i="37"/>
  <c r="FT197" i="37"/>
  <c r="FG214" i="37"/>
  <c r="FH214" i="37"/>
  <c r="FA215" i="37"/>
  <c r="FU214" i="37"/>
  <c r="FO215" i="37"/>
  <c r="FV214" i="37"/>
  <c r="C140" i="19"/>
  <c r="H123" i="19"/>
  <c r="B236" i="19" l="1"/>
  <c r="B238" i="19"/>
  <c r="CL215" i="37"/>
  <c r="CU196" i="37"/>
  <c r="CW194" i="37"/>
  <c r="CT213" i="37"/>
  <c r="CS214" i="37"/>
  <c r="CR214" i="37"/>
  <c r="CQ197" i="37"/>
  <c r="CN215" i="37"/>
  <c r="FZ195" i="37"/>
  <c r="FL195" i="37"/>
  <c r="FJ197" i="37"/>
  <c r="FK196" i="37"/>
  <c r="CV196" i="37" s="1"/>
  <c r="FF198" i="37"/>
  <c r="FX197" i="37"/>
  <c r="FY197" i="37" s="1"/>
  <c r="FQ216" i="37"/>
  <c r="FC216" i="37"/>
  <c r="FH215" i="37"/>
  <c r="FG215" i="37"/>
  <c r="FA216" i="37"/>
  <c r="FB216" i="37"/>
  <c r="FP216" i="37"/>
  <c r="CM216" i="37" s="1"/>
  <c r="FT198" i="37"/>
  <c r="FI214" i="37"/>
  <c r="FW214" i="37"/>
  <c r="FU215" i="37"/>
  <c r="FO216" i="37"/>
  <c r="FV215" i="37"/>
  <c r="C141" i="19"/>
  <c r="H124" i="19"/>
  <c r="CL216" i="37" l="1"/>
  <c r="CR215" i="37"/>
  <c r="CP161" i="37"/>
  <c r="CW195" i="37"/>
  <c r="CT214" i="37"/>
  <c r="CS215" i="37"/>
  <c r="CQ198" i="37"/>
  <c r="CU197" i="37"/>
  <c r="CN216" i="37"/>
  <c r="CE161" i="37"/>
  <c r="FK197" i="37"/>
  <c r="CV197" i="37" s="1"/>
  <c r="FL196" i="37"/>
  <c r="FZ196" i="37"/>
  <c r="FX198" i="37"/>
  <c r="FY198" i="37" s="1"/>
  <c r="FJ198" i="37"/>
  <c r="FF199" i="37"/>
  <c r="FQ217" i="37"/>
  <c r="FC217" i="37"/>
  <c r="FT199" i="37"/>
  <c r="FB217" i="37"/>
  <c r="FP217" i="37"/>
  <c r="CM217" i="37" s="1"/>
  <c r="FI215" i="37"/>
  <c r="FW215" i="37"/>
  <c r="FG216" i="37"/>
  <c r="FH216" i="37"/>
  <c r="FA217" i="37"/>
  <c r="FU216" i="37"/>
  <c r="FO217" i="37"/>
  <c r="FV216" i="37"/>
  <c r="C142" i="19"/>
  <c r="H125" i="19"/>
  <c r="F1" i="24"/>
  <c r="CL217" i="37" l="1"/>
  <c r="CN217" i="37"/>
  <c r="CT215" i="37"/>
  <c r="CU198" i="37"/>
  <c r="CS216" i="37"/>
  <c r="CR216" i="37"/>
  <c r="CQ199" i="37"/>
  <c r="CW196" i="37"/>
  <c r="FZ197" i="37"/>
  <c r="FL197" i="37"/>
  <c r="FK198" i="37"/>
  <c r="CV198" i="37" s="1"/>
  <c r="FJ199" i="37"/>
  <c r="FX199" i="37"/>
  <c r="FY199" i="37" s="1"/>
  <c r="FF200" i="37"/>
  <c r="FC218" i="37"/>
  <c r="FQ218" i="37"/>
  <c r="FH217" i="37"/>
  <c r="FG217" i="37"/>
  <c r="FA218" i="37"/>
  <c r="FB218" i="37"/>
  <c r="FP218" i="37"/>
  <c r="CM218" i="37" s="1"/>
  <c r="FI216" i="37"/>
  <c r="FW216" i="37"/>
  <c r="FT200" i="37"/>
  <c r="FU217" i="37"/>
  <c r="FO218" i="37"/>
  <c r="FV217" i="37"/>
  <c r="C143" i="19"/>
  <c r="H126" i="19"/>
  <c r="CL218" i="37" l="1"/>
  <c r="CS217" i="37"/>
  <c r="CU199" i="37"/>
  <c r="CT216" i="37"/>
  <c r="CR217" i="37"/>
  <c r="CQ200" i="37"/>
  <c r="CW197" i="37"/>
  <c r="CN218" i="37"/>
  <c r="FK199" i="37"/>
  <c r="CV199" i="37" s="1"/>
  <c r="FL198" i="37"/>
  <c r="FZ198" i="37"/>
  <c r="FJ200" i="37"/>
  <c r="FF201" i="37"/>
  <c r="FX200" i="37"/>
  <c r="FY200" i="37" s="1"/>
  <c r="FQ219" i="37"/>
  <c r="FC219" i="37"/>
  <c r="FT201" i="37"/>
  <c r="FH218" i="37"/>
  <c r="FG218" i="37"/>
  <c r="FA219" i="37"/>
  <c r="FB219" i="37"/>
  <c r="FP219" i="37"/>
  <c r="CM219" i="37" s="1"/>
  <c r="FI217" i="37"/>
  <c r="FW217" i="37"/>
  <c r="FU218" i="37"/>
  <c r="FO219" i="37"/>
  <c r="FV218" i="37"/>
  <c r="C144" i="19"/>
  <c r="H127" i="19"/>
  <c r="CL219" i="37" l="1"/>
  <c r="CT217" i="37"/>
  <c r="CR218" i="37"/>
  <c r="CS218" i="37"/>
  <c r="CW198" i="37"/>
  <c r="CQ201" i="37"/>
  <c r="CU200" i="37"/>
  <c r="CN219" i="37"/>
  <c r="FZ199" i="37"/>
  <c r="FL199" i="37"/>
  <c r="FX201" i="37"/>
  <c r="FY201" i="37" s="1"/>
  <c r="FK200" i="37"/>
  <c r="CV200" i="37" s="1"/>
  <c r="FJ201" i="37"/>
  <c r="FF202" i="37"/>
  <c r="FC220" i="37"/>
  <c r="FQ220" i="37"/>
  <c r="FT202" i="37"/>
  <c r="FH219" i="37"/>
  <c r="FG219" i="37"/>
  <c r="FA220" i="37"/>
  <c r="FB220" i="37"/>
  <c r="FP220" i="37"/>
  <c r="FI218" i="37"/>
  <c r="FW218" i="37"/>
  <c r="FU219" i="37"/>
  <c r="FO220" i="37"/>
  <c r="FV219" i="37"/>
  <c r="C145" i="19"/>
  <c r="H128" i="19"/>
  <c r="CM220" i="37" l="1"/>
  <c r="CL220" i="37"/>
  <c r="CW199" i="37"/>
  <c r="CS219" i="37"/>
  <c r="CT218" i="37"/>
  <c r="CU201" i="37"/>
  <c r="CR219" i="37"/>
  <c r="CN220" i="37"/>
  <c r="CQ202" i="37"/>
  <c r="FK201" i="37"/>
  <c r="CV201" i="37" s="1"/>
  <c r="FL200" i="37"/>
  <c r="FZ200" i="37"/>
  <c r="FJ202" i="37"/>
  <c r="FX202" i="37"/>
  <c r="FY202" i="37" s="1"/>
  <c r="FF203" i="37"/>
  <c r="FQ221" i="37"/>
  <c r="FC221" i="37"/>
  <c r="FI219" i="37"/>
  <c r="FW219" i="37"/>
  <c r="FH220" i="37"/>
  <c r="FA221" i="37"/>
  <c r="FG220" i="37"/>
  <c r="FT203" i="37"/>
  <c r="FB221" i="37"/>
  <c r="FP221" i="37"/>
  <c r="FU220" i="37"/>
  <c r="FO221" i="37"/>
  <c r="FV220" i="37"/>
  <c r="C146" i="19"/>
  <c r="H129" i="19"/>
  <c r="CM221" i="37" l="1"/>
  <c r="CL221" i="37"/>
  <c r="CR220" i="37"/>
  <c r="CW200" i="37"/>
  <c r="CS220" i="37"/>
  <c r="CQ203" i="37"/>
  <c r="CT219" i="37"/>
  <c r="CN221" i="37"/>
  <c r="CU202" i="37"/>
  <c r="FZ201" i="37"/>
  <c r="FL201" i="37"/>
  <c r="FK202" i="37"/>
  <c r="CV202" i="37" s="1"/>
  <c r="FX203" i="37"/>
  <c r="FY203" i="37" s="1"/>
  <c r="FJ203" i="37"/>
  <c r="FF204" i="37"/>
  <c r="FQ222" i="37"/>
  <c r="FH221" i="37"/>
  <c r="FG221" i="37"/>
  <c r="FA222" i="37"/>
  <c r="FI220" i="37"/>
  <c r="FW220" i="37"/>
  <c r="FC222" i="37"/>
  <c r="FB222" i="37"/>
  <c r="FP222" i="37"/>
  <c r="CM222" i="37" s="1"/>
  <c r="FT204" i="37"/>
  <c r="FU221" i="37"/>
  <c r="FO222" i="37"/>
  <c r="FV221" i="37"/>
  <c r="C147" i="19"/>
  <c r="H130" i="19"/>
  <c r="CL222" i="37" l="1"/>
  <c r="CW201" i="37"/>
  <c r="CN222" i="37"/>
  <c r="CR221" i="37"/>
  <c r="CU203" i="37"/>
  <c r="CS221" i="37"/>
  <c r="CT220" i="37"/>
  <c r="CQ204" i="37"/>
  <c r="FX204" i="37"/>
  <c r="FY204" i="37" s="1"/>
  <c r="FL202" i="37"/>
  <c r="FZ202" i="37"/>
  <c r="FJ204" i="37"/>
  <c r="FK203" i="37"/>
  <c r="CV203" i="37" s="1"/>
  <c r="FF205" i="37"/>
  <c r="FG222" i="37"/>
  <c r="FH222" i="37"/>
  <c r="FA223" i="37"/>
  <c r="FQ223" i="37"/>
  <c r="FB223" i="37"/>
  <c r="FP223" i="37"/>
  <c r="CM223" i="37" s="1"/>
  <c r="FC223" i="37"/>
  <c r="FI221" i="37"/>
  <c r="FW221" i="37"/>
  <c r="FT205" i="37"/>
  <c r="FU222" i="37"/>
  <c r="FO223" i="37"/>
  <c r="FV222" i="37"/>
  <c r="C148" i="19"/>
  <c r="H131" i="19"/>
  <c r="CL223" i="37" l="1"/>
  <c r="CN223" i="37"/>
  <c r="CS222" i="37"/>
  <c r="CU204" i="37"/>
  <c r="CT221" i="37"/>
  <c r="CW202" i="37"/>
  <c r="CQ205" i="37"/>
  <c r="CR222" i="37"/>
  <c r="FL203" i="37"/>
  <c r="FZ203" i="37"/>
  <c r="FK204" i="37"/>
  <c r="CV204" i="37" s="1"/>
  <c r="FX205" i="37"/>
  <c r="FY205" i="37" s="1"/>
  <c r="FF206" i="37"/>
  <c r="FJ205" i="37"/>
  <c r="FQ224" i="37"/>
  <c r="FB224" i="37"/>
  <c r="FP224" i="37"/>
  <c r="FT206" i="37"/>
  <c r="FH223" i="37"/>
  <c r="FG223" i="37"/>
  <c r="FA224" i="37"/>
  <c r="FC224" i="37"/>
  <c r="FI222" i="37"/>
  <c r="FW222" i="37"/>
  <c r="FU223" i="37"/>
  <c r="FO224" i="37"/>
  <c r="FV223" i="37"/>
  <c r="C149" i="19"/>
  <c r="H132" i="19"/>
  <c r="CM224" i="37" l="1"/>
  <c r="CL224" i="37"/>
  <c r="CU205" i="37"/>
  <c r="CR223" i="37"/>
  <c r="CS223" i="37"/>
  <c r="CT222" i="37"/>
  <c r="CQ206" i="37"/>
  <c r="CW203" i="37"/>
  <c r="CN224" i="37"/>
  <c r="FJ206" i="37"/>
  <c r="FK205" i="37"/>
  <c r="CV205" i="37" s="1"/>
  <c r="FZ204" i="37"/>
  <c r="FL204" i="37"/>
  <c r="FX206" i="37"/>
  <c r="FY206" i="37" s="1"/>
  <c r="FF207" i="37"/>
  <c r="FQ225" i="37"/>
  <c r="FT207" i="37"/>
  <c r="FB225" i="37"/>
  <c r="FP225" i="37"/>
  <c r="CM225" i="37" s="1"/>
  <c r="FH224" i="37"/>
  <c r="FA225" i="37"/>
  <c r="FG224" i="37"/>
  <c r="FI223" i="37"/>
  <c r="FW223" i="37"/>
  <c r="FC225" i="37"/>
  <c r="FU224" i="37"/>
  <c r="FO225" i="37"/>
  <c r="FV224" i="37"/>
  <c r="C150" i="19"/>
  <c r="H133" i="19"/>
  <c r="CL225" i="37" l="1"/>
  <c r="CN225" i="37"/>
  <c r="CW204" i="37"/>
  <c r="CR224" i="37"/>
  <c r="CU206" i="37"/>
  <c r="CS224" i="37"/>
  <c r="CT223" i="37"/>
  <c r="CQ207" i="37"/>
  <c r="FK206" i="37"/>
  <c r="CV206" i="37" s="1"/>
  <c r="FJ207" i="37"/>
  <c r="FZ205" i="37"/>
  <c r="FL205" i="37"/>
  <c r="FX207" i="37"/>
  <c r="FY207" i="37" s="1"/>
  <c r="FF208" i="37"/>
  <c r="FC226" i="37"/>
  <c r="FT208" i="37"/>
  <c r="FI224" i="37"/>
  <c r="FW224" i="37"/>
  <c r="FQ226" i="37"/>
  <c r="FB226" i="37"/>
  <c r="FP226" i="37"/>
  <c r="CM226" i="37" s="1"/>
  <c r="FH225" i="37"/>
  <c r="FG225" i="37"/>
  <c r="FA226" i="37"/>
  <c r="FU225" i="37"/>
  <c r="FO226" i="37"/>
  <c r="FV225" i="37"/>
  <c r="C151" i="19"/>
  <c r="H134" i="19"/>
  <c r="CL226" i="37" l="1"/>
  <c r="CR225" i="37"/>
  <c r="CS225" i="37"/>
  <c r="CQ208" i="37"/>
  <c r="CU207" i="37"/>
  <c r="CT224" i="37"/>
  <c r="CW205" i="37"/>
  <c r="CN226" i="37"/>
  <c r="FK207" i="37"/>
  <c r="CV207" i="37" s="1"/>
  <c r="FJ208" i="37"/>
  <c r="FZ206" i="37"/>
  <c r="FL206" i="37"/>
  <c r="FX208" i="37"/>
  <c r="FY208" i="37" s="1"/>
  <c r="FF209" i="37"/>
  <c r="FC227" i="37"/>
  <c r="FQ227" i="37"/>
  <c r="FT209" i="37"/>
  <c r="FH226" i="37"/>
  <c r="FG226" i="37"/>
  <c r="FA227" i="37"/>
  <c r="FB227" i="37"/>
  <c r="FP227" i="37"/>
  <c r="CM227" i="37" s="1"/>
  <c r="FI225" i="37"/>
  <c r="FW225" i="37"/>
  <c r="FU226" i="37"/>
  <c r="FO227" i="37"/>
  <c r="FV226" i="37"/>
  <c r="C152" i="19"/>
  <c r="H135" i="19"/>
  <c r="CL227" i="37" l="1"/>
  <c r="CS226" i="37"/>
  <c r="CW206" i="37"/>
  <c r="CQ209" i="37"/>
  <c r="CU208" i="37"/>
  <c r="CT225" i="37"/>
  <c r="CR226" i="37"/>
  <c r="CN227" i="37"/>
  <c r="FX209" i="37"/>
  <c r="FY209" i="37" s="1"/>
  <c r="FK208" i="37"/>
  <c r="CV208" i="37" s="1"/>
  <c r="FL207" i="37"/>
  <c r="FZ207" i="37"/>
  <c r="FJ209" i="37"/>
  <c r="FF210" i="37"/>
  <c r="FQ228" i="37"/>
  <c r="FC228" i="37"/>
  <c r="FH227" i="37"/>
  <c r="FG227" i="37"/>
  <c r="FA228" i="37"/>
  <c r="FT210" i="37"/>
  <c r="FB228" i="37"/>
  <c r="FP228" i="37"/>
  <c r="CM228" i="37" s="1"/>
  <c r="FI226" i="37"/>
  <c r="FW226" i="37"/>
  <c r="FU227" i="37"/>
  <c r="FO228" i="37"/>
  <c r="FV227" i="37"/>
  <c r="C153" i="19"/>
  <c r="H136" i="19"/>
  <c r="CL228" i="37" l="1"/>
  <c r="CU209" i="37"/>
  <c r="CR227" i="37"/>
  <c r="CQ210" i="37"/>
  <c r="CS227" i="37"/>
  <c r="CN228" i="37"/>
  <c r="CT226" i="37"/>
  <c r="CW207" i="37"/>
  <c r="FL208" i="37"/>
  <c r="FZ208" i="37"/>
  <c r="FJ210" i="37"/>
  <c r="FX210" i="37"/>
  <c r="FY210" i="37" s="1"/>
  <c r="FK209" i="37"/>
  <c r="CV209" i="37" s="1"/>
  <c r="FF211" i="37"/>
  <c r="FG228" i="37"/>
  <c r="FA229" i="37"/>
  <c r="FH228" i="37"/>
  <c r="FB229" i="37"/>
  <c r="FP229" i="37"/>
  <c r="CM229" i="37" s="1"/>
  <c r="FQ229" i="37"/>
  <c r="FI227" i="37"/>
  <c r="FW227" i="37"/>
  <c r="FT211" i="37"/>
  <c r="FC229" i="37"/>
  <c r="FU228" i="37"/>
  <c r="FO229" i="37"/>
  <c r="FV228" i="37"/>
  <c r="C154" i="19"/>
  <c r="H137" i="19"/>
  <c r="CL229" i="37" l="1"/>
  <c r="CN229" i="37"/>
  <c r="CT227" i="37"/>
  <c r="CU210" i="37"/>
  <c r="CR228" i="37"/>
  <c r="CQ211" i="37"/>
  <c r="CS228" i="37"/>
  <c r="CW208" i="37"/>
  <c r="FX211" i="37"/>
  <c r="FY211" i="37" s="1"/>
  <c r="FL209" i="37"/>
  <c r="FZ209" i="37"/>
  <c r="FK210" i="37"/>
  <c r="CV210" i="37" s="1"/>
  <c r="FJ211" i="37"/>
  <c r="FF212" i="37"/>
  <c r="FC230" i="37"/>
  <c r="FT212" i="37"/>
  <c r="FB230" i="37"/>
  <c r="FP230" i="37"/>
  <c r="CM230" i="37" s="1"/>
  <c r="FH229" i="37"/>
  <c r="FG229" i="37"/>
  <c r="FA230" i="37"/>
  <c r="FQ230" i="37"/>
  <c r="FI228" i="37"/>
  <c r="FW228" i="37"/>
  <c r="FU229" i="37"/>
  <c r="FO230" i="37"/>
  <c r="FV229" i="37"/>
  <c r="C155" i="19"/>
  <c r="H138" i="19"/>
  <c r="CL230" i="37" l="1"/>
  <c r="CU211" i="37"/>
  <c r="CT228" i="37"/>
  <c r="CQ212" i="37"/>
  <c r="CW209" i="37"/>
  <c r="CR229" i="37"/>
  <c r="CS229" i="37"/>
  <c r="CN230" i="37"/>
  <c r="FZ210" i="37"/>
  <c r="FX212" i="37"/>
  <c r="FY212" i="37" s="1"/>
  <c r="FJ212" i="37"/>
  <c r="FL210" i="37"/>
  <c r="FK211" i="37"/>
  <c r="CV211" i="37" s="1"/>
  <c r="FF213" i="37"/>
  <c r="FQ231" i="37"/>
  <c r="FC231" i="37"/>
  <c r="FI229" i="37"/>
  <c r="FW229" i="37"/>
  <c r="FT213" i="37"/>
  <c r="FG230" i="37"/>
  <c r="FH230" i="37"/>
  <c r="FA231" i="37"/>
  <c r="FB231" i="37"/>
  <c r="FP231" i="37"/>
  <c r="CM231" i="37" s="1"/>
  <c r="FU230" i="37"/>
  <c r="FO231" i="37"/>
  <c r="FV230" i="37"/>
  <c r="C156" i="19"/>
  <c r="H139" i="19"/>
  <c r="CL231" i="37" l="1"/>
  <c r="CU212" i="37"/>
  <c r="CS230" i="37"/>
  <c r="CT229" i="37"/>
  <c r="CW210" i="37"/>
  <c r="CR230" i="37"/>
  <c r="CQ213" i="37"/>
  <c r="CN231" i="37"/>
  <c r="FK212" i="37"/>
  <c r="CV212" i="37" s="1"/>
  <c r="FJ213" i="37"/>
  <c r="FL211" i="37"/>
  <c r="FX213" i="37"/>
  <c r="FY213" i="37" s="1"/>
  <c r="FZ211" i="37"/>
  <c r="FF214" i="37"/>
  <c r="FH231" i="37"/>
  <c r="FG231" i="37"/>
  <c r="FA232" i="37"/>
  <c r="FI230" i="37"/>
  <c r="FW230" i="37"/>
  <c r="FQ232" i="37"/>
  <c r="FC232" i="37"/>
  <c r="FB232" i="37"/>
  <c r="FP232" i="37"/>
  <c r="FT214" i="37"/>
  <c r="FU231" i="37"/>
  <c r="FO232" i="37"/>
  <c r="FV231" i="37"/>
  <c r="C157" i="19"/>
  <c r="H140" i="19"/>
  <c r="CM232" i="37" l="1"/>
  <c r="CL232" i="37"/>
  <c r="CT230" i="37"/>
  <c r="CQ214" i="37"/>
  <c r="CU213" i="37"/>
  <c r="CR231" i="37"/>
  <c r="CS231" i="37"/>
  <c r="CW211" i="37"/>
  <c r="CN232" i="37"/>
  <c r="FJ214" i="37"/>
  <c r="FK213" i="37"/>
  <c r="CV213" i="37" s="1"/>
  <c r="FZ212" i="37"/>
  <c r="FL212" i="37"/>
  <c r="FX214" i="37"/>
  <c r="FY214" i="37" s="1"/>
  <c r="FF215" i="37"/>
  <c r="FQ233" i="37"/>
  <c r="FB233" i="37"/>
  <c r="FP233" i="37"/>
  <c r="FG232" i="37"/>
  <c r="FH232" i="37"/>
  <c r="FA233" i="37"/>
  <c r="FI231" i="37"/>
  <c r="FW231" i="37"/>
  <c r="FT215" i="37"/>
  <c r="FC233" i="37"/>
  <c r="FU232" i="37"/>
  <c r="FO233" i="37"/>
  <c r="FV232" i="37"/>
  <c r="C158" i="19"/>
  <c r="H141" i="19"/>
  <c r="CM233" i="37" l="1"/>
  <c r="CL233" i="37"/>
  <c r="CN233" i="37"/>
  <c r="CR232" i="37"/>
  <c r="CW212" i="37"/>
  <c r="CQ215" i="37"/>
  <c r="CS232" i="37"/>
  <c r="CT231" i="37"/>
  <c r="CU214" i="37"/>
  <c r="FK214" i="37"/>
  <c r="CV214" i="37" s="1"/>
  <c r="FZ213" i="37"/>
  <c r="FX215" i="37"/>
  <c r="FY215" i="37" s="1"/>
  <c r="FL213" i="37"/>
  <c r="FJ215" i="37"/>
  <c r="FF216" i="37"/>
  <c r="FT216" i="37"/>
  <c r="FH233" i="37"/>
  <c r="FG233" i="37"/>
  <c r="FA234" i="37"/>
  <c r="FC234" i="37"/>
  <c r="FI232" i="37"/>
  <c r="FW232" i="37"/>
  <c r="FB234" i="37"/>
  <c r="FP234" i="37"/>
  <c r="CM234" i="37" s="1"/>
  <c r="FQ234" i="37"/>
  <c r="FU233" i="37"/>
  <c r="FO234" i="37"/>
  <c r="FV233" i="37"/>
  <c r="C159" i="19"/>
  <c r="H142" i="19"/>
  <c r="CL234" i="37" l="1"/>
  <c r="CT232" i="37"/>
  <c r="CW213" i="37"/>
  <c r="CR233" i="37"/>
  <c r="CU215" i="37"/>
  <c r="CS233" i="37"/>
  <c r="CQ216" i="37"/>
  <c r="CN234" i="37"/>
  <c r="FL214" i="37"/>
  <c r="FZ214" i="37"/>
  <c r="FJ216" i="37"/>
  <c r="FK215" i="37"/>
  <c r="CV215" i="37" s="1"/>
  <c r="FX216" i="37"/>
  <c r="FY216" i="37" s="1"/>
  <c r="FF217" i="37"/>
  <c r="FQ235" i="37"/>
  <c r="FI233" i="37"/>
  <c r="FW233" i="37"/>
  <c r="FT217" i="37"/>
  <c r="FH234" i="37"/>
  <c r="FG234" i="37"/>
  <c r="FA235" i="37"/>
  <c r="FC235" i="37"/>
  <c r="FB235" i="37"/>
  <c r="FP235" i="37"/>
  <c r="CM235" i="37" s="1"/>
  <c r="FU234" i="37"/>
  <c r="FO235" i="37"/>
  <c r="FV234" i="37"/>
  <c r="C160" i="19"/>
  <c r="H143" i="19"/>
  <c r="CL235" i="37" l="1"/>
  <c r="CW214" i="37"/>
  <c r="CR234" i="37"/>
  <c r="CT233" i="37"/>
  <c r="CS234" i="37"/>
  <c r="CU216" i="37"/>
  <c r="CQ217" i="37"/>
  <c r="CN235" i="37"/>
  <c r="FK216" i="37"/>
  <c r="CV216" i="37" s="1"/>
  <c r="FL215" i="37"/>
  <c r="FZ215" i="37"/>
  <c r="FX217" i="37"/>
  <c r="FY217" i="37" s="1"/>
  <c r="FJ217" i="37"/>
  <c r="FF218" i="37"/>
  <c r="FQ236" i="37"/>
  <c r="FB236" i="37"/>
  <c r="FP236" i="37"/>
  <c r="FI234" i="37"/>
  <c r="FW234" i="37"/>
  <c r="FT218" i="37"/>
  <c r="FH235" i="37"/>
  <c r="FG235" i="37"/>
  <c r="FA236" i="37"/>
  <c r="FC236" i="37"/>
  <c r="FU235" i="37"/>
  <c r="FO236" i="37"/>
  <c r="FV235" i="37"/>
  <c r="C161" i="19"/>
  <c r="H144" i="19"/>
  <c r="CM236" i="37" l="1"/>
  <c r="CL236" i="37"/>
  <c r="CR235" i="37"/>
  <c r="CT234" i="37"/>
  <c r="CQ218" i="37"/>
  <c r="CW215" i="37"/>
  <c r="CS235" i="37"/>
  <c r="CU217" i="37"/>
  <c r="CN236" i="37"/>
  <c r="FZ216" i="37"/>
  <c r="FL216" i="37"/>
  <c r="FK217" i="37"/>
  <c r="CV217" i="37" s="1"/>
  <c r="FX218" i="37"/>
  <c r="FY218" i="37" s="1"/>
  <c r="FJ218" i="37"/>
  <c r="FF219" i="37"/>
  <c r="FI235" i="37"/>
  <c r="FW235" i="37"/>
  <c r="FT219" i="37"/>
  <c r="FA237" i="37"/>
  <c r="FG236" i="37"/>
  <c r="FH236" i="37"/>
  <c r="FC237" i="37"/>
  <c r="FB237" i="37"/>
  <c r="FP237" i="37"/>
  <c r="FQ237" i="37"/>
  <c r="FU236" i="37"/>
  <c r="FO237" i="37"/>
  <c r="FV236" i="37"/>
  <c r="C162" i="19"/>
  <c r="H145" i="19"/>
  <c r="CM237" i="37" l="1"/>
  <c r="CL237" i="37"/>
  <c r="CU218" i="37"/>
  <c r="CS236" i="37"/>
  <c r="CR236" i="37"/>
  <c r="CT235" i="37"/>
  <c r="CQ219" i="37"/>
  <c r="CW216" i="37"/>
  <c r="CN237" i="37"/>
  <c r="FZ217" i="37"/>
  <c r="FL217" i="37"/>
  <c r="FX219" i="37"/>
  <c r="FY219" i="37" s="1"/>
  <c r="FK218" i="37"/>
  <c r="CV218" i="37" s="1"/>
  <c r="FJ219" i="37"/>
  <c r="FF220" i="37"/>
  <c r="FQ238" i="37"/>
  <c r="FH237" i="37"/>
  <c r="FG237" i="37"/>
  <c r="FA238" i="37"/>
  <c r="FC238" i="37"/>
  <c r="FI236" i="37"/>
  <c r="FW236" i="37"/>
  <c r="FT220" i="37"/>
  <c r="FB238" i="37"/>
  <c r="FP238" i="37"/>
  <c r="FU237" i="37"/>
  <c r="FO238" i="37"/>
  <c r="FV237" i="37"/>
  <c r="C163" i="19"/>
  <c r="H146" i="19"/>
  <c r="CM238" i="37" l="1"/>
  <c r="CL238" i="37"/>
  <c r="CN238" i="37"/>
  <c r="CU219" i="37"/>
  <c r="CR237" i="37"/>
  <c r="CT236" i="37"/>
  <c r="CS237" i="37"/>
  <c r="CQ220" i="37"/>
  <c r="CW217" i="37"/>
  <c r="FX220" i="37"/>
  <c r="FY220" i="37" s="1"/>
  <c r="FZ218" i="37"/>
  <c r="FL218" i="37"/>
  <c r="FJ220" i="37"/>
  <c r="FK219" i="37"/>
  <c r="CV219" i="37" s="1"/>
  <c r="FF221" i="37"/>
  <c r="FC239" i="37"/>
  <c r="FG238" i="37"/>
  <c r="FH238" i="37"/>
  <c r="FA239" i="37"/>
  <c r="FQ239" i="37"/>
  <c r="FB239" i="37"/>
  <c r="FP239" i="37"/>
  <c r="FI237" i="37"/>
  <c r="FW237" i="37"/>
  <c r="FT221" i="37"/>
  <c r="FU238" i="37"/>
  <c r="FO239" i="37"/>
  <c r="FV238" i="37"/>
  <c r="C164" i="19"/>
  <c r="H147" i="19"/>
  <c r="CM239" i="37" l="1"/>
  <c r="CL239" i="37"/>
  <c r="CW218" i="37"/>
  <c r="CQ221" i="37"/>
  <c r="CT237" i="37"/>
  <c r="CS238" i="37"/>
  <c r="CR238" i="37"/>
  <c r="CU220" i="37"/>
  <c r="CN239" i="37"/>
  <c r="FL219" i="37"/>
  <c r="FK220" i="37"/>
  <c r="CV220" i="37" s="1"/>
  <c r="FZ219" i="37"/>
  <c r="FX221" i="37"/>
  <c r="FY221" i="37" s="1"/>
  <c r="FJ221" i="37"/>
  <c r="FT222" i="37"/>
  <c r="FF222" i="37"/>
  <c r="FQ240" i="37"/>
  <c r="FC240" i="37"/>
  <c r="FB240" i="37"/>
  <c r="FP240" i="37"/>
  <c r="CM240" i="37" s="1"/>
  <c r="FI238" i="37"/>
  <c r="FW238" i="37"/>
  <c r="FH239" i="37"/>
  <c r="FG239" i="37"/>
  <c r="FA240" i="37"/>
  <c r="FU239" i="37"/>
  <c r="FV239" i="37"/>
  <c r="FO240" i="37"/>
  <c r="C165" i="19"/>
  <c r="H148" i="19"/>
  <c r="CL240" i="37" l="1"/>
  <c r="CQ222" i="37"/>
  <c r="CU221" i="37"/>
  <c r="CW219" i="37"/>
  <c r="CT238" i="37"/>
  <c r="CR239" i="37"/>
  <c r="CS239" i="37"/>
  <c r="CN240" i="37"/>
  <c r="FZ220" i="37"/>
  <c r="FL220" i="37"/>
  <c r="FK221" i="37"/>
  <c r="CV221" i="37" s="1"/>
  <c r="FT223" i="37"/>
  <c r="FF223" i="37"/>
  <c r="FJ222" i="37"/>
  <c r="FX222" i="37"/>
  <c r="FY222" i="37" s="1"/>
  <c r="FQ241" i="37"/>
  <c r="FC241" i="37"/>
  <c r="FI239" i="37"/>
  <c r="FW239" i="37"/>
  <c r="FH240" i="37"/>
  <c r="FG240" i="37"/>
  <c r="FA241" i="37"/>
  <c r="FB241" i="37"/>
  <c r="FP241" i="37"/>
  <c r="CM241" i="37" s="1"/>
  <c r="FV240" i="37"/>
  <c r="FU240" i="37"/>
  <c r="FO241" i="37"/>
  <c r="C166" i="19"/>
  <c r="H149" i="19"/>
  <c r="CL241" i="37" l="1"/>
  <c r="CQ223" i="37"/>
  <c r="CR240" i="37"/>
  <c r="CS240" i="37"/>
  <c r="CT239" i="37"/>
  <c r="CU222" i="37"/>
  <c r="CW220" i="37"/>
  <c r="CN241" i="37"/>
  <c r="FL221" i="37"/>
  <c r="FZ221" i="37"/>
  <c r="FT224" i="37"/>
  <c r="FF224" i="37"/>
  <c r="FJ223" i="37"/>
  <c r="FX223" i="37"/>
  <c r="FY223" i="37" s="1"/>
  <c r="FK222" i="37"/>
  <c r="CV222" i="37" s="1"/>
  <c r="FQ242" i="37"/>
  <c r="FH241" i="37"/>
  <c r="FG241" i="37"/>
  <c r="FA242" i="37"/>
  <c r="FC242" i="37"/>
  <c r="FB242" i="37"/>
  <c r="FP242" i="37"/>
  <c r="CM242" i="37" s="1"/>
  <c r="FI240" i="37"/>
  <c r="FW240" i="37"/>
  <c r="FV241" i="37"/>
  <c r="FU241" i="37"/>
  <c r="FO242" i="37"/>
  <c r="C167" i="19"/>
  <c r="H150" i="19"/>
  <c r="CL242" i="37" l="1"/>
  <c r="CN242" i="37"/>
  <c r="CQ224" i="37"/>
  <c r="CU223" i="37"/>
  <c r="CW221" i="37"/>
  <c r="CS241" i="37"/>
  <c r="CT240" i="37"/>
  <c r="CR241" i="37"/>
  <c r="FT225" i="37"/>
  <c r="FF225" i="37"/>
  <c r="FX224" i="37"/>
  <c r="FY224" i="37" s="1"/>
  <c r="FJ224" i="37"/>
  <c r="FZ222" i="37"/>
  <c r="FL222" i="37"/>
  <c r="FK223" i="37"/>
  <c r="CV223" i="37" s="1"/>
  <c r="FH242" i="37"/>
  <c r="FG242" i="37"/>
  <c r="FA243" i="37"/>
  <c r="FB243" i="37"/>
  <c r="FP243" i="37"/>
  <c r="CM243" i="37" s="1"/>
  <c r="FI241" i="37"/>
  <c r="FW241" i="37"/>
  <c r="FQ243" i="37"/>
  <c r="FC243" i="37"/>
  <c r="FV242" i="37"/>
  <c r="FU242" i="37"/>
  <c r="FO243" i="37"/>
  <c r="C168" i="19"/>
  <c r="H151" i="19"/>
  <c r="CL243" i="37" l="1"/>
  <c r="CT241" i="37"/>
  <c r="CW222" i="37"/>
  <c r="CQ225" i="37"/>
  <c r="CR242" i="37"/>
  <c r="CN243" i="37"/>
  <c r="CS242" i="37"/>
  <c r="CU224" i="37"/>
  <c r="FZ223" i="37"/>
  <c r="FL223" i="37"/>
  <c r="FJ225" i="37"/>
  <c r="FX225" i="37"/>
  <c r="FY225" i="37" s="1"/>
  <c r="FT226" i="37"/>
  <c r="FF226" i="37"/>
  <c r="FK224" i="37"/>
  <c r="CV224" i="37" s="1"/>
  <c r="FQ244" i="37"/>
  <c r="FC244" i="37"/>
  <c r="FB244" i="37"/>
  <c r="FP244" i="37"/>
  <c r="CM244" i="37" s="1"/>
  <c r="FI242" i="37"/>
  <c r="FW242" i="37"/>
  <c r="FH243" i="37"/>
  <c r="FG243" i="37"/>
  <c r="FA244" i="37"/>
  <c r="FV243" i="37"/>
  <c r="FO244" i="37"/>
  <c r="FU243" i="37"/>
  <c r="C169" i="19"/>
  <c r="H152" i="19"/>
  <c r="CL244" i="37" l="1"/>
  <c r="CS243" i="37"/>
  <c r="CQ226" i="37"/>
  <c r="CW223" i="37"/>
  <c r="CT242" i="37"/>
  <c r="CR243" i="37"/>
  <c r="CU225" i="37"/>
  <c r="CN244" i="37"/>
  <c r="FL224" i="37"/>
  <c r="FK225" i="37"/>
  <c r="CV225" i="37" s="1"/>
  <c r="FJ226" i="37"/>
  <c r="FX226" i="37"/>
  <c r="FY226" i="37" s="1"/>
  <c r="FT227" i="37"/>
  <c r="FF227" i="37"/>
  <c r="FZ224" i="37"/>
  <c r="FB245" i="37"/>
  <c r="FP245" i="37"/>
  <c r="FQ245" i="37"/>
  <c r="FG244" i="37"/>
  <c r="FA245" i="37"/>
  <c r="FH244" i="37"/>
  <c r="FI243" i="37"/>
  <c r="FW243" i="37"/>
  <c r="FC245" i="37"/>
  <c r="FV244" i="37"/>
  <c r="FU244" i="37"/>
  <c r="FO245" i="37"/>
  <c r="C170" i="19"/>
  <c r="H153" i="19"/>
  <c r="CM245" i="37" l="1"/>
  <c r="CL245" i="37"/>
  <c r="CQ227" i="37"/>
  <c r="CU226" i="37"/>
  <c r="CN245" i="37"/>
  <c r="CR244" i="37"/>
  <c r="CT243" i="37"/>
  <c r="CS244" i="37"/>
  <c r="CW224" i="37"/>
  <c r="FZ225" i="37"/>
  <c r="FL225" i="37"/>
  <c r="FT228" i="37"/>
  <c r="FF228" i="37"/>
  <c r="FK226" i="37"/>
  <c r="CV226" i="37" s="1"/>
  <c r="FX227" i="37"/>
  <c r="FY227" i="37" s="1"/>
  <c r="FJ227" i="37"/>
  <c r="FH245" i="37"/>
  <c r="FG245" i="37"/>
  <c r="FA246" i="37"/>
  <c r="FC246" i="37"/>
  <c r="FB246" i="37"/>
  <c r="FP246" i="37"/>
  <c r="CM246" i="37" s="1"/>
  <c r="FI244" i="37"/>
  <c r="FW244" i="37"/>
  <c r="FQ246" i="37"/>
  <c r="FV245" i="37"/>
  <c r="FO246" i="37"/>
  <c r="FU245" i="37"/>
  <c r="C171" i="19"/>
  <c r="H154" i="19"/>
  <c r="CL246" i="37" l="1"/>
  <c r="CQ228" i="37"/>
  <c r="CT244" i="37"/>
  <c r="CW225" i="37"/>
  <c r="CR245" i="37"/>
  <c r="CS245" i="37"/>
  <c r="CU227" i="37"/>
  <c r="CN246" i="37"/>
  <c r="FL226" i="37"/>
  <c r="FZ226" i="37"/>
  <c r="FK227" i="37"/>
  <c r="CV227" i="37" s="1"/>
  <c r="FX228" i="37"/>
  <c r="FY228" i="37" s="1"/>
  <c r="FJ228" i="37"/>
  <c r="FT229" i="37"/>
  <c r="FF229" i="37"/>
  <c r="FH246" i="37"/>
  <c r="FG246" i="37"/>
  <c r="FA247" i="37"/>
  <c r="FQ247" i="37"/>
  <c r="FB247" i="37"/>
  <c r="FP247" i="37"/>
  <c r="CM247" i="37" s="1"/>
  <c r="FI245" i="37"/>
  <c r="FW245" i="37"/>
  <c r="FC247" i="37"/>
  <c r="FV246" i="37"/>
  <c r="FU246" i="37"/>
  <c r="FO247" i="37"/>
  <c r="C172" i="19"/>
  <c r="H155" i="19"/>
  <c r="CL247" i="37" l="1"/>
  <c r="CU228" i="37"/>
  <c r="CT245" i="37"/>
  <c r="CR246" i="37"/>
  <c r="CW226" i="37"/>
  <c r="CS246" i="37"/>
  <c r="CQ229" i="37"/>
  <c r="CN247" i="37"/>
  <c r="FZ227" i="37"/>
  <c r="FT230" i="37"/>
  <c r="FF230" i="37"/>
  <c r="FK228" i="37"/>
  <c r="CV228" i="37" s="1"/>
  <c r="FL227" i="37"/>
  <c r="FJ229" i="37"/>
  <c r="FX229" i="37"/>
  <c r="FY229" i="37" s="1"/>
  <c r="FH247" i="37"/>
  <c r="FG247" i="37"/>
  <c r="FA248" i="37"/>
  <c r="FC248" i="37"/>
  <c r="FB248" i="37"/>
  <c r="FP248" i="37"/>
  <c r="CM248" i="37" s="1"/>
  <c r="FI246" i="37"/>
  <c r="FW246" i="37"/>
  <c r="FQ248" i="37"/>
  <c r="FV247" i="37"/>
  <c r="FO248" i="37"/>
  <c r="FU247" i="37"/>
  <c r="C173" i="19"/>
  <c r="H156" i="19"/>
  <c r="CL248" i="37" l="1"/>
  <c r="CW227" i="37"/>
  <c r="CQ230" i="37"/>
  <c r="CN248" i="37"/>
  <c r="CU229" i="37"/>
  <c r="CR247" i="37"/>
  <c r="CT246" i="37"/>
  <c r="CS247" i="37"/>
  <c r="FL228" i="37"/>
  <c r="FK229" i="37"/>
  <c r="CV229" i="37" s="1"/>
  <c r="FT231" i="37"/>
  <c r="FF231" i="37"/>
  <c r="FJ230" i="37"/>
  <c r="FX230" i="37"/>
  <c r="FY230" i="37" s="1"/>
  <c r="FZ228" i="37"/>
  <c r="FQ249" i="37"/>
  <c r="FC249" i="37"/>
  <c r="FB249" i="37"/>
  <c r="FP249" i="37"/>
  <c r="CM249" i="37" s="1"/>
  <c r="FI247" i="37"/>
  <c r="FW247" i="37"/>
  <c r="FH248" i="37"/>
  <c r="FG248" i="37"/>
  <c r="FA249" i="37"/>
  <c r="FV248" i="37"/>
  <c r="FU248" i="37"/>
  <c r="FO249" i="37"/>
  <c r="C174" i="19"/>
  <c r="H157" i="19"/>
  <c r="CL249" i="37" l="1"/>
  <c r="CW228" i="37"/>
  <c r="CQ231" i="37"/>
  <c r="CS248" i="37"/>
  <c r="CT247" i="37"/>
  <c r="CN249" i="37"/>
  <c r="CU230" i="37"/>
  <c r="CR248" i="37"/>
  <c r="FZ229" i="37"/>
  <c r="FK230" i="37"/>
  <c r="CV230" i="37" s="1"/>
  <c r="FJ231" i="37"/>
  <c r="FX231" i="37"/>
  <c r="FY231" i="37" s="1"/>
  <c r="FT232" i="37"/>
  <c r="FF232" i="37"/>
  <c r="FL229" i="37"/>
  <c r="FQ250" i="37"/>
  <c r="FI248" i="37"/>
  <c r="FW248" i="37"/>
  <c r="FH249" i="37"/>
  <c r="FG249" i="37"/>
  <c r="FA250" i="37"/>
  <c r="FB250" i="37"/>
  <c r="FP250" i="37"/>
  <c r="CM250" i="37" s="1"/>
  <c r="FC250" i="37"/>
  <c r="FV249" i="37"/>
  <c r="FU249" i="37"/>
  <c r="FO250" i="37"/>
  <c r="C175" i="19"/>
  <c r="H158" i="19"/>
  <c r="CL250" i="37" l="1"/>
  <c r="CN250" i="37"/>
  <c r="CT248" i="37"/>
  <c r="CR249" i="37"/>
  <c r="CW229" i="37"/>
  <c r="CU231" i="37"/>
  <c r="CS249" i="37"/>
  <c r="CQ232" i="37"/>
  <c r="FL230" i="37"/>
  <c r="FZ230" i="37"/>
  <c r="FK231" i="37"/>
  <c r="CV231" i="37" s="1"/>
  <c r="FT233" i="37"/>
  <c r="FF233" i="37"/>
  <c r="FJ232" i="37"/>
  <c r="FX232" i="37"/>
  <c r="FY232" i="37" s="1"/>
  <c r="FQ251" i="37"/>
  <c r="FH250" i="37"/>
  <c r="FG250" i="37"/>
  <c r="FA251" i="37"/>
  <c r="FB251" i="37"/>
  <c r="FP251" i="37"/>
  <c r="CM251" i="37" s="1"/>
  <c r="FC251" i="37"/>
  <c r="FI249" i="37"/>
  <c r="FW249" i="37"/>
  <c r="FU250" i="37"/>
  <c r="FV250" i="37"/>
  <c r="FO251" i="37"/>
  <c r="C176" i="19"/>
  <c r="H159" i="19"/>
  <c r="CL251" i="37" l="1"/>
  <c r="CN251" i="37"/>
  <c r="CT249" i="37"/>
  <c r="CR250" i="37"/>
  <c r="CU232" i="37"/>
  <c r="CS250" i="37"/>
  <c r="CQ233" i="37"/>
  <c r="CW230" i="37"/>
  <c r="FZ231" i="37"/>
  <c r="FL231" i="37"/>
  <c r="FT234" i="37"/>
  <c r="FF234" i="37"/>
  <c r="FK232" i="37"/>
  <c r="CV232" i="37" s="1"/>
  <c r="FJ233" i="37"/>
  <c r="FX233" i="37"/>
  <c r="FY233" i="37" s="1"/>
  <c r="FC252" i="37"/>
  <c r="FQ252" i="37"/>
  <c r="FB252" i="37"/>
  <c r="FP252" i="37"/>
  <c r="CM252" i="37" s="1"/>
  <c r="FH251" i="37"/>
  <c r="FG251" i="37"/>
  <c r="FA252" i="37"/>
  <c r="FI250" i="37"/>
  <c r="FW250" i="37"/>
  <c r="FV251" i="37"/>
  <c r="FO252" i="37"/>
  <c r="FU251" i="37"/>
  <c r="C177" i="19"/>
  <c r="H160" i="19"/>
  <c r="CL252" i="37" l="1"/>
  <c r="CW231" i="37"/>
  <c r="CT250" i="37"/>
  <c r="CU233" i="37"/>
  <c r="CR251" i="37"/>
  <c r="CS251" i="37"/>
  <c r="CQ234" i="37"/>
  <c r="CN252" i="37"/>
  <c r="FZ232" i="37"/>
  <c r="FL232" i="37"/>
  <c r="FT235" i="37"/>
  <c r="FF235" i="37"/>
  <c r="FK233" i="37"/>
  <c r="CV233" i="37" s="1"/>
  <c r="FX234" i="37"/>
  <c r="FY234" i="37" s="1"/>
  <c r="FJ234" i="37"/>
  <c r="FA253" i="37"/>
  <c r="FH252" i="37"/>
  <c r="FG252" i="37"/>
  <c r="FB253" i="37"/>
  <c r="FP253" i="37"/>
  <c r="CM253" i="37" s="1"/>
  <c r="FQ253" i="37"/>
  <c r="FI251" i="37"/>
  <c r="FW251" i="37"/>
  <c r="FC253" i="37"/>
  <c r="FU252" i="37"/>
  <c r="FV252" i="37"/>
  <c r="FO253" i="37"/>
  <c r="C178" i="19"/>
  <c r="H161" i="19"/>
  <c r="CL253" i="37" l="1"/>
  <c r="CU234" i="37"/>
  <c r="CT251" i="37"/>
  <c r="CQ235" i="37"/>
  <c r="CR252" i="37"/>
  <c r="CW232" i="37"/>
  <c r="CS252" i="37"/>
  <c r="CN253" i="37"/>
  <c r="FL233" i="37"/>
  <c r="FZ233" i="37"/>
  <c r="FK234" i="37"/>
  <c r="CV234" i="37" s="1"/>
  <c r="FX235" i="37"/>
  <c r="FY235" i="37" s="1"/>
  <c r="FJ235" i="37"/>
  <c r="FT236" i="37"/>
  <c r="FF236" i="37"/>
  <c r="FC254" i="37"/>
  <c r="FH253" i="37"/>
  <c r="FG253" i="37"/>
  <c r="FA254" i="37"/>
  <c r="FI252" i="37"/>
  <c r="FW252" i="37"/>
  <c r="FQ254" i="37"/>
  <c r="FB254" i="37"/>
  <c r="FP254" i="37"/>
  <c r="CM254" i="37" s="1"/>
  <c r="FU253" i="37"/>
  <c r="FV253" i="37"/>
  <c r="FO254" i="37"/>
  <c r="C179" i="19"/>
  <c r="H162" i="19"/>
  <c r="CL254" i="37" l="1"/>
  <c r="CT252" i="37"/>
  <c r="CR253" i="37"/>
  <c r="CS253" i="37"/>
  <c r="CU235" i="37"/>
  <c r="CW233" i="37"/>
  <c r="CQ236" i="37"/>
  <c r="CN254" i="37"/>
  <c r="FQ255" i="37"/>
  <c r="FZ234" i="37"/>
  <c r="FT237" i="37"/>
  <c r="FF237" i="37"/>
  <c r="FX236" i="37"/>
  <c r="FY236" i="37" s="1"/>
  <c r="FJ236" i="37"/>
  <c r="FK235" i="37"/>
  <c r="CV235" i="37" s="1"/>
  <c r="FL234" i="37"/>
  <c r="FC255" i="37"/>
  <c r="FB255" i="37"/>
  <c r="FP255" i="37"/>
  <c r="CM255" i="37" s="1"/>
  <c r="FH254" i="37"/>
  <c r="FG254" i="37"/>
  <c r="FA255" i="37"/>
  <c r="FI253" i="37"/>
  <c r="FW253" i="37"/>
  <c r="FU254" i="37"/>
  <c r="FV254" i="37"/>
  <c r="FO255" i="37"/>
  <c r="C180" i="19"/>
  <c r="H163" i="19"/>
  <c r="CL255" i="37" l="1"/>
  <c r="CN255" i="37"/>
  <c r="CR254" i="37"/>
  <c r="CQ237" i="37"/>
  <c r="CU236" i="37"/>
  <c r="CS254" i="37"/>
  <c r="CW234" i="37"/>
  <c r="CT253" i="37"/>
  <c r="FZ235" i="37"/>
  <c r="FJ237" i="37"/>
  <c r="FX237" i="37"/>
  <c r="FY237" i="37" s="1"/>
  <c r="FK236" i="37"/>
  <c r="CV236" i="37" s="1"/>
  <c r="FT238" i="37"/>
  <c r="FF238" i="37"/>
  <c r="FL235" i="37"/>
  <c r="FC256" i="37"/>
  <c r="FQ256" i="37"/>
  <c r="FH255" i="37"/>
  <c r="FG255" i="37"/>
  <c r="FA256" i="37"/>
  <c r="FI254" i="37"/>
  <c r="FW254" i="37"/>
  <c r="FB256" i="37"/>
  <c r="FP256" i="37"/>
  <c r="FV255" i="37"/>
  <c r="FO256" i="37"/>
  <c r="FU255" i="37"/>
  <c r="C181" i="19"/>
  <c r="H164" i="19"/>
  <c r="CM256" i="37" l="1"/>
  <c r="CL256" i="37"/>
  <c r="CN256" i="37"/>
  <c r="CT254" i="37"/>
  <c r="CW235" i="37"/>
  <c r="CR255" i="37"/>
  <c r="CS255" i="37"/>
  <c r="CQ238" i="37"/>
  <c r="CU237" i="37"/>
  <c r="FL236" i="37"/>
  <c r="FT239" i="37"/>
  <c r="FF239" i="37"/>
  <c r="FX238" i="37"/>
  <c r="FY238" i="37" s="1"/>
  <c r="FJ238" i="37"/>
  <c r="FZ236" i="37"/>
  <c r="FK237" i="37"/>
  <c r="CV237" i="37" s="1"/>
  <c r="FC257" i="37"/>
  <c r="FB257" i="37"/>
  <c r="FP257" i="37"/>
  <c r="CM257" i="37" s="1"/>
  <c r="FH256" i="37"/>
  <c r="FG256" i="37"/>
  <c r="FA257" i="37"/>
  <c r="FQ257" i="37"/>
  <c r="FI255" i="37"/>
  <c r="FW255" i="37"/>
  <c r="FU256" i="37"/>
  <c r="FV256" i="37"/>
  <c r="FO257" i="37"/>
  <c r="C182" i="19"/>
  <c r="H165" i="19"/>
  <c r="CL257" i="37" l="1"/>
  <c r="CU238" i="37"/>
  <c r="CW236" i="37"/>
  <c r="CR256" i="37"/>
  <c r="CT255" i="37"/>
  <c r="CS256" i="37"/>
  <c r="CQ239" i="37"/>
  <c r="CN257" i="37"/>
  <c r="FL237" i="37"/>
  <c r="FK238" i="37"/>
  <c r="CV238" i="37" s="1"/>
  <c r="FZ237" i="37"/>
  <c r="FJ239" i="37"/>
  <c r="FX239" i="37"/>
  <c r="FY239" i="37" s="1"/>
  <c r="FT240" i="37"/>
  <c r="FF240" i="37"/>
  <c r="FQ258" i="37"/>
  <c r="FC258" i="37"/>
  <c r="FH257" i="37"/>
  <c r="FG257" i="37"/>
  <c r="FA258" i="37"/>
  <c r="FB258" i="37"/>
  <c r="FP258" i="37"/>
  <c r="CM258" i="37" s="1"/>
  <c r="FI256" i="37"/>
  <c r="FW256" i="37"/>
  <c r="FU257" i="37"/>
  <c r="FV257" i="37"/>
  <c r="FO258" i="37"/>
  <c r="C183" i="19"/>
  <c r="H166" i="19"/>
  <c r="CL258" i="37" l="1"/>
  <c r="CT256" i="37"/>
  <c r="CR257" i="37"/>
  <c r="CQ240" i="37"/>
  <c r="CW237" i="37"/>
  <c r="CU239" i="37"/>
  <c r="CS257" i="37"/>
  <c r="CN258" i="37"/>
  <c r="FQ259" i="37"/>
  <c r="FK239" i="37"/>
  <c r="CV239" i="37" s="1"/>
  <c r="FZ238" i="37"/>
  <c r="FX240" i="37"/>
  <c r="FY240" i="37" s="1"/>
  <c r="FJ240" i="37"/>
  <c r="FT241" i="37"/>
  <c r="FF241" i="37"/>
  <c r="FL238" i="37"/>
  <c r="FH258" i="37"/>
  <c r="FG258" i="37"/>
  <c r="FA259" i="37"/>
  <c r="FB259" i="37"/>
  <c r="FP259" i="37"/>
  <c r="FI257" i="37"/>
  <c r="FW257" i="37"/>
  <c r="FC259" i="37"/>
  <c r="FU258" i="37"/>
  <c r="FV258" i="37"/>
  <c r="FO259" i="37"/>
  <c r="C184" i="19"/>
  <c r="H167" i="19"/>
  <c r="CM259" i="37" l="1"/>
  <c r="CL259" i="37"/>
  <c r="CW238" i="37"/>
  <c r="CT257" i="37"/>
  <c r="CU240" i="37"/>
  <c r="CR258" i="37"/>
  <c r="CS258" i="37"/>
  <c r="CQ241" i="37"/>
  <c r="CN259" i="37"/>
  <c r="FC260" i="37"/>
  <c r="FJ241" i="37"/>
  <c r="FX241" i="37"/>
  <c r="FY241" i="37" s="1"/>
  <c r="FL239" i="37"/>
  <c r="FT242" i="37"/>
  <c r="FF242" i="37"/>
  <c r="FK240" i="37"/>
  <c r="CV240" i="37" s="1"/>
  <c r="FZ239" i="37"/>
  <c r="FB260" i="37"/>
  <c r="FP260" i="37"/>
  <c r="FQ260" i="37"/>
  <c r="FI258" i="37"/>
  <c r="FW258" i="37"/>
  <c r="FH259" i="37"/>
  <c r="FG259" i="37"/>
  <c r="FA260" i="37"/>
  <c r="FV259" i="37"/>
  <c r="FO260" i="37"/>
  <c r="FU259" i="37"/>
  <c r="C185" i="19"/>
  <c r="H168" i="19"/>
  <c r="CM260" i="37" l="1"/>
  <c r="CL260" i="37"/>
  <c r="CR259" i="37"/>
  <c r="CS259" i="37"/>
  <c r="CQ242" i="37"/>
  <c r="CU241" i="37"/>
  <c r="CT258" i="37"/>
  <c r="CW239" i="37"/>
  <c r="CN260" i="37"/>
  <c r="FC261" i="37"/>
  <c r="FL240" i="37"/>
  <c r="FX242" i="37"/>
  <c r="FY242" i="37" s="1"/>
  <c r="FJ242" i="37"/>
  <c r="FK241" i="37"/>
  <c r="CV241" i="37" s="1"/>
  <c r="FT243" i="37"/>
  <c r="FF243" i="37"/>
  <c r="FZ240" i="37"/>
  <c r="FA261" i="37"/>
  <c r="FH260" i="37"/>
  <c r="FG260" i="37"/>
  <c r="FB261" i="37"/>
  <c r="FP261" i="37"/>
  <c r="CM261" i="37" s="1"/>
  <c r="FI259" i="37"/>
  <c r="FW259" i="37"/>
  <c r="FQ261" i="37"/>
  <c r="FU260" i="37"/>
  <c r="FV260" i="37"/>
  <c r="FO261" i="37"/>
  <c r="C186" i="19"/>
  <c r="H169" i="19"/>
  <c r="CL261" i="37" l="1"/>
  <c r="CQ243" i="37"/>
  <c r="CT259" i="37"/>
  <c r="CS260" i="37"/>
  <c r="CW240" i="37"/>
  <c r="CN261" i="37"/>
  <c r="CU242" i="37"/>
  <c r="CR260" i="37"/>
  <c r="FQ262" i="37"/>
  <c r="FL241" i="37"/>
  <c r="FZ241" i="37"/>
  <c r="FT244" i="37"/>
  <c r="FF244" i="37"/>
  <c r="FJ243" i="37"/>
  <c r="FX243" i="37"/>
  <c r="FY243" i="37" s="1"/>
  <c r="FK242" i="37"/>
  <c r="CV242" i="37" s="1"/>
  <c r="FI260" i="37"/>
  <c r="FW260" i="37"/>
  <c r="FB262" i="37"/>
  <c r="FP262" i="37"/>
  <c r="CM262" i="37" s="1"/>
  <c r="FH261" i="37"/>
  <c r="FG261" i="37"/>
  <c r="FA262" i="37"/>
  <c r="FC262" i="37"/>
  <c r="FU261" i="37"/>
  <c r="FV261" i="37"/>
  <c r="FO262" i="37"/>
  <c r="C187" i="19"/>
  <c r="H170" i="19"/>
  <c r="CL262" i="37" l="1"/>
  <c r="CR261" i="37"/>
  <c r="CN262" i="37"/>
  <c r="CU243" i="37"/>
  <c r="CW241" i="37"/>
  <c r="CS261" i="37"/>
  <c r="CT260" i="37"/>
  <c r="CQ244" i="37"/>
  <c r="FZ242" i="37"/>
  <c r="FL242" i="37"/>
  <c r="FK243" i="37"/>
  <c r="CV243" i="37" s="1"/>
  <c r="FT245" i="37"/>
  <c r="FF245" i="37"/>
  <c r="FJ244" i="37"/>
  <c r="FX244" i="37"/>
  <c r="FY244" i="37" s="1"/>
  <c r="FC263" i="37"/>
  <c r="FH262" i="37"/>
  <c r="FA263" i="37"/>
  <c r="FG262" i="37"/>
  <c r="FB263" i="37"/>
  <c r="FP263" i="37"/>
  <c r="FQ263" i="37"/>
  <c r="FI261" i="37"/>
  <c r="FW261" i="37"/>
  <c r="FU262" i="37"/>
  <c r="FV262" i="37"/>
  <c r="FO263" i="37"/>
  <c r="C188" i="19"/>
  <c r="H171" i="19"/>
  <c r="CM263" i="37" l="1"/>
  <c r="CL263" i="37"/>
  <c r="CQ245" i="37"/>
  <c r="CU244" i="37"/>
  <c r="CT261" i="37"/>
  <c r="CW242" i="37"/>
  <c r="CR262" i="37"/>
  <c r="CS262" i="37"/>
  <c r="CN263" i="37"/>
  <c r="FL243" i="37"/>
  <c r="FZ243" i="37"/>
  <c r="FK244" i="37"/>
  <c r="CV244" i="37" s="1"/>
  <c r="FT246" i="37"/>
  <c r="FF246" i="37"/>
  <c r="FJ245" i="37"/>
  <c r="FX245" i="37"/>
  <c r="FY245" i="37" s="1"/>
  <c r="FQ264" i="37"/>
  <c r="FI262" i="37"/>
  <c r="FW262" i="37"/>
  <c r="FB264" i="37"/>
  <c r="FP264" i="37"/>
  <c r="CM264" i="37" s="1"/>
  <c r="FH263" i="37"/>
  <c r="FG263" i="37"/>
  <c r="FA264" i="37"/>
  <c r="FC264" i="37"/>
  <c r="FV263" i="37"/>
  <c r="FO264" i="37"/>
  <c r="FU263" i="37"/>
  <c r="C189" i="19"/>
  <c r="H172" i="19"/>
  <c r="CL264" i="37" l="1"/>
  <c r="CN264" i="37"/>
  <c r="CT262" i="37"/>
  <c r="CQ246" i="37"/>
  <c r="CS263" i="37"/>
  <c r="CR263" i="37"/>
  <c r="CU245" i="37"/>
  <c r="CW243" i="37"/>
  <c r="FZ244" i="37"/>
  <c r="FL244" i="37"/>
  <c r="FT247" i="37"/>
  <c r="FF247" i="37"/>
  <c r="FJ246" i="37"/>
  <c r="FX246" i="37"/>
  <c r="FY246" i="37" s="1"/>
  <c r="FK245" i="37"/>
  <c r="CV245" i="37" s="1"/>
  <c r="FB265" i="37"/>
  <c r="FP265" i="37"/>
  <c r="FQ265" i="37"/>
  <c r="FI263" i="37"/>
  <c r="FW263" i="37"/>
  <c r="FG264" i="37"/>
  <c r="FH264" i="37"/>
  <c r="FA265" i="37"/>
  <c r="FC265" i="37"/>
  <c r="FU264" i="37"/>
  <c r="FV264" i="37"/>
  <c r="FO265" i="37"/>
  <c r="C190" i="19"/>
  <c r="H173" i="19"/>
  <c r="CM265" i="37" l="1"/>
  <c r="CL265" i="37"/>
  <c r="CU246" i="37"/>
  <c r="CT263" i="37"/>
  <c r="CS264" i="37"/>
  <c r="CW244" i="37"/>
  <c r="CR264" i="37"/>
  <c r="CN265" i="37"/>
  <c r="CQ247" i="37"/>
  <c r="FL245" i="37"/>
  <c r="FT248" i="37"/>
  <c r="FF248" i="37"/>
  <c r="FZ245" i="37"/>
  <c r="FJ247" i="37"/>
  <c r="FX247" i="37"/>
  <c r="FY247" i="37" s="1"/>
  <c r="FK246" i="37"/>
  <c r="CV246" i="37" s="1"/>
  <c r="FC266" i="37"/>
  <c r="FI264" i="37"/>
  <c r="FW264" i="37"/>
  <c r="FH265" i="37"/>
  <c r="FG265" i="37"/>
  <c r="FA266" i="37"/>
  <c r="FB266" i="37"/>
  <c r="FP266" i="37"/>
  <c r="CM266" i="37" s="1"/>
  <c r="FQ266" i="37"/>
  <c r="FU265" i="37"/>
  <c r="FV265" i="37"/>
  <c r="FO266" i="37"/>
  <c r="C191" i="19"/>
  <c r="H174" i="19"/>
  <c r="CL266" i="37" l="1"/>
  <c r="CW245" i="37"/>
  <c r="CT264" i="37"/>
  <c r="CU247" i="37"/>
  <c r="CR265" i="37"/>
  <c r="CS265" i="37"/>
  <c r="CQ248" i="37"/>
  <c r="CN266" i="37"/>
  <c r="FQ267" i="37"/>
  <c r="FZ246" i="37"/>
  <c r="FL246" i="37"/>
  <c r="FK247" i="37"/>
  <c r="CV247" i="37" s="1"/>
  <c r="FT249" i="37"/>
  <c r="FF249" i="37"/>
  <c r="FJ248" i="37"/>
  <c r="FX248" i="37"/>
  <c r="FY248" i="37" s="1"/>
  <c r="FC267" i="37"/>
  <c r="FH266" i="37"/>
  <c r="FG266" i="37"/>
  <c r="FA267" i="37"/>
  <c r="FI265" i="37"/>
  <c r="FW265" i="37"/>
  <c r="FB267" i="37"/>
  <c r="FP267" i="37"/>
  <c r="CM267" i="37" s="1"/>
  <c r="FU266" i="37"/>
  <c r="FO267" i="37"/>
  <c r="FV266" i="37"/>
  <c r="C192" i="19"/>
  <c r="H175" i="19"/>
  <c r="CL267" i="37" l="1"/>
  <c r="CN267" i="37"/>
  <c r="CR266" i="37"/>
  <c r="CQ249" i="37"/>
  <c r="CU248" i="37"/>
  <c r="CW246" i="37"/>
  <c r="CS266" i="37"/>
  <c r="CT265" i="37"/>
  <c r="FT250" i="37"/>
  <c r="FF250" i="37"/>
  <c r="FZ247" i="37"/>
  <c r="FK248" i="37"/>
  <c r="CV248" i="37" s="1"/>
  <c r="FJ249" i="37"/>
  <c r="FX249" i="37"/>
  <c r="FY249" i="37" s="1"/>
  <c r="FL247" i="37"/>
  <c r="FQ268" i="37"/>
  <c r="FB268" i="37"/>
  <c r="FP268" i="37"/>
  <c r="CM268" i="37" s="1"/>
  <c r="FH267" i="37"/>
  <c r="FG267" i="37"/>
  <c r="FA268" i="37"/>
  <c r="FC268" i="37"/>
  <c r="FI266" i="37"/>
  <c r="FW266" i="37"/>
  <c r="FU267" i="37"/>
  <c r="FV267" i="37"/>
  <c r="FO268" i="37"/>
  <c r="C193" i="19"/>
  <c r="H176" i="19"/>
  <c r="CL268" i="37" l="1"/>
  <c r="CW247" i="37"/>
  <c r="CQ250" i="37"/>
  <c r="CT266" i="37"/>
  <c r="CS267" i="37"/>
  <c r="CU249" i="37"/>
  <c r="CR267" i="37"/>
  <c r="CN268" i="37"/>
  <c r="FT251" i="37"/>
  <c r="FF251" i="37"/>
  <c r="FZ248" i="37"/>
  <c r="FK249" i="37"/>
  <c r="CV249" i="37" s="1"/>
  <c r="FX250" i="37"/>
  <c r="FY250" i="37" s="1"/>
  <c r="FJ250" i="37"/>
  <c r="FL248" i="37"/>
  <c r="FC269" i="37"/>
  <c r="FI267" i="37"/>
  <c r="FW267" i="37"/>
  <c r="FH268" i="37"/>
  <c r="FA269" i="37"/>
  <c r="FG268" i="37"/>
  <c r="FB269" i="37"/>
  <c r="FP269" i="37"/>
  <c r="CM269" i="37" s="1"/>
  <c r="FQ269" i="37"/>
  <c r="FV268" i="37"/>
  <c r="FU268" i="37"/>
  <c r="FO269" i="37"/>
  <c r="C194" i="19"/>
  <c r="H177" i="19"/>
  <c r="CL269" i="37" l="1"/>
  <c r="CW248" i="37"/>
  <c r="CR268" i="37"/>
  <c r="CT267" i="37"/>
  <c r="CS268" i="37"/>
  <c r="CU250" i="37"/>
  <c r="CQ251" i="37"/>
  <c r="CN269" i="37"/>
  <c r="FK250" i="37"/>
  <c r="CV250" i="37" s="1"/>
  <c r="FT252" i="37"/>
  <c r="FF252" i="37"/>
  <c r="FL249" i="37"/>
  <c r="FX251" i="37"/>
  <c r="FY251" i="37" s="1"/>
  <c r="FJ251" i="37"/>
  <c r="FZ249" i="37"/>
  <c r="FQ270" i="37"/>
  <c r="FI268" i="37"/>
  <c r="FW268" i="37"/>
  <c r="FH269" i="37"/>
  <c r="FA270" i="37"/>
  <c r="FG269" i="37"/>
  <c r="FB270" i="37"/>
  <c r="FP270" i="37"/>
  <c r="CM270" i="37" s="1"/>
  <c r="FC270" i="37"/>
  <c r="FV269" i="37"/>
  <c r="FO270" i="37"/>
  <c r="FU269" i="37"/>
  <c r="C195" i="19"/>
  <c r="H178" i="19"/>
  <c r="CL270" i="37" l="1"/>
  <c r="CN270" i="37"/>
  <c r="CS269" i="37"/>
  <c r="CU251" i="37"/>
  <c r="CT268" i="37"/>
  <c r="CR269" i="37"/>
  <c r="CW249" i="37"/>
  <c r="CQ252" i="37"/>
  <c r="FL250" i="37"/>
  <c r="FK251" i="37"/>
  <c r="CV251" i="37" s="1"/>
  <c r="FJ252" i="37"/>
  <c r="FX252" i="37"/>
  <c r="FY252" i="37" s="1"/>
  <c r="FZ250" i="37"/>
  <c r="FT253" i="37"/>
  <c r="FF253" i="37"/>
  <c r="FQ271" i="37"/>
  <c r="FC271" i="37"/>
  <c r="FI269" i="37"/>
  <c r="FW269" i="37"/>
  <c r="FH270" i="37"/>
  <c r="FG270" i="37"/>
  <c r="FA271" i="37"/>
  <c r="FB271" i="37"/>
  <c r="FP271" i="37"/>
  <c r="FV270" i="37"/>
  <c r="FO271" i="37"/>
  <c r="FU270" i="37"/>
  <c r="C196" i="19"/>
  <c r="H179" i="19"/>
  <c r="CM271" i="37" l="1"/>
  <c r="CL271" i="37"/>
  <c r="CT269" i="37"/>
  <c r="CR270" i="37"/>
  <c r="CW250" i="37"/>
  <c r="CS270" i="37"/>
  <c r="CQ253" i="37"/>
  <c r="CU252" i="37"/>
  <c r="CN271" i="37"/>
  <c r="FK252" i="37"/>
  <c r="CV252" i="37" s="1"/>
  <c r="FL251" i="37"/>
  <c r="FT254" i="37"/>
  <c r="FF254" i="37"/>
  <c r="FJ253" i="37"/>
  <c r="FX253" i="37"/>
  <c r="FY253" i="37" s="1"/>
  <c r="FZ251" i="37"/>
  <c r="FQ272" i="37"/>
  <c r="FB272" i="37"/>
  <c r="FP272" i="37"/>
  <c r="CM272" i="37" s="1"/>
  <c r="FH271" i="37"/>
  <c r="FG271" i="37"/>
  <c r="FA272" i="37"/>
  <c r="FI270" i="37"/>
  <c r="FW270" i="37"/>
  <c r="FC272" i="37"/>
  <c r="FV271" i="37"/>
  <c r="FO272" i="37"/>
  <c r="FU271" i="37"/>
  <c r="C197" i="19"/>
  <c r="H180" i="19"/>
  <c r="CL272" i="37" l="1"/>
  <c r="CN272" i="37"/>
  <c r="CU253" i="37"/>
  <c r="CR271" i="37"/>
  <c r="CQ254" i="37"/>
  <c r="CS271" i="37"/>
  <c r="CT270" i="37"/>
  <c r="CW251" i="37"/>
  <c r="FC273" i="37"/>
  <c r="FL252" i="37"/>
  <c r="FT255" i="37"/>
  <c r="FF255" i="37"/>
  <c r="FK253" i="37"/>
  <c r="CV253" i="37" s="1"/>
  <c r="FZ252" i="37"/>
  <c r="FJ254" i="37"/>
  <c r="FX254" i="37"/>
  <c r="FY254" i="37" s="1"/>
  <c r="FI271" i="37"/>
  <c r="FW271" i="37"/>
  <c r="FH272" i="37"/>
  <c r="FG272" i="37"/>
  <c r="FA273" i="37"/>
  <c r="FB273" i="37"/>
  <c r="FP273" i="37"/>
  <c r="CM273" i="37" s="1"/>
  <c r="FQ273" i="37"/>
  <c r="FV272" i="37"/>
  <c r="FO273" i="37"/>
  <c r="FU272" i="37"/>
  <c r="C198" i="19"/>
  <c r="H181" i="19"/>
  <c r="CL273" i="37" l="1"/>
  <c r="CT271" i="37"/>
  <c r="CU254" i="37"/>
  <c r="CS272" i="37"/>
  <c r="CW252" i="37"/>
  <c r="CR272" i="37"/>
  <c r="CQ255" i="37"/>
  <c r="CN273" i="37"/>
  <c r="FQ274" i="37"/>
  <c r="FT256" i="37"/>
  <c r="FF256" i="37"/>
  <c r="FZ253" i="37"/>
  <c r="FL253" i="37"/>
  <c r="FK254" i="37"/>
  <c r="CV254" i="37" s="1"/>
  <c r="FJ255" i="37"/>
  <c r="FX255" i="37"/>
  <c r="FY255" i="37" s="1"/>
  <c r="FC274" i="37"/>
  <c r="FH273" i="37"/>
  <c r="FG273" i="37"/>
  <c r="FA274" i="37"/>
  <c r="FB274" i="37"/>
  <c r="FP274" i="37"/>
  <c r="CM274" i="37" s="1"/>
  <c r="FI272" i="37"/>
  <c r="FW272" i="37"/>
  <c r="FV273" i="37"/>
  <c r="FO274" i="37"/>
  <c r="FU273" i="37"/>
  <c r="C199" i="19"/>
  <c r="H182" i="19"/>
  <c r="CL274" i="37" l="1"/>
  <c r="CN274" i="37"/>
  <c r="CT272" i="37"/>
  <c r="CU255" i="37"/>
  <c r="CQ256" i="37"/>
  <c r="CW253" i="37"/>
  <c r="CR273" i="37"/>
  <c r="CS273" i="37"/>
  <c r="FZ254" i="37"/>
  <c r="FT257" i="37"/>
  <c r="FF257" i="37"/>
  <c r="FL254" i="37"/>
  <c r="FJ256" i="37"/>
  <c r="FX256" i="37"/>
  <c r="FY256" i="37" s="1"/>
  <c r="FK255" i="37"/>
  <c r="CV255" i="37" s="1"/>
  <c r="FQ275" i="37"/>
  <c r="FB275" i="37"/>
  <c r="FP275" i="37"/>
  <c r="CM275" i="37" s="1"/>
  <c r="FI273" i="37"/>
  <c r="FW273" i="37"/>
  <c r="FH274" i="37"/>
  <c r="FG274" i="37"/>
  <c r="FA275" i="37"/>
  <c r="FC275" i="37"/>
  <c r="FV274" i="37"/>
  <c r="FO275" i="37"/>
  <c r="FU274" i="37"/>
  <c r="C200" i="19"/>
  <c r="H183" i="19"/>
  <c r="CL275" i="37" l="1"/>
  <c r="CN275" i="37"/>
  <c r="CT273" i="37"/>
  <c r="CQ257" i="37"/>
  <c r="CS274" i="37"/>
  <c r="CW254" i="37"/>
  <c r="CR274" i="37"/>
  <c r="CU256" i="37"/>
  <c r="FL255" i="37"/>
  <c r="FZ255" i="37"/>
  <c r="FK256" i="37"/>
  <c r="CV256" i="37" s="1"/>
  <c r="FT258" i="37"/>
  <c r="FF258" i="37"/>
  <c r="FJ257" i="37"/>
  <c r="FX257" i="37"/>
  <c r="FY257" i="37" s="1"/>
  <c r="FQ276" i="37"/>
  <c r="FC276" i="37"/>
  <c r="FH275" i="37"/>
  <c r="FG275" i="37"/>
  <c r="FA276" i="37"/>
  <c r="FB276" i="37"/>
  <c r="FP276" i="37"/>
  <c r="FI274" i="37"/>
  <c r="FW274" i="37"/>
  <c r="FV275" i="37"/>
  <c r="FO276" i="37"/>
  <c r="FU275" i="37"/>
  <c r="C201" i="19"/>
  <c r="H184" i="19"/>
  <c r="CM276" i="37" l="1"/>
  <c r="CL276" i="37"/>
  <c r="CT274" i="37"/>
  <c r="CN276" i="37"/>
  <c r="CQ258" i="37"/>
  <c r="CW255" i="37"/>
  <c r="CR275" i="37"/>
  <c r="CS275" i="37"/>
  <c r="CU257" i="37"/>
  <c r="FZ256" i="37"/>
  <c r="FL256" i="37"/>
  <c r="FT259" i="37"/>
  <c r="FF259" i="37"/>
  <c r="FX258" i="37"/>
  <c r="FY258" i="37" s="1"/>
  <c r="FJ258" i="37"/>
  <c r="FK257" i="37"/>
  <c r="CV257" i="37" s="1"/>
  <c r="FQ277" i="37"/>
  <c r="FI275" i="37"/>
  <c r="FW275" i="37"/>
  <c r="FA277" i="37"/>
  <c r="FH276" i="37"/>
  <c r="FG276" i="37"/>
  <c r="FB277" i="37"/>
  <c r="FP277" i="37"/>
  <c r="CM277" i="37" s="1"/>
  <c r="FC277" i="37"/>
  <c r="FV276" i="37"/>
  <c r="FO277" i="37"/>
  <c r="FU276" i="37"/>
  <c r="C202" i="19"/>
  <c r="H185" i="19"/>
  <c r="CL277" i="37" l="1"/>
  <c r="CN277" i="37"/>
  <c r="CU258" i="37"/>
  <c r="CW256" i="37"/>
  <c r="CS276" i="37"/>
  <c r="CR276" i="37"/>
  <c r="CT275" i="37"/>
  <c r="CQ259" i="37"/>
  <c r="FL257" i="37"/>
  <c r="FX259" i="37"/>
  <c r="FY259" i="37" s="1"/>
  <c r="FJ259" i="37"/>
  <c r="FT260" i="37"/>
  <c r="FF260" i="37"/>
  <c r="FK258" i="37"/>
  <c r="CV258" i="37" s="1"/>
  <c r="FZ257" i="37"/>
  <c r="FC278" i="37"/>
  <c r="FI276" i="37"/>
  <c r="FW276" i="37"/>
  <c r="FH277" i="37"/>
  <c r="FG277" i="37"/>
  <c r="FA278" i="37"/>
  <c r="FQ278" i="37"/>
  <c r="FB278" i="37"/>
  <c r="FP278" i="37"/>
  <c r="FV277" i="37"/>
  <c r="FO278" i="37"/>
  <c r="FU277" i="37"/>
  <c r="C203" i="19"/>
  <c r="H186" i="19"/>
  <c r="CM278" i="37" l="1"/>
  <c r="CL278" i="37"/>
  <c r="CU259" i="37"/>
  <c r="CT276" i="37"/>
  <c r="CQ260" i="37"/>
  <c r="CW257" i="37"/>
  <c r="CR277" i="37"/>
  <c r="CS277" i="37"/>
  <c r="CN278" i="37"/>
  <c r="FZ258" i="37"/>
  <c r="FT261" i="37"/>
  <c r="FF261" i="37"/>
  <c r="FL258" i="37"/>
  <c r="FJ260" i="37"/>
  <c r="FX260" i="37"/>
  <c r="FY260" i="37" s="1"/>
  <c r="FK259" i="37"/>
  <c r="CV259" i="37" s="1"/>
  <c r="FQ279" i="37"/>
  <c r="FC279" i="37"/>
  <c r="FH278" i="37"/>
  <c r="FG278" i="37"/>
  <c r="FA279" i="37"/>
  <c r="FI277" i="37"/>
  <c r="FW277" i="37"/>
  <c r="FB279" i="37"/>
  <c r="FP279" i="37"/>
  <c r="FV278" i="37"/>
  <c r="FO279" i="37"/>
  <c r="FU278" i="37"/>
  <c r="C204" i="19"/>
  <c r="H187" i="19"/>
  <c r="CM279" i="37" l="1"/>
  <c r="CL279" i="37"/>
  <c r="CW258" i="37"/>
  <c r="CS278" i="37"/>
  <c r="CR278" i="37"/>
  <c r="CQ261" i="37"/>
  <c r="CT277" i="37"/>
  <c r="CU260" i="37"/>
  <c r="CN279" i="37"/>
  <c r="FK260" i="37"/>
  <c r="CV260" i="37" s="1"/>
  <c r="FZ259" i="37"/>
  <c r="FL259" i="37"/>
  <c r="FX261" i="37"/>
  <c r="FY261" i="37" s="1"/>
  <c r="FJ261" i="37"/>
  <c r="FT262" i="37"/>
  <c r="FF262" i="37"/>
  <c r="FQ280" i="37"/>
  <c r="FI278" i="37"/>
  <c r="FW278" i="37"/>
  <c r="FH279" i="37"/>
  <c r="FG279" i="37"/>
  <c r="FA280" i="37"/>
  <c r="FC280" i="37"/>
  <c r="FB280" i="37"/>
  <c r="FP280" i="37"/>
  <c r="FV279" i="37"/>
  <c r="FO280" i="37"/>
  <c r="FU279" i="37"/>
  <c r="C205" i="19"/>
  <c r="H188" i="19"/>
  <c r="CM280" i="37" l="1"/>
  <c r="CL280" i="37"/>
  <c r="CT278" i="37"/>
  <c r="CU261" i="37"/>
  <c r="CQ262" i="37"/>
  <c r="CW259" i="37"/>
  <c r="CR279" i="37"/>
  <c r="CS279" i="37"/>
  <c r="CN280" i="37"/>
  <c r="FL260" i="37"/>
  <c r="FT263" i="37"/>
  <c r="FF263" i="37"/>
  <c r="FJ262" i="37"/>
  <c r="FX262" i="37"/>
  <c r="FY262" i="37" s="1"/>
  <c r="FZ260" i="37"/>
  <c r="FK261" i="37"/>
  <c r="CV261" i="37" s="1"/>
  <c r="FC281" i="37"/>
  <c r="FB281" i="37"/>
  <c r="FP281" i="37"/>
  <c r="CM281" i="37" s="1"/>
  <c r="FH280" i="37"/>
  <c r="FG280" i="37"/>
  <c r="FA281" i="37"/>
  <c r="FQ281" i="37"/>
  <c r="FI279" i="37"/>
  <c r="FW279" i="37"/>
  <c r="FV280" i="37"/>
  <c r="FO281" i="37"/>
  <c r="FU280" i="37"/>
  <c r="C206" i="19"/>
  <c r="H189" i="19"/>
  <c r="CL281" i="37" l="1"/>
  <c r="CU262" i="37"/>
  <c r="CS280" i="37"/>
  <c r="CR280" i="37"/>
  <c r="CQ263" i="37"/>
  <c r="CT279" i="37"/>
  <c r="CW260" i="37"/>
  <c r="CN281" i="37"/>
  <c r="FZ261" i="37"/>
  <c r="FL261" i="37"/>
  <c r="FJ263" i="37"/>
  <c r="FX263" i="37"/>
  <c r="FY263" i="37" s="1"/>
  <c r="FK262" i="37"/>
  <c r="CV262" i="37" s="1"/>
  <c r="FT264" i="37"/>
  <c r="FF264" i="37"/>
  <c r="FQ282" i="37"/>
  <c r="FB282" i="37"/>
  <c r="FP282" i="37"/>
  <c r="CM282" i="37" s="1"/>
  <c r="FH281" i="37"/>
  <c r="FA282" i="37"/>
  <c r="FG281" i="37"/>
  <c r="FI280" i="37"/>
  <c r="FW280" i="37"/>
  <c r="FC282" i="37"/>
  <c r="FV281" i="37"/>
  <c r="FO282" i="37"/>
  <c r="FU281" i="37"/>
  <c r="C207" i="19"/>
  <c r="H190" i="19"/>
  <c r="CL282" i="37" l="1"/>
  <c r="CN282" i="37"/>
  <c r="CQ264" i="37"/>
  <c r="CR281" i="37"/>
  <c r="CS281" i="37"/>
  <c r="CU263" i="37"/>
  <c r="CT280" i="37"/>
  <c r="CW261" i="37"/>
  <c r="FL262" i="37"/>
  <c r="FT265" i="37"/>
  <c r="FF265" i="37"/>
  <c r="FZ262" i="37"/>
  <c r="FK263" i="37"/>
  <c r="CV263" i="37" s="1"/>
  <c r="FX264" i="37"/>
  <c r="FY264" i="37" s="1"/>
  <c r="FJ264" i="37"/>
  <c r="FC283" i="37"/>
  <c r="FH282" i="37"/>
  <c r="FG282" i="37"/>
  <c r="FA283" i="37"/>
  <c r="FB283" i="37"/>
  <c r="FP283" i="37"/>
  <c r="CM283" i="37" s="1"/>
  <c r="FI281" i="37"/>
  <c r="FW281" i="37"/>
  <c r="FQ283" i="37"/>
  <c r="FV282" i="37"/>
  <c r="FO283" i="37"/>
  <c r="FU282" i="37"/>
  <c r="C208" i="19"/>
  <c r="H191" i="19"/>
  <c r="CL283" i="37" l="1"/>
  <c r="CU264" i="37"/>
  <c r="CQ265" i="37"/>
  <c r="CR282" i="37"/>
  <c r="CT281" i="37"/>
  <c r="CS282" i="37"/>
  <c r="CW262" i="37"/>
  <c r="CN283" i="37"/>
  <c r="FL263" i="37"/>
  <c r="FZ263" i="37"/>
  <c r="FX265" i="37"/>
  <c r="FY265" i="37" s="1"/>
  <c r="FJ265" i="37"/>
  <c r="FT266" i="37"/>
  <c r="FF266" i="37"/>
  <c r="FK264" i="37"/>
  <c r="CV264" i="37" s="1"/>
  <c r="FC284" i="37"/>
  <c r="FQ284" i="37"/>
  <c r="FB284" i="37"/>
  <c r="FP284" i="37"/>
  <c r="CM284" i="37" s="1"/>
  <c r="FH283" i="37"/>
  <c r="FG283" i="37"/>
  <c r="FA284" i="37"/>
  <c r="FI282" i="37"/>
  <c r="FW282" i="37"/>
  <c r="FV283" i="37"/>
  <c r="FO284" i="37"/>
  <c r="FU283" i="37"/>
  <c r="C209" i="19"/>
  <c r="H192" i="19"/>
  <c r="CL284" i="37" l="1"/>
  <c r="CW263" i="37"/>
  <c r="CU265" i="37"/>
  <c r="CT282" i="37"/>
  <c r="CS283" i="37"/>
  <c r="CQ266" i="37"/>
  <c r="CR283" i="37"/>
  <c r="CN284" i="37"/>
  <c r="FZ264" i="37"/>
  <c r="FL264" i="37"/>
  <c r="FQ285" i="37"/>
  <c r="FK265" i="37"/>
  <c r="CV265" i="37" s="1"/>
  <c r="FJ266" i="37"/>
  <c r="FX266" i="37"/>
  <c r="FY266" i="37" s="1"/>
  <c r="FT267" i="37"/>
  <c r="FF267" i="37"/>
  <c r="FB285" i="37"/>
  <c r="FP285" i="37"/>
  <c r="CM285" i="37" s="1"/>
  <c r="FC285" i="37"/>
  <c r="FG284" i="37"/>
  <c r="FA285" i="37"/>
  <c r="FH284" i="37"/>
  <c r="FI283" i="37"/>
  <c r="FW283" i="37"/>
  <c r="FV284" i="37"/>
  <c r="FO285" i="37"/>
  <c r="FU284" i="37"/>
  <c r="C210" i="19"/>
  <c r="H193" i="19"/>
  <c r="CL285" i="37" l="1"/>
  <c r="CN285" i="37"/>
  <c r="CR284" i="37"/>
  <c r="CQ267" i="37"/>
  <c r="CU266" i="37"/>
  <c r="CT283" i="37"/>
  <c r="CS284" i="37"/>
  <c r="CW264" i="37"/>
  <c r="FL265" i="37"/>
  <c r="FJ267" i="37"/>
  <c r="FX267" i="37"/>
  <c r="FY267" i="37" s="1"/>
  <c r="FK266" i="37"/>
  <c r="CV266" i="37" s="1"/>
  <c r="FT268" i="37"/>
  <c r="FF268" i="37"/>
  <c r="FZ265" i="37"/>
  <c r="FC286" i="37"/>
  <c r="FB286" i="37"/>
  <c r="FP286" i="37"/>
  <c r="CM286" i="37" s="1"/>
  <c r="FQ286" i="37"/>
  <c r="FI284" i="37"/>
  <c r="FW284" i="37"/>
  <c r="FH285" i="37"/>
  <c r="FA286" i="37"/>
  <c r="FG285" i="37"/>
  <c r="FV285" i="37"/>
  <c r="FO286" i="37"/>
  <c r="FU285" i="37"/>
  <c r="C211" i="19"/>
  <c r="H194" i="19"/>
  <c r="CL286" i="37" l="1"/>
  <c r="CW265" i="37"/>
  <c r="CS285" i="37"/>
  <c r="CQ268" i="37"/>
  <c r="CU267" i="37"/>
  <c r="CR285" i="37"/>
  <c r="CT284" i="37"/>
  <c r="CN286" i="37"/>
  <c r="FZ266" i="37"/>
  <c r="FL266" i="37"/>
  <c r="FQ287" i="37"/>
  <c r="FJ268" i="37"/>
  <c r="FX268" i="37"/>
  <c r="FY268" i="37" s="1"/>
  <c r="FT269" i="37"/>
  <c r="FF269" i="37"/>
  <c r="FK267" i="37"/>
  <c r="CV267" i="37" s="1"/>
  <c r="FC287" i="37"/>
  <c r="FH286" i="37"/>
  <c r="FA287" i="37"/>
  <c r="FG286" i="37"/>
  <c r="FI285" i="37"/>
  <c r="FW285" i="37"/>
  <c r="FB287" i="37"/>
  <c r="FP287" i="37"/>
  <c r="CM287" i="37" s="1"/>
  <c r="FV286" i="37"/>
  <c r="FO287" i="37"/>
  <c r="FU286" i="37"/>
  <c r="C212" i="19"/>
  <c r="H195" i="19"/>
  <c r="CL287" i="37" l="1"/>
  <c r="CW266" i="37"/>
  <c r="CS286" i="37"/>
  <c r="CR286" i="37"/>
  <c r="CU268" i="37"/>
  <c r="CQ269" i="37"/>
  <c r="CT285" i="37"/>
  <c r="CN287" i="37"/>
  <c r="FZ267" i="37"/>
  <c r="FT270" i="37"/>
  <c r="FF270" i="37"/>
  <c r="FX269" i="37"/>
  <c r="FY269" i="37" s="1"/>
  <c r="FJ269" i="37"/>
  <c r="FK268" i="37"/>
  <c r="CV268" i="37" s="1"/>
  <c r="FL267" i="37"/>
  <c r="FQ288" i="37"/>
  <c r="FC288" i="37"/>
  <c r="FI286" i="37"/>
  <c r="FW286" i="37"/>
  <c r="FB288" i="37"/>
  <c r="FP288" i="37"/>
  <c r="CM288" i="37" s="1"/>
  <c r="FH287" i="37"/>
  <c r="FG287" i="37"/>
  <c r="FA288" i="37"/>
  <c r="FV287" i="37"/>
  <c r="FU287" i="37"/>
  <c r="FO288" i="37"/>
  <c r="C213" i="19"/>
  <c r="H196" i="19"/>
  <c r="CL288" i="37" l="1"/>
  <c r="CW267" i="37"/>
  <c r="CN288" i="37"/>
  <c r="CS287" i="37"/>
  <c r="CT286" i="37"/>
  <c r="CR287" i="37"/>
  <c r="CQ270" i="37"/>
  <c r="CU269" i="37"/>
  <c r="FL268" i="37"/>
  <c r="FK269" i="37"/>
  <c r="CV269" i="37" s="1"/>
  <c r="FT271" i="37"/>
  <c r="FF271" i="37"/>
  <c r="FZ268" i="37"/>
  <c r="FJ270" i="37"/>
  <c r="FX270" i="37"/>
  <c r="FY270" i="37" s="1"/>
  <c r="FC289" i="37"/>
  <c r="FQ289" i="37"/>
  <c r="FB289" i="37"/>
  <c r="FP289" i="37"/>
  <c r="CM289" i="37" s="1"/>
  <c r="FH288" i="37"/>
  <c r="FG288" i="37"/>
  <c r="FA289" i="37"/>
  <c r="FI287" i="37"/>
  <c r="FW287" i="37"/>
  <c r="FV288" i="37"/>
  <c r="FO289" i="37"/>
  <c r="FU288" i="37"/>
  <c r="C214" i="19"/>
  <c r="H197" i="19"/>
  <c r="CL289" i="37" l="1"/>
  <c r="CT287" i="37"/>
  <c r="CU270" i="37"/>
  <c r="CR288" i="37"/>
  <c r="CW268" i="37"/>
  <c r="CS288" i="37"/>
  <c r="CN289" i="37"/>
  <c r="CQ271" i="37"/>
  <c r="FZ269" i="37"/>
  <c r="FJ271" i="37"/>
  <c r="FX271" i="37"/>
  <c r="FY271" i="37" s="1"/>
  <c r="FK270" i="37"/>
  <c r="CV270" i="37" s="1"/>
  <c r="FT272" i="37"/>
  <c r="FF272" i="37"/>
  <c r="FL269" i="37"/>
  <c r="FQ290" i="37"/>
  <c r="FC290" i="37"/>
  <c r="FH289" i="37"/>
  <c r="FG289" i="37"/>
  <c r="FA290" i="37"/>
  <c r="FB290" i="37"/>
  <c r="FP290" i="37"/>
  <c r="CM290" i="37" s="1"/>
  <c r="FI288" i="37"/>
  <c r="FW288" i="37"/>
  <c r="FV289" i="37"/>
  <c r="FU289" i="37"/>
  <c r="FO290" i="37"/>
  <c r="C215" i="19"/>
  <c r="H198" i="19"/>
  <c r="CL290" i="37" l="1"/>
  <c r="CS289" i="37"/>
  <c r="CQ272" i="37"/>
  <c r="CU271" i="37"/>
  <c r="CT288" i="37"/>
  <c r="CR289" i="37"/>
  <c r="CW269" i="37"/>
  <c r="CN290" i="37"/>
  <c r="FL270" i="37"/>
  <c r="FK271" i="37"/>
  <c r="CV271" i="37" s="1"/>
  <c r="FX272" i="37"/>
  <c r="FY272" i="37" s="1"/>
  <c r="FJ272" i="37"/>
  <c r="FT273" i="37"/>
  <c r="FF273" i="37"/>
  <c r="FZ270" i="37"/>
  <c r="FQ291" i="37"/>
  <c r="FH290" i="37"/>
  <c r="FG290" i="37"/>
  <c r="FA291" i="37"/>
  <c r="FI289" i="37"/>
  <c r="FW289" i="37"/>
  <c r="FB291" i="37"/>
  <c r="FP291" i="37"/>
  <c r="FC291" i="37"/>
  <c r="FV290" i="37"/>
  <c r="FO291" i="37"/>
  <c r="FU290" i="37"/>
  <c r="C216" i="19"/>
  <c r="H199" i="19"/>
  <c r="CM291" i="37" l="1"/>
  <c r="CL291" i="37"/>
  <c r="CN291" i="37"/>
  <c r="CR290" i="37"/>
  <c r="CQ273" i="37"/>
  <c r="CS290" i="37"/>
  <c r="CW270" i="37"/>
  <c r="CT289" i="37"/>
  <c r="CU272" i="37"/>
  <c r="FT274" i="37"/>
  <c r="FF274" i="37"/>
  <c r="FK272" i="37"/>
  <c r="CV272" i="37" s="1"/>
  <c r="FX273" i="37"/>
  <c r="FY273" i="37" s="1"/>
  <c r="FJ273" i="37"/>
  <c r="FZ271" i="37"/>
  <c r="FL271" i="37"/>
  <c r="FC292" i="37"/>
  <c r="FB292" i="37"/>
  <c r="FP292" i="37"/>
  <c r="CM292" i="37" s="1"/>
  <c r="FH291" i="37"/>
  <c r="FG291" i="37"/>
  <c r="FA292" i="37"/>
  <c r="FI290" i="37"/>
  <c r="FW290" i="37"/>
  <c r="FQ292" i="37"/>
  <c r="FO292" i="37"/>
  <c r="FU291" i="37"/>
  <c r="FV291" i="37"/>
  <c r="C217" i="19"/>
  <c r="H200" i="19"/>
  <c r="CL292" i="37" l="1"/>
  <c r="CQ274" i="37"/>
  <c r="CW271" i="37"/>
  <c r="CU273" i="37"/>
  <c r="CR291" i="37"/>
  <c r="CS291" i="37"/>
  <c r="CT290" i="37"/>
  <c r="CN292" i="37"/>
  <c r="FZ272" i="37"/>
  <c r="FL272" i="37"/>
  <c r="FK273" i="37"/>
  <c r="CV273" i="37" s="1"/>
  <c r="FJ274" i="37"/>
  <c r="FX274" i="37"/>
  <c r="FY274" i="37" s="1"/>
  <c r="FT275" i="37"/>
  <c r="FF275" i="37"/>
  <c r="FH292" i="37"/>
  <c r="FG292" i="37"/>
  <c r="FI291" i="37"/>
  <c r="FW291" i="37"/>
  <c r="FU292" i="37"/>
  <c r="FV292" i="37"/>
  <c r="H201" i="19"/>
  <c r="CQ275" i="37" l="1"/>
  <c r="CS292" i="37"/>
  <c r="CU274" i="37"/>
  <c r="CT291" i="37"/>
  <c r="CW272" i="37"/>
  <c r="CR292" i="37"/>
  <c r="FL273" i="37"/>
  <c r="FT276" i="37"/>
  <c r="FF276" i="37"/>
  <c r="FZ273" i="37"/>
  <c r="FX275" i="37"/>
  <c r="FY275" i="37" s="1"/>
  <c r="FJ275" i="37"/>
  <c r="FK274" i="37"/>
  <c r="CV274" i="37" s="1"/>
  <c r="FI292" i="37"/>
  <c r="FW292" i="37"/>
  <c r="H202" i="19"/>
  <c r="CT292" i="37" l="1"/>
  <c r="CQ276" i="37"/>
  <c r="CW273" i="37"/>
  <c r="CU275" i="37"/>
  <c r="FZ274" i="37"/>
  <c r="FL274" i="37"/>
  <c r="FT277" i="37"/>
  <c r="FF277" i="37"/>
  <c r="FK275" i="37"/>
  <c r="CV275" i="37" s="1"/>
  <c r="FJ276" i="37"/>
  <c r="FX276" i="37"/>
  <c r="FY276" i="37" s="1"/>
  <c r="H203" i="19"/>
  <c r="CQ277" i="37" l="1"/>
  <c r="CU276" i="37"/>
  <c r="CW274" i="37"/>
  <c r="FL275" i="37"/>
  <c r="FZ275" i="37"/>
  <c r="FJ277" i="37"/>
  <c r="FX277" i="37"/>
  <c r="FY277" i="37" s="1"/>
  <c r="FT278" i="37"/>
  <c r="FF278" i="37"/>
  <c r="FK276" i="37"/>
  <c r="CV276" i="37" s="1"/>
  <c r="H204" i="19"/>
  <c r="CQ278" i="37" l="1"/>
  <c r="CU277" i="37"/>
  <c r="CW275" i="37"/>
  <c r="FZ276" i="37"/>
  <c r="FL276" i="37"/>
  <c r="FK277" i="37"/>
  <c r="CV277" i="37" s="1"/>
  <c r="FT279" i="37"/>
  <c r="FF279" i="37"/>
  <c r="FX278" i="37"/>
  <c r="FY278" i="37" s="1"/>
  <c r="FJ278" i="37"/>
  <c r="H205" i="19"/>
  <c r="CQ279" i="37" l="1"/>
  <c r="CW276" i="37"/>
  <c r="CU278" i="37"/>
  <c r="FT280" i="37"/>
  <c r="FF280" i="37"/>
  <c r="FX279" i="37"/>
  <c r="FY279" i="37" s="1"/>
  <c r="FJ279" i="37"/>
  <c r="FK278" i="37"/>
  <c r="CV278" i="37" s="1"/>
  <c r="FL277" i="37"/>
  <c r="FZ277" i="37"/>
  <c r="H206" i="19"/>
  <c r="CU279" i="37" l="1"/>
  <c r="CW277" i="37"/>
  <c r="CQ280" i="37"/>
  <c r="FZ278" i="37"/>
  <c r="FL278" i="37"/>
  <c r="FK279" i="37"/>
  <c r="CV279" i="37" s="1"/>
  <c r="FJ280" i="37"/>
  <c r="FX280" i="37"/>
  <c r="FY280" i="37" s="1"/>
  <c r="FT281" i="37"/>
  <c r="FF281" i="37"/>
  <c r="H207" i="19"/>
  <c r="CQ281" i="37" l="1"/>
  <c r="CW278" i="37"/>
  <c r="CU280" i="37"/>
  <c r="FZ279" i="37"/>
  <c r="FJ281" i="37"/>
  <c r="FX281" i="37"/>
  <c r="FY281" i="37" s="1"/>
  <c r="FK280" i="37"/>
  <c r="CV280" i="37" s="1"/>
  <c r="FT282" i="37"/>
  <c r="FF282" i="37"/>
  <c r="FL279" i="37"/>
  <c r="H208" i="19"/>
  <c r="CQ282" i="37" l="1"/>
  <c r="CU281" i="37"/>
  <c r="CW279" i="37"/>
  <c r="FL280" i="37"/>
  <c r="FT283" i="37"/>
  <c r="FF283" i="37"/>
  <c r="FX282" i="37"/>
  <c r="FY282" i="37" s="1"/>
  <c r="FJ282" i="37"/>
  <c r="FK281" i="37"/>
  <c r="CV281" i="37" s="1"/>
  <c r="FZ280" i="37"/>
  <c r="H209" i="19"/>
  <c r="CU282" i="37" l="1"/>
  <c r="CW280" i="37"/>
  <c r="CQ283" i="37"/>
  <c r="FX283" i="37"/>
  <c r="FY283" i="37" s="1"/>
  <c r="FJ283" i="37"/>
  <c r="FT284" i="37"/>
  <c r="FF284" i="37"/>
  <c r="FK282" i="37"/>
  <c r="CV282" i="37" s="1"/>
  <c r="FZ281" i="37"/>
  <c r="FL281" i="37"/>
  <c r="H210" i="19"/>
  <c r="CW281" i="37" l="1"/>
  <c r="CU283" i="37"/>
  <c r="CQ284" i="37"/>
  <c r="FL282" i="37"/>
  <c r="FT285" i="37"/>
  <c r="FF285" i="37"/>
  <c r="FZ282" i="37"/>
  <c r="FK283" i="37"/>
  <c r="CV283" i="37" s="1"/>
  <c r="FJ284" i="37"/>
  <c r="FX284" i="37"/>
  <c r="FY284" i="37" s="1"/>
  <c r="H211" i="19"/>
  <c r="CW282" i="37" l="1"/>
  <c r="CQ285" i="37"/>
  <c r="CU284" i="37"/>
  <c r="FJ285" i="37"/>
  <c r="FX285" i="37"/>
  <c r="FY285" i="37" s="1"/>
  <c r="FZ283" i="37"/>
  <c r="FK284" i="37"/>
  <c r="CV284" i="37" s="1"/>
  <c r="FT286" i="37"/>
  <c r="FF286" i="37"/>
  <c r="FL283" i="37"/>
  <c r="H212" i="19"/>
  <c r="CW283" i="37" l="1"/>
  <c r="CQ286" i="37"/>
  <c r="CU285" i="37"/>
  <c r="FL284" i="37"/>
  <c r="FZ284" i="37"/>
  <c r="FJ286" i="37"/>
  <c r="FX286" i="37"/>
  <c r="FY286" i="37" s="1"/>
  <c r="FT287" i="37"/>
  <c r="FF287" i="37"/>
  <c r="FK285" i="37"/>
  <c r="CV285" i="37" s="1"/>
  <c r="H213" i="19"/>
  <c r="CQ287" i="37" l="1"/>
  <c r="CU286" i="37"/>
  <c r="CW284" i="37"/>
  <c r="FZ285" i="37"/>
  <c r="FJ287" i="37"/>
  <c r="FX287" i="37"/>
  <c r="FY287" i="37" s="1"/>
  <c r="FT288" i="37"/>
  <c r="FF288" i="37"/>
  <c r="FL285" i="37"/>
  <c r="FK286" i="37"/>
  <c r="CV286" i="37" s="1"/>
  <c r="H214" i="19"/>
  <c r="CQ288" i="37" l="1"/>
  <c r="CW285" i="37"/>
  <c r="CU287" i="37"/>
  <c r="FL286" i="37"/>
  <c r="FJ288" i="37"/>
  <c r="FX288" i="37"/>
  <c r="FY288" i="37" s="1"/>
  <c r="FT289" i="37"/>
  <c r="FF289" i="37"/>
  <c r="FZ286" i="37"/>
  <c r="FK287" i="37"/>
  <c r="CV287" i="37" s="1"/>
  <c r="H215" i="19"/>
  <c r="CU288" i="37" l="1"/>
  <c r="CQ289" i="37"/>
  <c r="CW286" i="37"/>
  <c r="FT290" i="37"/>
  <c r="FF290" i="37"/>
  <c r="FZ287" i="37"/>
  <c r="FL287" i="37"/>
  <c r="FX289" i="37"/>
  <c r="FY289" i="37" s="1"/>
  <c r="FJ289" i="37"/>
  <c r="FK288" i="37"/>
  <c r="CV288" i="37" s="1"/>
  <c r="H216" i="19"/>
  <c r="CW287" i="37" l="1"/>
  <c r="CU289" i="37"/>
  <c r="CQ290" i="37"/>
  <c r="FZ288" i="37"/>
  <c r="FK289" i="37"/>
  <c r="CV289" i="37" s="1"/>
  <c r="FT291" i="37"/>
  <c r="FF291" i="37"/>
  <c r="FL288" i="37"/>
  <c r="FJ290" i="37"/>
  <c r="FX290" i="37"/>
  <c r="FY290" i="37" s="1"/>
  <c r="H217" i="19"/>
  <c r="CW288" i="37" l="1"/>
  <c r="CQ291" i="37"/>
  <c r="CU290" i="37"/>
  <c r="FZ289" i="37"/>
  <c r="FT292" i="37"/>
  <c r="FF292" i="37"/>
  <c r="FL289" i="37"/>
  <c r="FK290" i="37"/>
  <c r="CV290" i="37" s="1"/>
  <c r="FJ291" i="37"/>
  <c r="FX291" i="37"/>
  <c r="FY291" i="37" s="1"/>
  <c r="F61" i="33"/>
  <c r="F75" i="33"/>
  <c r="F63" i="33"/>
  <c r="F58" i="33"/>
  <c r="CL56" i="37" l="1"/>
  <c r="CF56" i="37"/>
  <c r="CW289" i="37"/>
  <c r="CU291" i="37"/>
  <c r="CQ292" i="37"/>
  <c r="CL69" i="37"/>
  <c r="FZ290" i="37"/>
  <c r="FK291" i="37"/>
  <c r="CV291" i="37" s="1"/>
  <c r="FL290" i="37"/>
  <c r="FJ292" i="37"/>
  <c r="FX292" i="37"/>
  <c r="FY292" i="37" s="1"/>
  <c r="CF60" i="37" l="1"/>
  <c r="CL58" i="37"/>
  <c r="CL60" i="37"/>
  <c r="CL57" i="37"/>
  <c r="CF69" i="37"/>
  <c r="CU292" i="37"/>
  <c r="CW290" i="37"/>
  <c r="FZ291" i="37"/>
  <c r="FK292" i="37"/>
  <c r="CV292" i="37" s="1"/>
  <c r="FL291" i="37"/>
  <c r="CF62" i="37" l="1"/>
  <c r="CL62" i="37"/>
  <c r="CL77" i="37"/>
  <c r="CF77" i="37"/>
  <c r="CF58" i="37"/>
  <c r="CW291" i="37"/>
  <c r="FZ292" i="37"/>
  <c r="CQ161" i="37"/>
  <c r="CR161" i="37"/>
  <c r="CH161" i="37"/>
  <c r="CS161" i="37"/>
  <c r="CI161" i="37"/>
  <c r="CT161" i="37"/>
  <c r="CU161" i="37"/>
  <c r="CJ161" i="37"/>
  <c r="CV161" i="37"/>
  <c r="CK161" i="37"/>
  <c r="CW161" i="37"/>
  <c r="CX161" i="37"/>
  <c r="FL292" i="37"/>
  <c r="CF57" i="37" l="1"/>
  <c r="CL72" i="37"/>
  <c r="CW292" i="37"/>
  <c r="C232" i="19"/>
  <c r="CH162" i="37" s="1"/>
  <c r="CM161" i="37"/>
  <c r="CL161" i="37"/>
  <c r="CG161" i="37"/>
  <c r="CF161" i="37"/>
  <c r="CH166" i="37"/>
  <c r="CD66" i="37"/>
  <c r="CD67" i="37"/>
  <c r="CF72" i="37" l="1"/>
  <c r="CF78" i="37"/>
  <c r="CL78" i="37"/>
  <c r="CH163" i="37"/>
  <c r="CD166" i="37"/>
  <c r="CJ75" i="37"/>
  <c r="D97" i="33" l="1"/>
  <c r="D98" i="33" s="1"/>
  <c r="CD75" i="37"/>
  <c r="B49" i="45"/>
  <c r="CD163" i="37"/>
  <c r="CD162" i="37"/>
  <c r="F66" i="33"/>
  <c r="D99" i="33" l="1"/>
  <c r="E73" i="33" s="1"/>
  <c r="E68" i="33"/>
  <c r="F65" i="33" l="1"/>
  <c r="F67" i="33" s="1"/>
  <c r="F68" i="33" s="1"/>
  <c r="F73" i="33"/>
  <c r="CE67" i="37"/>
  <c r="CK66" i="37"/>
  <c r="CK67" i="37"/>
  <c r="F69" i="33" l="1"/>
  <c r="CE66" i="37"/>
  <c r="CE75" i="37"/>
  <c r="CK75" i="37"/>
  <c r="E97" i="33" l="1"/>
  <c r="E79" i="33" l="1"/>
  <c r="F79" i="33" s="1"/>
  <c r="CK80" i="37"/>
  <c r="E98" i="33"/>
  <c r="F98" i="33" s="1"/>
  <c r="CK74" i="37"/>
  <c r="CE80" i="37"/>
  <c r="E45" i="48"/>
  <c r="E46" i="48" s="1"/>
  <c r="E47" i="48" s="1"/>
  <c r="E53" i="48" l="1"/>
  <c r="CD115" i="37" s="1"/>
  <c r="E56" i="48"/>
  <c r="CD116" i="37" s="1"/>
  <c r="CE74" i="37"/>
  <c r="CK68" i="37"/>
  <c r="CJ116" i="37"/>
  <c r="CJ115" i="37"/>
  <c r="CF63" i="37" l="1"/>
  <c r="CE68" i="37"/>
  <c r="E58" i="48"/>
  <c r="CL63" i="37"/>
  <c r="E61" i="48" l="1"/>
  <c r="CL64" i="37"/>
  <c r="CF64" i="37"/>
  <c r="E52" i="48" l="1"/>
  <c r="CD118" i="37"/>
  <c r="CJ114" i="37"/>
  <c r="E62" i="48"/>
  <c r="E63" i="48" s="1"/>
  <c r="CL65" i="37"/>
  <c r="CL67" i="37"/>
  <c r="E50" i="48" l="1"/>
  <c r="CJ112" i="37"/>
  <c r="CD114" i="37"/>
  <c r="CF75" i="37"/>
  <c r="CF65" i="37"/>
  <c r="F44" i="48" l="1"/>
  <c r="CK111" i="37"/>
  <c r="CD112" i="37"/>
  <c r="CL75" i="37"/>
  <c r="CL79" i="37"/>
  <c r="CF67" i="37"/>
  <c r="CF79" i="37"/>
  <c r="CE111" i="37" l="1"/>
  <c r="F45" i="48"/>
  <c r="F46" i="48" s="1"/>
  <c r="F47" i="48" s="1"/>
  <c r="CF74" i="37"/>
  <c r="CL74" i="37"/>
  <c r="CF80" i="37"/>
  <c r="CL80" i="37"/>
  <c r="F56" i="48" l="1"/>
  <c r="F53" i="48"/>
  <c r="CK116" i="37"/>
  <c r="CK115" i="37"/>
  <c r="CL68" i="37"/>
  <c r="CF68" i="37"/>
  <c r="CE115" i="37" l="1"/>
  <c r="F58" i="48"/>
  <c r="CE116" i="37"/>
  <c r="F61" i="48" l="1"/>
  <c r="AC99" i="19"/>
  <c r="CE118" i="37" l="1"/>
  <c r="F62" i="48"/>
  <c r="F63" i="48" s="1"/>
  <c r="CK114" i="37"/>
  <c r="F52" i="48"/>
  <c r="CE114" i="37" l="1"/>
  <c r="F50" i="48"/>
  <c r="CK112" i="37"/>
  <c r="G44" i="48" l="1"/>
  <c r="CE112" i="37"/>
  <c r="CL111" i="37"/>
  <c r="G45" i="48" l="1"/>
  <c r="G46" i="48" s="1"/>
  <c r="G47" i="48" s="1"/>
  <c r="CF111" i="37"/>
  <c r="H60" i="32"/>
  <c r="CH81" i="37" s="1"/>
  <c r="G56" i="48" l="1"/>
  <c r="G53" i="48"/>
  <c r="CL116" i="37"/>
  <c r="CL115" i="37"/>
  <c r="CF115" i="37" l="1"/>
  <c r="CF116" i="37"/>
  <c r="G58" i="48"/>
  <c r="G61" i="48" l="1"/>
  <c r="CF118" i="37" l="1"/>
  <c r="G62" i="48"/>
  <c r="G63" i="48" s="1"/>
  <c r="G52" i="48"/>
  <c r="CL114" i="37"/>
  <c r="G50" i="48" l="1"/>
  <c r="CL112" i="37"/>
  <c r="CF114" i="37"/>
  <c r="H44" i="48" l="1"/>
  <c r="CF112" i="37"/>
  <c r="CM111" i="37"/>
  <c r="CG111" i="37" l="1"/>
  <c r="H45" i="48"/>
  <c r="H46" i="48" s="1"/>
  <c r="H47" i="48" s="1"/>
  <c r="H56" i="48" l="1"/>
  <c r="CM116" i="37"/>
  <c r="H53" i="48"/>
  <c r="CM115" i="37"/>
  <c r="CG115" i="37" l="1"/>
  <c r="CG116" i="37"/>
  <c r="H58" i="48"/>
  <c r="H61" i="48" s="1"/>
  <c r="E104" i="43"/>
  <c r="E100" i="43"/>
  <c r="CP134" i="37"/>
  <c r="CG118" i="37" l="1"/>
  <c r="H62" i="48"/>
  <c r="H63" i="48" s="1"/>
  <c r="CM114" i="37"/>
  <c r="H52" i="48"/>
  <c r="CG114" i="37" s="1"/>
  <c r="CE134" i="37"/>
  <c r="CQ134" i="37"/>
  <c r="CE132" i="37"/>
  <c r="F104" i="43"/>
  <c r="F131" i="43" s="1"/>
  <c r="F100" i="43"/>
  <c r="E131" i="43"/>
  <c r="CQ132" i="37"/>
  <c r="CR129" i="37"/>
  <c r="CM112" i="37" l="1"/>
  <c r="H50" i="48"/>
  <c r="CF134" i="37"/>
  <c r="CS129" i="37"/>
  <c r="CR132" i="37"/>
  <c r="CE129" i="37"/>
  <c r="CG112" i="37" l="1"/>
  <c r="CN111" i="37"/>
  <c r="I44" i="48"/>
  <c r="CQ130" i="37"/>
  <c r="E72" i="43"/>
  <c r="CQ133" i="37"/>
  <c r="CE130" i="37"/>
  <c r="CE133" i="37"/>
  <c r="E129" i="43"/>
  <c r="CR134" i="37"/>
  <c r="CF132" i="37"/>
  <c r="G104" i="43"/>
  <c r="E128" i="43"/>
  <c r="CF129" i="37"/>
  <c r="G100" i="43"/>
  <c r="I45" i="48" l="1"/>
  <c r="I46" i="48" s="1"/>
  <c r="I47" i="48" s="1"/>
  <c r="CH111" i="37"/>
  <c r="CR130" i="37"/>
  <c r="CG134" i="37"/>
  <c r="E127" i="43"/>
  <c r="CF133" i="37"/>
  <c r="F129" i="43"/>
  <c r="CR133" i="37"/>
  <c r="CF130" i="37"/>
  <c r="F72" i="43"/>
  <c r="CT129" i="37"/>
  <c r="CS132" i="37"/>
  <c r="G131" i="43"/>
  <c r="F128" i="43"/>
  <c r="CN116" i="37" l="1"/>
  <c r="I56" i="48"/>
  <c r="CN115" i="37"/>
  <c r="I53" i="48"/>
  <c r="CH115" i="37" s="1"/>
  <c r="CQ135" i="37"/>
  <c r="CG129" i="37"/>
  <c r="H104" i="43"/>
  <c r="H131" i="43" s="1"/>
  <c r="F127" i="43"/>
  <c r="CR135" i="37" s="1"/>
  <c r="H100" i="43"/>
  <c r="CE135" i="37"/>
  <c r="CS134" i="37"/>
  <c r="CG132" i="37"/>
  <c r="CT132" i="37" l="1"/>
  <c r="I58" i="48"/>
  <c r="I61" i="48" s="1"/>
  <c r="CH116" i="37"/>
  <c r="CU129" i="37"/>
  <c r="CS130" i="37"/>
  <c r="G128" i="43"/>
  <c r="CG130" i="37"/>
  <c r="CS133" i="37"/>
  <c r="G72" i="43"/>
  <c r="CH129" i="37"/>
  <c r="CH118" i="37" l="1"/>
  <c r="I62" i="48"/>
  <c r="I63" i="48" s="1"/>
  <c r="B66" i="48" s="1"/>
  <c r="I52" i="48"/>
  <c r="CH114" i="37" s="1"/>
  <c r="CN114" i="37"/>
  <c r="CF135" i="37"/>
  <c r="CT130" i="37"/>
  <c r="H72" i="43"/>
  <c r="CH134" i="37"/>
  <c r="I100" i="43"/>
  <c r="CH132" i="37"/>
  <c r="CT134" i="37"/>
  <c r="I104" i="43"/>
  <c r="I131" i="43" s="1"/>
  <c r="CH130" i="37"/>
  <c r="CH133" i="37"/>
  <c r="H129" i="43"/>
  <c r="CT133" i="37"/>
  <c r="CG133" i="37"/>
  <c r="G129" i="43"/>
  <c r="G127" i="43" s="1"/>
  <c r="H128" i="43"/>
  <c r="CD119" i="37" l="1"/>
  <c r="C80" i="48"/>
  <c r="I50" i="48"/>
  <c r="CH112" i="37" s="1"/>
  <c r="CN112" i="37"/>
  <c r="CJ119" i="37"/>
  <c r="H127" i="43"/>
  <c r="CH135" i="37" s="1"/>
  <c r="CU132" i="37"/>
  <c r="CV129" i="37"/>
  <c r="CS135" i="37"/>
  <c r="CT135" i="37" l="1"/>
  <c r="CI134" i="37"/>
  <c r="J104" i="43"/>
  <c r="CI132" i="37"/>
  <c r="CU134" i="37"/>
  <c r="J100" i="43"/>
  <c r="CI129" i="37"/>
  <c r="CG135" i="37"/>
  <c r="CU130" i="37" l="1"/>
  <c r="CU133" i="37"/>
  <c r="CI130" i="37"/>
  <c r="K104" i="43"/>
  <c r="CV132" i="37"/>
  <c r="CW129" i="37"/>
  <c r="I72" i="43"/>
  <c r="I128" i="43"/>
  <c r="J131" i="43"/>
  <c r="K100" i="43" l="1"/>
  <c r="CV133" i="37"/>
  <c r="CJ130" i="37"/>
  <c r="CJ134" i="37"/>
  <c r="CJ132" i="37"/>
  <c r="CV134" i="37"/>
  <c r="CI133" i="37"/>
  <c r="I129" i="43"/>
  <c r="I127" i="43" s="1"/>
  <c r="K131" i="43"/>
  <c r="CJ129" i="37"/>
  <c r="J72" i="43"/>
  <c r="CW132" i="37" l="1"/>
  <c r="L104" i="43"/>
  <c r="L131" i="43" s="1"/>
  <c r="CX129" i="37"/>
  <c r="CV130" i="37"/>
  <c r="CU135" i="37"/>
  <c r="J128" i="43"/>
  <c r="CK129" i="37"/>
  <c r="K72" i="43"/>
  <c r="J129" i="43"/>
  <c r="CJ133" i="37"/>
  <c r="CI135" i="37" l="1"/>
  <c r="CK132" i="37"/>
  <c r="CW134" i="37"/>
  <c r="CK134" i="37"/>
  <c r="L100" i="43"/>
  <c r="CW130" i="37"/>
  <c r="CK130" i="37"/>
  <c r="CW133" i="37"/>
  <c r="K128" i="43"/>
  <c r="J127" i="43"/>
  <c r="CL129" i="37"/>
  <c r="CX132" i="37" l="1"/>
  <c r="M100" i="43"/>
  <c r="CY129" i="37"/>
  <c r="CX130" i="37"/>
  <c r="CV135" i="37"/>
  <c r="CJ135" i="37"/>
  <c r="K129" i="43"/>
  <c r="K127" i="43" s="1"/>
  <c r="CK133" i="37"/>
  <c r="CX133" i="37"/>
  <c r="CL130" i="37"/>
  <c r="L72" i="43"/>
  <c r="L128" i="43"/>
  <c r="CM129" i="37"/>
  <c r="CY132" i="37" l="1"/>
  <c r="M104" i="43"/>
  <c r="M131" i="43" s="1"/>
  <c r="CX134" i="37"/>
  <c r="CL132" i="37"/>
  <c r="CL134" i="37"/>
  <c r="CY130" i="37"/>
  <c r="CY133" i="37"/>
  <c r="M72" i="43"/>
  <c r="CM130" i="37"/>
  <c r="CW135" i="37"/>
  <c r="CK135" i="37"/>
  <c r="L129" i="43"/>
  <c r="L127" i="43" s="1"/>
  <c r="CL133" i="37"/>
  <c r="M128" i="43"/>
  <c r="CM132" i="37" l="1"/>
  <c r="CM134" i="37"/>
  <c r="CY134" i="37"/>
  <c r="CL135" i="37"/>
  <c r="CX135" i="37"/>
  <c r="CM133" i="37"/>
  <c r="M129" i="43"/>
  <c r="M127" i="43" s="1"/>
  <c r="CY135" i="37" l="1"/>
  <c r="CM136" i="37" l="1"/>
  <c r="CM135" i="37"/>
  <c r="CZ135" i="37"/>
  <c r="CN135" i="37" l="1"/>
  <c r="CM137" i="37"/>
  <c r="B37" i="45" l="1"/>
  <c r="CD136" i="37"/>
  <c r="CD137" i="37"/>
  <c r="M107" i="50" l="1"/>
  <c r="B112" i="50"/>
  <c r="D68" i="33"/>
  <c r="CJ67" i="37" s="1"/>
  <c r="CD64" i="37"/>
  <c r="CJ66" i="3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<sst xmlns="http://schemas.openxmlformats.org/spreadsheetml/2006/main" count="2064" uniqueCount="1607">
  <si>
    <t>Other Income (Expense)</t>
    <phoneticPr fontId="70" type="noConversion"/>
  </si>
  <si>
    <r>
      <t xml:space="preserve">Common </t>
    </r>
    <r>
      <rPr>
        <sz val="10"/>
        <color indexed="8"/>
        <rFont val="Calibri"/>
        <family val="2"/>
      </rPr>
      <t xml:space="preserve">Dividends </t>
    </r>
    <phoneticPr fontId="70" type="noConversion"/>
  </si>
  <si>
    <t>Preferred Dividends</t>
    <phoneticPr fontId="70" type="noConversion"/>
  </si>
  <si>
    <t>Gross Income - R&amp;D - SG&amp;A - Other Operating Expenses</t>
    <phoneticPr fontId="70" type="noConversion"/>
  </si>
  <si>
    <t>Non-Cash Net Trade Working Capital</t>
    <phoneticPr fontId="70" type="noConversion"/>
  </si>
  <si>
    <t>Noncurrent Assets</t>
    <phoneticPr fontId="70" type="noConversion"/>
  </si>
  <si>
    <t>Current Assets</t>
    <phoneticPr fontId="70" type="noConversion"/>
  </si>
  <si>
    <t>Operating Cash + Accounts Receivable + Inventories + Other Current Assets</t>
    <phoneticPr fontId="70" type="noConversion"/>
  </si>
  <si>
    <t>Accounts Payable + Other Current Liabilities</t>
    <phoneticPr fontId="70" type="noConversion"/>
  </si>
  <si>
    <t>Current Assets - Current Liabilities</t>
    <phoneticPr fontId="70" type="noConversion"/>
  </si>
  <si>
    <t>Depreciation</t>
    <phoneticPr fontId="70" type="noConversion"/>
  </si>
  <si>
    <t>Prior PP&amp;E</t>
    <phoneticPr fontId="70" type="noConversion"/>
  </si>
  <si>
    <t>Depreciation Percent of PP&amp;E</t>
    <phoneticPr fontId="70" type="noConversion"/>
  </si>
  <si>
    <t>STATEMENT</t>
    <phoneticPr fontId="70" type="noConversion"/>
  </si>
  <si>
    <t>BALANCE</t>
    <phoneticPr fontId="70" type="noConversion"/>
  </si>
  <si>
    <t>SHEET</t>
    <phoneticPr fontId="70" type="noConversion"/>
  </si>
  <si>
    <t>Pretax Income</t>
    <phoneticPr fontId="70" type="noConversion"/>
  </si>
  <si>
    <t>Net Income</t>
    <phoneticPr fontId="70" type="noConversion"/>
  </si>
  <si>
    <t>Growth Rate</t>
    <phoneticPr fontId="70" type="noConversion"/>
  </si>
  <si>
    <t>Prior Period Revenues</t>
    <phoneticPr fontId="70" type="noConversion"/>
  </si>
  <si>
    <t xml:space="preserve">Dependent Account </t>
    <phoneticPr fontId="70" type="noConversion"/>
  </si>
  <si>
    <t>(primary driver)</t>
    <phoneticPr fontId="70" type="noConversion"/>
  </si>
  <si>
    <t>added to prior Equity balance</t>
    <phoneticPr fontId="70" type="noConversion"/>
  </si>
  <si>
    <t>Equity</t>
    <phoneticPr fontId="70" type="noConversion"/>
  </si>
  <si>
    <t>calculated by reducing Revenues by Expenses</t>
    <phoneticPr fontId="70" type="noConversion"/>
  </si>
  <si>
    <t>Cash Flow from Operating</t>
    <phoneticPr fontId="70" type="noConversion"/>
  </si>
  <si>
    <t>Common Link</t>
    <phoneticPr fontId="70" type="noConversion"/>
  </si>
  <si>
    <t>Account</t>
    <phoneticPr fontId="70" type="noConversion"/>
  </si>
  <si>
    <t>Linked</t>
    <phoneticPr fontId="70" type="noConversion"/>
  </si>
  <si>
    <t>Explanation</t>
    <phoneticPr fontId="70" type="noConversion"/>
  </si>
  <si>
    <t>Activities (CFO)</t>
    <phoneticPr fontId="70" type="noConversion"/>
  </si>
  <si>
    <t xml:space="preserve">Property, Plant &amp; </t>
    <phoneticPr fontId="70" type="noConversion"/>
  </si>
  <si>
    <t>Equipment (PP&amp;E)</t>
  </si>
  <si>
    <r>
      <t>Capital Expenditures (C</t>
    </r>
    <r>
      <rPr>
        <sz val="10"/>
        <color indexed="8"/>
        <rFont val="Calibri"/>
        <family val="2"/>
      </rPr>
      <t>ap</t>
    </r>
    <r>
      <rPr>
        <sz val="10"/>
        <color indexed="8"/>
        <rFont val="Calibri"/>
        <family val="2"/>
      </rPr>
      <t>E</t>
    </r>
    <r>
      <rPr>
        <sz val="10"/>
        <color indexed="8"/>
        <rFont val="Calibri"/>
        <family val="2"/>
      </rPr>
      <t>x</t>
    </r>
    <r>
      <rPr>
        <sz val="10"/>
        <color indexed="8"/>
        <rFont val="Calibri"/>
        <family val="2"/>
      </rPr>
      <t>)</t>
    </r>
    <phoneticPr fontId="70" type="noConversion"/>
  </si>
  <si>
    <r>
      <t>Amortization</t>
    </r>
    <r>
      <rPr>
        <sz val="10"/>
        <color indexed="8"/>
        <rFont val="Calibri"/>
        <family val="2"/>
      </rPr>
      <t xml:space="preserve"> Expense</t>
    </r>
    <phoneticPr fontId="70" type="noConversion"/>
  </si>
  <si>
    <r>
      <t>Depreciation</t>
    </r>
    <r>
      <rPr>
        <sz val="10"/>
        <color indexed="8"/>
        <rFont val="Calibri"/>
        <family val="2"/>
      </rPr>
      <t xml:space="preserve"> Expense</t>
    </r>
    <phoneticPr fontId="70" type="noConversion"/>
  </si>
  <si>
    <t>Net Income</t>
    <phoneticPr fontId="70" type="noConversion"/>
  </si>
  <si>
    <r>
      <t xml:space="preserve">Pretax </t>
    </r>
    <r>
      <rPr>
        <sz val="10"/>
        <color indexed="8"/>
        <rFont val="Calibri"/>
        <family val="2"/>
      </rPr>
      <t>Income</t>
    </r>
    <phoneticPr fontId="70" type="noConversion"/>
  </si>
  <si>
    <t>EBIT - Net Interest Expense</t>
    <phoneticPr fontId="70" type="noConversion"/>
  </si>
  <si>
    <t>Pretax Income - Taxes</t>
    <phoneticPr fontId="70" type="noConversion"/>
  </si>
  <si>
    <t>Write-down or Disposal of PP&amp;E</t>
    <phoneticPr fontId="70" type="noConversion"/>
  </si>
  <si>
    <t>EBIT</t>
    <phoneticPr fontId="70" type="noConversion"/>
  </si>
  <si>
    <t>Operating Expenses (OpEx)</t>
    <phoneticPr fontId="70" type="noConversion"/>
  </si>
  <si>
    <t>R&amp;D + SG&amp;A + Other Operating Expenses</t>
    <phoneticPr fontId="70" type="noConversion"/>
  </si>
  <si>
    <t>Other Current Assets</t>
    <phoneticPr fontId="70" type="noConversion"/>
  </si>
  <si>
    <t>Other Current Liabilities</t>
    <phoneticPr fontId="70" type="noConversion"/>
  </si>
  <si>
    <t>Current Liabilities</t>
    <phoneticPr fontId="70" type="noConversion"/>
  </si>
  <si>
    <t>Property, Plant &amp; Equipment</t>
    <phoneticPr fontId="70" type="noConversion"/>
  </si>
  <si>
    <t>Other Noncurrent Assets</t>
    <phoneticPr fontId="70" type="noConversion"/>
  </si>
  <si>
    <t>Operating Cash</t>
    <phoneticPr fontId="70" type="noConversion"/>
  </si>
  <si>
    <t>Revenues</t>
    <phoneticPr fontId="70" type="noConversion"/>
  </si>
  <si>
    <t>X</t>
    <phoneticPr fontId="70" type="noConversion"/>
  </si>
  <si>
    <t>=</t>
    <phoneticPr fontId="70" type="noConversion"/>
  </si>
  <si>
    <t>INCOME</t>
    <phoneticPr fontId="70" type="noConversion"/>
  </si>
  <si>
    <t>© All rights reserved, 2019, Marianne Wolk &amp; Richard Horwitz</t>
  </si>
  <si>
    <t>Broadly, models create a representation of an idea, process or system to explain a real world phenomena.</t>
  </si>
  <si>
    <t>Net Income</t>
  </si>
  <si>
    <t>Virtually all businesses implement financial models in Excel.</t>
  </si>
  <si>
    <t>A Financial Model of a Company Must Replicate the Accounting Process</t>
  </si>
  <si>
    <t>Interest Rate</t>
  </si>
  <si>
    <t>Taxes</t>
  </si>
  <si>
    <t>Tax Rate</t>
  </si>
  <si>
    <t>Payout Ratio</t>
  </si>
  <si>
    <t>Accounts Receivable</t>
  </si>
  <si>
    <t>Revenue</t>
  </si>
  <si>
    <t>Inventories</t>
  </si>
  <si>
    <t>Cost of Revenues</t>
  </si>
  <si>
    <t>Accounts Payable</t>
  </si>
  <si>
    <t>PP&amp;E</t>
  </si>
  <si>
    <t>The accounting for every business transaction creates two equal and corresponding entries, a debit and a credit.</t>
  </si>
  <si>
    <t>The double-entry system can impact a single financial statement or two different financial statements.</t>
  </si>
  <si>
    <t>Trade one asset for another, Accounts Receivable (credit) for Cash (debit), both on the Balance Sheet</t>
  </si>
  <si>
    <t>Record Depreciation Expense on the Income Statement (debit) and Accumulated Depreciation on the Balance Sheet (crediting the contra account for Fixed Assets)</t>
  </si>
  <si>
    <t>division, company and corporate holding levels.</t>
  </si>
  <si>
    <t>As the Income Statement and Balance Sheet both utilize Accrual accounting under GAAP, the Cash Flow Statement functions to reconcile these statements.</t>
  </si>
  <si>
    <t>Income Statement</t>
  </si>
  <si>
    <t>Balance Sheet</t>
  </si>
  <si>
    <t>Cash Flow Statement</t>
  </si>
  <si>
    <t>Acquisition of Intangible Assets</t>
  </si>
  <si>
    <t>Financial models provides a structured basis of communication of assumptions and consequences.</t>
  </si>
  <si>
    <t>Gross Income</t>
  </si>
  <si>
    <t>Revenues</t>
  </si>
  <si>
    <t>Gross Margin</t>
  </si>
  <si>
    <t>R&amp;D Percent</t>
  </si>
  <si>
    <t>SG&amp;A Percent</t>
  </si>
  <si>
    <t>Other Operating Expenses (Income)</t>
  </si>
  <si>
    <t>Other Operating Expenses Percent</t>
  </si>
  <si>
    <t>Balance Sheet and Cash Flow Statement.</t>
  </si>
  <si>
    <t>Equity</t>
  </si>
  <si>
    <t>Models create a representation of an idea, process or system to explain a real world phenomena.</t>
  </si>
  <si>
    <t>Property, Plant and Equipment (PP&amp;E) is an account which might not respond proportionately to volume:</t>
  </si>
  <si>
    <t>Equity Current Period = Equity Prior Period + Net Income - Dividends Declared + Equity Issued (Repurchased)</t>
  </si>
  <si>
    <t>Independent Volume Driver</t>
  </si>
  <si>
    <t>Days Inventory Outstanding (DIO)</t>
  </si>
  <si>
    <t>Days Sale Outstanding (DSO)</t>
  </si>
  <si>
    <t xml:space="preserve"> - the company might currently have underutilized capacity</t>
  </si>
  <si>
    <t>Under double-entry accounting, an entry into an account is matched with a corresponding entry into a related account.</t>
  </si>
  <si>
    <t>Forecasting future financial performance requires the development of a financial model</t>
  </si>
  <si>
    <t>A well structured model replicates the causal relationship between accounts created through double-entry accounting, including both 'accounting' and 'business' relationships.</t>
  </si>
  <si>
    <t>nets accumulated intangibles or total expensed over time</t>
    <phoneticPr fontId="70" type="noConversion"/>
  </si>
  <si>
    <t>Cash Flow from Investing</t>
    <phoneticPr fontId="70" type="noConversion"/>
  </si>
  <si>
    <t>Activities</t>
    <phoneticPr fontId="70" type="noConversion"/>
  </si>
  <si>
    <t>- decreases cash flows</t>
    <phoneticPr fontId="70" type="noConversion"/>
  </si>
  <si>
    <t>adds back non-cash expense that reduced Net Income</t>
    <phoneticPr fontId="70" type="noConversion"/>
  </si>
  <si>
    <t>expense included in Cost of Revenue, R&amp;D and/or SG&amp;A</t>
    <phoneticPr fontId="70" type="noConversion"/>
  </si>
  <si>
    <t>Depreciation</t>
    <phoneticPr fontId="70" type="noConversion"/>
  </si>
  <si>
    <t>reported net of Accumulated Depreciation</t>
    <phoneticPr fontId="70" type="noConversion"/>
  </si>
  <si>
    <t>Explanation</t>
    <phoneticPr fontId="70" type="noConversion"/>
  </si>
  <si>
    <t>+ increases Equity</t>
    <phoneticPr fontId="70" type="noConversion"/>
  </si>
  <si>
    <t xml:space="preserve"> + increases cash flows</t>
    <phoneticPr fontId="70" type="noConversion"/>
  </si>
  <si>
    <t>Depreciation</t>
    <phoneticPr fontId="70" type="noConversion"/>
  </si>
  <si>
    <t>- reduces Net Income</t>
    <phoneticPr fontId="70" type="noConversion"/>
  </si>
  <si>
    <t>- reduces PP&amp;E</t>
    <phoneticPr fontId="70" type="noConversion"/>
  </si>
  <si>
    <t>+ increases cash flows</t>
    <phoneticPr fontId="70" type="noConversion"/>
  </si>
  <si>
    <t>reduces the contribution of Net Income to Equity</t>
    <phoneticPr fontId="70" type="noConversion"/>
  </si>
  <si>
    <t>Preferred Dividends</t>
    <phoneticPr fontId="70" type="noConversion"/>
  </si>
  <si>
    <t>Preferred Equity</t>
    <phoneticPr fontId="70" type="noConversion"/>
  </si>
  <si>
    <t>Common Equity</t>
    <phoneticPr fontId="70" type="noConversion"/>
  </si>
  <si>
    <t>Preferred Stock Dividends</t>
    <phoneticPr fontId="70" type="noConversion"/>
  </si>
  <si>
    <t xml:space="preserve"> - decreases Net Income Attributable to Common</t>
    <phoneticPr fontId="70" type="noConversion"/>
  </si>
  <si>
    <t>-decreases EPS</t>
    <phoneticPr fontId="70" type="noConversion"/>
  </si>
  <si>
    <t>interest expense based on cost of debt balances</t>
    <phoneticPr fontId="70" type="noConversion"/>
  </si>
  <si>
    <t>Debt</t>
    <phoneticPr fontId="70" type="noConversion"/>
  </si>
  <si>
    <t>+ value increases (decreases) based on value of debt issues (retired/converted/called)</t>
    <phoneticPr fontId="70" type="noConversion"/>
  </si>
  <si>
    <t>Common Dividends</t>
    <phoneticPr fontId="70" type="noConversion"/>
  </si>
  <si>
    <t>- decreases cash flows</t>
    <phoneticPr fontId="70" type="noConversion"/>
  </si>
  <si>
    <t>dividends declared per share</t>
    <phoneticPr fontId="70" type="noConversion"/>
  </si>
  <si>
    <t>+ increases (- decreases ) cash flows with new issues (repurchases)</t>
    <phoneticPr fontId="70" type="noConversion"/>
  </si>
  <si>
    <t>Debt</t>
    <phoneticPr fontId="70" type="noConversion"/>
  </si>
  <si>
    <t>+ Cash increases (- Cash decreases) Net Income</t>
    <phoneticPr fontId="70" type="noConversion"/>
  </si>
  <si>
    <t>Net Income</t>
    <phoneticPr fontId="70" type="noConversion"/>
  </si>
  <si>
    <t>Cash Flow from Financing</t>
    <phoneticPr fontId="70" type="noConversion"/>
  </si>
  <si>
    <t>Equity</t>
    <phoneticPr fontId="70" type="noConversion"/>
  </si>
  <si>
    <t>- # decreases with repurchases</t>
    <phoneticPr fontId="70" type="noConversion"/>
  </si>
  <si>
    <t>+ # increases with new issues,</t>
    <phoneticPr fontId="70" type="noConversion"/>
  </si>
  <si>
    <t>calculated from increases in Liabilities and Equity less increases in Assets (net of Cash)</t>
    <phoneticPr fontId="70" type="noConversion"/>
  </si>
  <si>
    <t xml:space="preserve">Net Increase in Cash and </t>
    <phoneticPr fontId="70" type="noConversion"/>
  </si>
  <si>
    <t>Cash Flow from Operating Activities + Cash Flow from Investing Activities + Cash Flow from Financing Activities</t>
    <phoneticPr fontId="70" type="noConversion"/>
  </si>
  <si>
    <t>interest earned on cash balances</t>
    <phoneticPr fontId="70" type="noConversion"/>
  </si>
  <si>
    <t>+ increases PP&amp;E</t>
    <phoneticPr fontId="70" type="noConversion"/>
  </si>
  <si>
    <t>Capital Expenditures (CapEx)</t>
    <phoneticPr fontId="70" type="noConversion"/>
  </si>
  <si>
    <r>
      <t xml:space="preserve">- reduces </t>
    </r>
    <r>
      <rPr>
        <u/>
        <sz val="10"/>
        <color indexed="8"/>
        <rFont val="Calibri"/>
        <family val="2"/>
      </rPr>
      <t xml:space="preserve">future </t>
    </r>
    <r>
      <rPr>
        <sz val="10"/>
        <color indexed="8"/>
        <rFont val="Calibri"/>
        <family val="2"/>
      </rPr>
      <t>Net Income</t>
    </r>
    <phoneticPr fontId="70" type="noConversion"/>
  </si>
  <si>
    <t>Acquisition of Intangible Assets</t>
    <phoneticPr fontId="70" type="noConversion"/>
  </si>
  <si>
    <t>Intangible Assets</t>
    <phoneticPr fontId="70" type="noConversion"/>
  </si>
  <si>
    <r>
      <t xml:space="preserve">+ increases </t>
    </r>
    <r>
      <rPr>
        <sz val="10"/>
        <color indexed="8"/>
        <rFont val="Calibri"/>
        <family val="2"/>
      </rPr>
      <t>Intangible Assets</t>
    </r>
    <phoneticPr fontId="70" type="noConversion"/>
  </si>
  <si>
    <t>increases expenses</t>
    <phoneticPr fontId="70" type="noConversion"/>
  </si>
  <si>
    <t>increases SG&amp;A</t>
    <phoneticPr fontId="70" type="noConversion"/>
  </si>
  <si>
    <t>Cash</t>
    <phoneticPr fontId="70" type="noConversion"/>
  </si>
  <si>
    <t>Interest Income (Expense)</t>
    <phoneticPr fontId="70" type="noConversion"/>
  </si>
  <si>
    <t>Cash</t>
    <phoneticPr fontId="70" type="noConversion"/>
  </si>
  <si>
    <t>Cash Equivalents</t>
  </si>
  <si>
    <t>Amortization</t>
    <phoneticPr fontId="70" type="noConversion"/>
  </si>
  <si>
    <t>Intangible Assets</t>
    <phoneticPr fontId="70" type="noConversion"/>
  </si>
  <si>
    <t>Explanation</t>
    <phoneticPr fontId="70" type="noConversion"/>
  </si>
  <si>
    <t>- reduces Intangible Assets</t>
    <phoneticPr fontId="70" type="noConversion"/>
  </si>
  <si>
    <t>+ increases (- decreases ) cash flows with new issues (maturity, call)</t>
    <phoneticPr fontId="70" type="noConversion"/>
  </si>
  <si>
    <t>+ increases (- decreases ) cash flows with new issues (retirements, conversions, call)</t>
    <phoneticPr fontId="70" type="noConversion"/>
  </si>
  <si>
    <t>- decreases Equity</t>
    <phoneticPr fontId="70" type="noConversion"/>
  </si>
  <si>
    <t>This is a non-exhaustive list.</t>
  </si>
  <si>
    <t xml:space="preserve">The change in one account is exactly equal to the change in another account linked by an accounting relationship. </t>
  </si>
  <si>
    <t>+ increases with new issues, - decreases if matures or called</t>
  </si>
  <si>
    <t>It is an accrual account representing the outstanding balances due the company from recognized sales.</t>
  </si>
  <si>
    <t>SG&amp;A could rise based on a company's operating strategy to invest in growth, ramping investments in its marketing budget to acquire customers and drive greater revenues downstream.</t>
  </si>
  <si>
    <t>However, examining Accounts Receivable's historic relationship to Revenues we find an inexact relationship (not one-to-one).</t>
  </si>
  <si>
    <t>+ value increases (decreases) based on # of shares issued (repurchased) &amp; share price</t>
  </si>
  <si>
    <t>Common Equity</t>
  </si>
  <si>
    <t>evaluated as a payout ratio to Net Income Common, but no impact on reported Net Income levels</t>
  </si>
  <si>
    <t>Research &amp; Development (R&amp;D)</t>
  </si>
  <si>
    <t>Selling, General &amp; Administrative (SG&amp;A)</t>
  </si>
  <si>
    <t>At the end of the accounting period, Income Statement 'temporary accounts' are 'closed' and their net balances are journaled to the Equity account on the Balance Sheet.</t>
  </si>
  <si>
    <t xml:space="preserve">Models replicate the performance or behavior of a related entity or process. </t>
  </si>
  <si>
    <t>By necessity, models often provide a simplified or abstracted view.</t>
  </si>
  <si>
    <t>A model is a mathematical description of a real world situation.</t>
  </si>
  <si>
    <t>In the case of financial data, accounting relationships are a function of the double-entry accounting system.</t>
  </si>
  <si>
    <t>Net Income from the Income Statement is the major driver of Cash Flow from Operating Activities on the Cash Flow Statement.</t>
  </si>
  <si>
    <t xml:space="preserve">Business conditions are affected by: company-specific factors (e.g., operating strategy), industry-specific factors (e.g., competition, regulation), and/or </t>
  </si>
  <si>
    <t>market-specific factors (e.g., economic conditions).</t>
  </si>
  <si>
    <t>If modeling strictly based on accounting relationships, the dollar impact on one account is exactly equal to the dollar impact of the related account.</t>
  </si>
  <si>
    <t>For example, Accounts Receivable generally increases and decreases as Revenues grow or decline (i.e., the volume driver).</t>
  </si>
  <si>
    <t>Using a mathematical framework, the 'independent variable(s)' is the input and the 'dependent variable' the output of a function.</t>
  </si>
  <si>
    <t>A model of a company's financial statements must re-create the accounting relationships: (a) among financial accounts and (b) between financial statements.</t>
  </si>
  <si>
    <t>Thus, analysts make assumptions about the business drivers (independent variables) that influence an account's value (dependent variable).</t>
  </si>
  <si>
    <t>Business drivers, the independent variables, may include:</t>
  </si>
  <si>
    <t>What You Model or Forecast</t>
  </si>
  <si>
    <t>(1) a volume driver which is also a measure that reflects the level of business activity, usually Revenues or Cost of Revenues</t>
  </si>
  <si>
    <t>(1) Financial analysts must make assumptions to identify where relationships exist and determine causality.</t>
  </si>
  <si>
    <t>corroborate and validate the data to the extent possible</t>
  </si>
  <si>
    <t>conduct sensitivity analysis, statistical analysis and logical analysis to validate model assumptions</t>
  </si>
  <si>
    <t>retest and validate the model</t>
  </si>
  <si>
    <t>Examples of modeling assumptions:</t>
  </si>
  <si>
    <t>Data is Unavailable: a financial analyst's job is to size the market for eBooks and neither Amazon or Barnes &amp; Noble disclose those figures.</t>
  </si>
  <si>
    <t xml:space="preserve">Modeling assumptions determine which factor will change an account and by how much. </t>
  </si>
  <si>
    <t>The financial analyst makes numerous 'Modeling Assumptions'.</t>
  </si>
  <si>
    <t>These assumptions about what drives the business and by how much are the underlying components of building a financial model and casting a forecast.</t>
  </si>
  <si>
    <t>In the prior parlance, the financial analyst must model Accounts Receivable as a product of</t>
  </si>
  <si>
    <t>Independent Sensitivity Driver</t>
  </si>
  <si>
    <t>(2) a sensitivity driver measuring how much weight the analyst believes should be placed on this factor or driver</t>
  </si>
  <si>
    <t xml:space="preserve">this may reflect the analyst's view of the company's efficiency, i.e., how well the company is performing a function </t>
  </si>
  <si>
    <t>(2) Analysts must often contend with incomplete, unavailable or unmeasured data and make assumptions in the face of these modeling challenges.</t>
  </si>
  <si>
    <t>When modeling business relationships, one or more accounts may drive the value of other accounts, i.e., the assumptions about causality discussed earlier.</t>
  </si>
  <si>
    <t>The days outstanding of Accounts Receivable could increase even if Revenues do not grow.</t>
  </si>
  <si>
    <t>A well structured model clearly depicts the relationship between accounts.</t>
  </si>
  <si>
    <t>identify incomplete, unavailable or unmeasured data</t>
  </si>
  <si>
    <t>bands (FitBit, Microsoft Band) or extreme action cameras like the GoPro.</t>
  </si>
  <si>
    <t xml:space="preserve">Data is Unmeasured: an analyst is tasked to find out the market size for an innovative new product that does not yet exist, such as wearable fitness tracking </t>
  </si>
  <si>
    <t>formulate assumptions explaining causal relationships (i.e., If this, then that)</t>
  </si>
  <si>
    <t>What is a model?</t>
  </si>
  <si>
    <t xml:space="preserve">This is often the result of the end of period closing process. </t>
  </si>
  <si>
    <t>Examples include:</t>
  </si>
  <si>
    <t>The figures and calculations modeled in the Income Statement must make sense relative to the figures and calculations in the</t>
  </si>
  <si>
    <t>An example is Income Statement Net Income closed to Balance Sheet Equity at the close of an accounting period.</t>
  </si>
  <si>
    <t>Business conditions will mean the relationship varies over time for a single company and among multiple companies in the same industry.</t>
  </si>
  <si>
    <t>There are numerous business relationships embedded in every financial model.</t>
  </si>
  <si>
    <t xml:space="preserve"> - plants are built in increments so even when additional capacity is required it will not be simple added pro rata</t>
  </si>
  <si>
    <t xml:space="preserve">Selling, General &amp; Administrative (SG&amp;A) </t>
  </si>
  <si>
    <t>SG&amp;A may demonstrate 'economies of scale', especially in the early stages of a company.</t>
  </si>
  <si>
    <t>Data is Incomplete: companies may disclose facts in a conference call or Form 8-K where similar information is unavailable for prior periods.</t>
  </si>
  <si>
    <t>Based on its accounting relationship, Accounts Receivable would be modeled equivalently with the change in Revenues.</t>
  </si>
  <si>
    <t>Causality: when modeling inventories the analyst must decide whether they are driven by Revenues, Cost of Revenues or some other factor.</t>
  </si>
  <si>
    <t xml:space="preserve"> - Independent Volume Driver: Revenues </t>
  </si>
  <si>
    <t xml:space="preserve"> - Independent Sensitivity Driver: Days Sales Outstanding (DSO), or the ratio of Accounts Receivable/Revenues</t>
  </si>
  <si>
    <t>The commercial behavior of a business results in relationships between accounts that must be replicated in the financial model.</t>
  </si>
  <si>
    <r>
      <t>Financial analysts merely recreate accounting relationships but must make assumptions in modeling</t>
    </r>
    <r>
      <rPr>
        <sz val="10"/>
        <color rgb="FFFF0000"/>
        <rFont val="Calibri"/>
        <family val="2"/>
      </rPr>
      <t xml:space="preserve"> </t>
    </r>
    <r>
      <rPr>
        <sz val="10"/>
        <color indexed="8"/>
        <rFont val="Calibri"/>
        <family val="2"/>
      </rPr>
      <t>business relationships.</t>
    </r>
  </si>
  <si>
    <t>CapEx</t>
  </si>
  <si>
    <t>Depreciation</t>
  </si>
  <si>
    <t>Gross Profit</t>
  </si>
  <si>
    <t>SG&amp;A</t>
  </si>
  <si>
    <t>EBIT</t>
  </si>
  <si>
    <t>Subscribers</t>
  </si>
  <si>
    <t>New</t>
  </si>
  <si>
    <t>Month</t>
  </si>
  <si>
    <t>Jan</t>
  </si>
  <si>
    <t>Feb</t>
  </si>
  <si>
    <t>Mar</t>
  </si>
  <si>
    <t>Apr</t>
  </si>
  <si>
    <t>May</t>
  </si>
  <si>
    <t>Jun</t>
  </si>
  <si>
    <t>Jul</t>
  </si>
  <si>
    <t>Aug</t>
  </si>
  <si>
    <t>Sep</t>
  </si>
  <si>
    <t>CPA</t>
  </si>
  <si>
    <t>Oct</t>
  </si>
  <si>
    <t>Nov</t>
  </si>
  <si>
    <t>Dec</t>
  </si>
  <si>
    <t>Churn</t>
  </si>
  <si>
    <t>CAGR</t>
  </si>
  <si>
    <t>Total</t>
  </si>
  <si>
    <t>Base</t>
  </si>
  <si>
    <t>Actual</t>
  </si>
  <si>
    <t>&lt;5,000</t>
  </si>
  <si>
    <t>5,000-10,000</t>
  </si>
  <si>
    <t>10,000-20,000</t>
  </si>
  <si>
    <t>20,000-30,000</t>
  </si>
  <si>
    <t>&gt;30,000</t>
  </si>
  <si>
    <t>Year</t>
  </si>
  <si>
    <t>CPA Elasticity</t>
  </si>
  <si>
    <t>Base CPA by Month</t>
  </si>
  <si>
    <t>Unit Cost</t>
  </si>
  <si>
    <t>Lose 30% of first month customers in the second month</t>
  </si>
  <si>
    <t>Lose 5% of all third month or longer customers in the fourth or subsequent months</t>
  </si>
  <si>
    <t>Developing a Model</t>
  </si>
  <si>
    <t>2nd Month</t>
  </si>
  <si>
    <t>3rd Month</t>
  </si>
  <si>
    <t>4+ Month</t>
  </si>
  <si>
    <t>Base CPA</t>
  </si>
  <si>
    <t>New (Acquired) Subscribers</t>
  </si>
  <si>
    <t>2nd Month Subscribers</t>
  </si>
  <si>
    <t>3rd Month Subscribers</t>
  </si>
  <si>
    <t>4+ Month Subscribers</t>
  </si>
  <si>
    <t>Actual CPA</t>
  </si>
  <si>
    <t>Elasticity</t>
  </si>
  <si>
    <t>Cumulative EBIT</t>
  </si>
  <si>
    <t>Calculated as number of New Subscribers previous month multiplied by the second month retention rate (1 - 30% churn)</t>
  </si>
  <si>
    <t>Revenues minus Cost of Revenues</t>
  </si>
  <si>
    <t>IRR</t>
  </si>
  <si>
    <t>As with any subscription business customers are lost, called 'churn', over time.</t>
  </si>
  <si>
    <t>Lose an additional 10% of second month customers in the third month</t>
  </si>
  <si>
    <t>Occasionally, we develop a model to better understand past performance in cases where all of the underlying data is not discoverable.</t>
  </si>
  <si>
    <t>Terminal Value</t>
  </si>
  <si>
    <t>Net Present Value (NPV)</t>
  </si>
  <si>
    <t>Internal Rate of Return (IRR)</t>
  </si>
  <si>
    <t>Discount Rate</t>
  </si>
  <si>
    <t>Gross Profits</t>
  </si>
  <si>
    <t>Growth</t>
  </si>
  <si>
    <t>Cash</t>
  </si>
  <si>
    <t>Days of Sales Outstanding (DSO)</t>
  </si>
  <si>
    <t>Days of Payables Outstanding (DPO)</t>
  </si>
  <si>
    <t>Select 'Data' tab</t>
  </si>
  <si>
    <t>Select "What-if Analysis'</t>
  </si>
  <si>
    <t>The above template can now be populated using the Data Table Function, as follows:</t>
  </si>
  <si>
    <t>Select "OK"</t>
  </si>
  <si>
    <t>Terminal</t>
  </si>
  <si>
    <t>Growth Rate</t>
  </si>
  <si>
    <t>Discount Factor</t>
  </si>
  <si>
    <t>The Data Table function has created a table of results by automatically varying the row and column inputs.</t>
  </si>
  <si>
    <t>This provides a 'sensitivity analysis' of the results as you can easily see how sensitive the results are to changes in input parameters.</t>
  </si>
  <si>
    <t>The second presentation demonstrates what the NPV function actually does.</t>
  </si>
  <si>
    <t>The third presentation is an opportunity to introduce the SUMPRODUCT function.</t>
  </si>
  <si>
    <t>We have initially set the current year Net Income to $100 and the Annual Growth Rate to 10%.</t>
  </si>
  <si>
    <t>Future earnings are also discounted by a discount rate, reflecting the time value of money.</t>
  </si>
  <si>
    <t>We have initially set the Discount Rate to 15%.</t>
  </si>
  <si>
    <t>Contribution</t>
  </si>
  <si>
    <t>Based on the above inputs, following are the Net Incomes, Discount Factors and Present Values over the next 10 years.</t>
  </si>
  <si>
    <t>SUMPRODUCT permits you to multiply the values in a range to those in a similarly shaped other range and to sum the resulting products.</t>
  </si>
  <si>
    <t>Simple Model of Earnings Growth</t>
  </si>
  <si>
    <t>If you remember from your finance course, the discount factor declines by 1 / (1+ Discount Rate) each year reflecting that the further out a cashflow is the less valuable it is.</t>
  </si>
  <si>
    <t>Goal Seek</t>
  </si>
  <si>
    <t>Any valuation should be surrounded by a sensitivity analysis which quantifies the robustness of the forecast.</t>
  </si>
  <si>
    <t>Data Tables require that you set up a template before using it.</t>
  </si>
  <si>
    <t>Goal Seek permits you to find an input value of a relationship, including a model, that generates a specific result.</t>
  </si>
  <si>
    <t>Select "Goal Seek...'</t>
  </si>
  <si>
    <t>In the 'To Value:' box enter '12%'</t>
  </si>
  <si>
    <t>Cash Flows</t>
  </si>
  <si>
    <t>A company makes an investment of $500 in the current year that generates a return in the next 10 future years.</t>
  </si>
  <si>
    <t>Going forward, you probably just want to use the Excel NPV function.</t>
  </si>
  <si>
    <t>Data Tables</t>
  </si>
  <si>
    <t>Select 'Data Table', which will open a "Data Table' window.</t>
  </si>
  <si>
    <t>The Internal Rate of Return (IRR) function calculates the discount rate that reduces the cash flow stream to a Net Present Value of zero.</t>
  </si>
  <si>
    <t>It is doing the same calculation as the second presentation, except the second presentation calculated the product each year and then we separately summed the products.</t>
  </si>
  <si>
    <t xml:space="preserve">Since there is significant judgement/discretion in what the appropriate discount rate is in calculating the present value an alternative approach is to calculate the 'Internal Rate of Return' (IRR) </t>
  </si>
  <si>
    <t>Market Size Model</t>
  </si>
  <si>
    <t>Row Labels</t>
  </si>
  <si>
    <t>Count of Month</t>
  </si>
  <si>
    <t>Average of Value</t>
  </si>
  <si>
    <t>Second month</t>
  </si>
  <si>
    <t>Third month</t>
  </si>
  <si>
    <t>Fourth and subsequent months</t>
  </si>
  <si>
    <t>First month</t>
  </si>
  <si>
    <t>Reviewing the results of the dog food business above, you can conclude that the average Revenues generated were:</t>
  </si>
  <si>
    <t>Subscription Month</t>
  </si>
  <si>
    <t>debug and/or adjust the model</t>
  </si>
  <si>
    <t>A financial model is generally developed to replicate historic relationships that describe a 'financial entity', i.e., a market, business, asset or project.</t>
  </si>
  <si>
    <t>However, there are instances in which a financial model must be developed in the absence of historic data.</t>
  </si>
  <si>
    <t>Model</t>
  </si>
  <si>
    <t>design logic of the model</t>
  </si>
  <si>
    <t>program the model</t>
  </si>
  <si>
    <t>develop test data</t>
  </si>
  <si>
    <t>Analyze</t>
  </si>
  <si>
    <t>This replication is generally extremely case specific.</t>
  </si>
  <si>
    <t>A financial model generally includes a replication of some real world business or process.</t>
  </si>
  <si>
    <t>For models developed based on underlying units (number of units sold, number of plants constructed, number of customers acquired) this is generally done by multiplying units by either unit costs and/or prices.</t>
  </si>
  <si>
    <t>Acquisition of Intangibles</t>
  </si>
  <si>
    <t>Amortization</t>
  </si>
  <si>
    <t>Cash Flow</t>
  </si>
  <si>
    <t>Assets</t>
  </si>
  <si>
    <t>Flow</t>
  </si>
  <si>
    <t xml:space="preserve">Intangible </t>
  </si>
  <si>
    <t>Common</t>
  </si>
  <si>
    <t>Linkages</t>
  </si>
  <si>
    <t xml:space="preserve"> = Current Year Equity</t>
  </si>
  <si>
    <t xml:space="preserve"> + Issues (Repurchases) of Common Equity</t>
  </si>
  <si>
    <t xml:space="preserve"> - Common Dividends (Declared)</t>
  </si>
  <si>
    <t xml:space="preserve"> + Net Income Attributable to Common</t>
  </si>
  <si>
    <t>Prior Year Common Equity</t>
  </si>
  <si>
    <t>Equity Derivation</t>
  </si>
  <si>
    <t xml:space="preserve"> = Current Year Intangible Assets</t>
  </si>
  <si>
    <t xml:space="preserve"> + Acquisitions of Intangible Assets</t>
  </si>
  <si>
    <t xml:space="preserve"> - Amortization</t>
  </si>
  <si>
    <t>Prior Year Intangible Assets</t>
  </si>
  <si>
    <t>Intangible Asset Derivation</t>
  </si>
  <si>
    <t>Current Year PP&amp;E Percent of Revenues</t>
  </si>
  <si>
    <t xml:space="preserve"> = Current Year PP&amp;E</t>
  </si>
  <si>
    <t xml:space="preserve"> - Write-down or Disposal of PP&amp;E</t>
  </si>
  <si>
    <t xml:space="preserve"> + Capital Expenditures (CapEx)</t>
  </si>
  <si>
    <t xml:space="preserve"> - Depreciation</t>
  </si>
  <si>
    <t>Prior Year PP&amp;E</t>
  </si>
  <si>
    <t>Property, Plant &amp; Equipment Derivation</t>
  </si>
  <si>
    <t>What is the value of the largest investment that you calculated?</t>
  </si>
  <si>
    <t>Sales</t>
  </si>
  <si>
    <t>Actual Dog Food Monthly Sales</t>
  </si>
  <si>
    <t>Projected Cat Food Monthly Sales</t>
  </si>
  <si>
    <t xml:space="preserve">You must be very strategic in your marketing strategy to create a successful business. </t>
  </si>
  <si>
    <t>The challenge is that while the expected sales of cat food is half that of dog food, the customer acquisition cost is the same.</t>
  </si>
  <si>
    <t>Model Assumptions</t>
  </si>
  <si>
    <t>Business</t>
  </si>
  <si>
    <t>EXHIBIT: GENERIC STEPS IN MODEL DEVELOPMENT</t>
  </si>
  <si>
    <t>and</t>
  </si>
  <si>
    <t>Collect</t>
  </si>
  <si>
    <t>Data</t>
  </si>
  <si>
    <t xml:space="preserve">Thus, the presentation of financial results by individual financial analysts will always be somewhat similar. </t>
  </si>
  <si>
    <t>The underlying concept of GAAP accounting is to have a set of standards that are broadly understood and comparable.</t>
  </si>
  <si>
    <t>We have excluded Financial companies from our universe because their financial reporting is extremely different.</t>
  </si>
  <si>
    <t>Create</t>
  </si>
  <si>
    <t xml:space="preserve">the </t>
  </si>
  <si>
    <t>Test</t>
  </si>
  <si>
    <t>re-create known identities based on these relationships, testing your assumptions to see how well they</t>
  </si>
  <si>
    <t>explain the how the business works under varying conditions/environments</t>
  </si>
  <si>
    <t>identify the variables that satisfy the model's objective</t>
  </si>
  <si>
    <t>investigate and collect the data available, noting all sources</t>
  </si>
  <si>
    <t>communicate all assumptions in a clear and structured way (document, document, document)</t>
  </si>
  <si>
    <t>The company has only one competitor.</t>
  </si>
  <si>
    <t>To understand what is happening, you need to develop a model of both companies' historical results based on the limited information you have.</t>
  </si>
  <si>
    <t>Industry Unit Model</t>
  </si>
  <si>
    <t>Estimated Total Market Size in Units</t>
  </si>
  <si>
    <t>Company</t>
  </si>
  <si>
    <t>Competitor</t>
  </si>
  <si>
    <t>Company Unit Models</t>
  </si>
  <si>
    <t>Total Units Sold</t>
  </si>
  <si>
    <t>Total Revenues</t>
  </si>
  <si>
    <t>Gross Profit Model</t>
  </si>
  <si>
    <t>Total EBIT</t>
  </si>
  <si>
    <t>For models in which there is no clear underlying unit that can be measured, financials are generally modeled by applying growth rates and percent (e.g., profit margins, CapEx as percent of Revenues).</t>
  </si>
  <si>
    <t>Revenues Model</t>
  </si>
  <si>
    <t>For the purpose of developing a model, it is generally advantageous to synthesize data into a structural relationship whenever possible.</t>
  </si>
  <si>
    <t>Your research has shown that the average daily price of cat food is half of that of dog food so you have projected the monthly Sales per subscriber above (shaded box).</t>
  </si>
  <si>
    <t>It is more realistic to assume that customers will be lost (churn) at a constant 5% per month.</t>
  </si>
  <si>
    <t xml:space="preserve">Though GAAP is standard, it does permit wide variances by industry. </t>
  </si>
  <si>
    <t xml:space="preserve"> </t>
  </si>
  <si>
    <t>Average prices by channel are available from a price data information service.</t>
  </si>
  <si>
    <t>You have estimated the company has a unit cost 10% lower than the competitor because of its historically greater scale and consequent higher level of automation.</t>
  </si>
  <si>
    <t>Use the model you have created to answer the following questions.</t>
  </si>
  <si>
    <t>Total Gross Profit</t>
  </si>
  <si>
    <t>Operating Expenses (OpEx)</t>
  </si>
  <si>
    <t>Variable Overhead</t>
  </si>
  <si>
    <t>Fixed Overhead</t>
  </si>
  <si>
    <t>Direct Labor</t>
  </si>
  <si>
    <t>Direct Materials</t>
  </si>
  <si>
    <t>Usage Variance</t>
  </si>
  <si>
    <t>Standard Cost Per Unit</t>
  </si>
  <si>
    <t>Actual Expenses</t>
  </si>
  <si>
    <t>Gold</t>
  </si>
  <si>
    <t>Silver</t>
  </si>
  <si>
    <t>Bronze</t>
  </si>
  <si>
    <t>A forecast applies a model to translate a set of hypotheses about the performance of a financial entity and its behavior into numerical predictions.</t>
  </si>
  <si>
    <t>Accounting</t>
  </si>
  <si>
    <t>Driver</t>
  </si>
  <si>
    <t>Relationship</t>
  </si>
  <si>
    <t>Revenues is driven by the growth rate</t>
  </si>
  <si>
    <t>Your company produces three products: bronze pins, silver pins and gold pins.</t>
  </si>
  <si>
    <t>The full cost (payroll plus benefits) of the employees directly related to the production of a single unit of the product</t>
  </si>
  <si>
    <t>Purchased materials consumed in the production of a single unit of the product</t>
  </si>
  <si>
    <t>Overhead which is not driven by the level of production such as management, rent, office equipment.</t>
  </si>
  <si>
    <t>In a manufacturing plant, typically accountants process the transactions that produce the standard cost reporting and financial analysts use this reporting to explain the performance.</t>
  </si>
  <si>
    <t>- Increase in Accounts Receivable</t>
  </si>
  <si>
    <t>+ Increase in Accounts Payable</t>
  </si>
  <si>
    <t>- Capital Expenditures (CapEx)</t>
  </si>
  <si>
    <t>- Dividends</t>
  </si>
  <si>
    <t>+ Depreciation</t>
  </si>
  <si>
    <t>Pretax Income</t>
  </si>
  <si>
    <t>OpEx Percent of Revenues</t>
  </si>
  <si>
    <t>You will have to write the logic that appropriately:</t>
  </si>
  <si>
    <t xml:space="preserve"> - Re-creates Accounting Relationships</t>
  </si>
  <si>
    <t xml:space="preserve"> - Replicates Business Relationships</t>
  </si>
  <si>
    <t xml:space="preserve"> - Identifies Formula Drivers</t>
  </si>
  <si>
    <t>Perform this assignment by filling in the Yellow Boxes</t>
  </si>
  <si>
    <t>= Increase (Decrease) in Cash</t>
  </si>
  <si>
    <t>The standards represent a model against which actual costs can be analyzed and provide a framework to analyze variances from standard.</t>
  </si>
  <si>
    <t>Standard cost accounting can be highly granular and sophisticated. We present a simple example.</t>
  </si>
  <si>
    <t>This structure permits operating businesses to decompose any variances (both favorable and unfavorable) to various causal factors.</t>
  </si>
  <si>
    <t>Standard Cost Accounting requires that a budget be created in advance of a period.</t>
  </si>
  <si>
    <t>Use '$' in the formula to permit you to write one formula in the upper left box that can be copied down and across.</t>
  </si>
  <si>
    <t>Below are the Actual Expenses incurred by cost component.</t>
  </si>
  <si>
    <t>It isolates how efficient you were in the consumption of resources.</t>
  </si>
  <si>
    <t>Favorable</t>
  </si>
  <si>
    <t>Unfavorable</t>
  </si>
  <si>
    <t>Is this variance 'Favorable' or 'Unfavorable'?</t>
  </si>
  <si>
    <t>Standard Cost Accounting is a methodology used in manufacturing and other operations intensive businesses (e.g. warehouses) to analyze actual performance against a set of established standards.</t>
  </si>
  <si>
    <t>During the period your company kept track of the actual expenses for each cost component.</t>
  </si>
  <si>
    <t>Below is Challenge Homework</t>
  </si>
  <si>
    <t>Below is Required Homework</t>
  </si>
  <si>
    <t>Dividend/Share</t>
  </si>
  <si>
    <t>An Equity Analyst (a Financial Analyst that focuses on valuing stocks) needs to value the stock of a company.</t>
  </si>
  <si>
    <t>SHEET ROADMAP</t>
  </si>
  <si>
    <t>Required Homework Questions</t>
  </si>
  <si>
    <t>Required</t>
  </si>
  <si>
    <t>Challenge</t>
  </si>
  <si>
    <t>If modeling strictly based on business relationships, the dollar impact on one account is exactly equal to the dollar impact of the related account.</t>
  </si>
  <si>
    <t>When modeling business relationships, one or more accounts may drive the value of other accounts.</t>
  </si>
  <si>
    <t>When modeling accounting relationships, one or more accounts may drive the value of other accounts.</t>
  </si>
  <si>
    <t>A good model will exactly forecast historical performance</t>
  </si>
  <si>
    <t>Calculate the values of the yellow cells below.</t>
  </si>
  <si>
    <t>In each of the yellow boxes below select a '+' if the account on the left links to the account across the top or a '-' if it negatively impacts.</t>
  </si>
  <si>
    <t>+</t>
  </si>
  <si>
    <t>-</t>
  </si>
  <si>
    <t>Shares</t>
  </si>
  <si>
    <t>In this case the analyst looks for the closest analog as the basis of modeling behavior.</t>
  </si>
  <si>
    <t>For example, the analyst might look at both the traditional payments industry (e.g., First Data, MasterCard, Visa) and the cellphone industry (e.g., Apple, AT&amp;T, Samsung, Verizon)</t>
  </si>
  <si>
    <t>How You Model or Forecast</t>
  </si>
  <si>
    <t>Net Interest Income (Expense)</t>
  </si>
  <si>
    <t>Net Cash &amp; MS = (Cash &amp; MS - Debt)</t>
  </si>
  <si>
    <t>Case by case basis</t>
  </si>
  <si>
    <t>Default forecast at prior levels</t>
  </si>
  <si>
    <t>Net Income (NI) - Net Income Attributable to NCI - Preferred Dividends</t>
  </si>
  <si>
    <t>Net Income Attributable to Common</t>
  </si>
  <si>
    <t>Net Income Attributable to Company</t>
  </si>
  <si>
    <t xml:space="preserve">Net Income (NI) - Net Income Attributable to NCI </t>
  </si>
  <si>
    <t>Net Income Attributable to NCI</t>
  </si>
  <si>
    <t>Percent of Revenue (1%-8%)</t>
  </si>
  <si>
    <t>Prior Other Current Assets / Prior Revenue</t>
  </si>
  <si>
    <t>Prior Other Current Liabilities / Prior Revenue</t>
  </si>
  <si>
    <t>Prior PP&amp;E - Depreciation + Investments in PP&amp;E - Write-down or Disposal of PP&amp;E</t>
  </si>
  <si>
    <t>Investments in PP&amp;E</t>
  </si>
  <si>
    <t>Not forecast</t>
  </si>
  <si>
    <t>Prior Investments in PP&amp;E / Prior Revenue</t>
  </si>
  <si>
    <t>Excess Cash</t>
  </si>
  <si>
    <t>Capital</t>
  </si>
  <si>
    <t xml:space="preserve">Prior Intangible Assets - Amortization + Investments in Intangible Assets - Impairments </t>
  </si>
  <si>
    <t>Investments in Intangible Assets</t>
  </si>
  <si>
    <t>Impairments</t>
  </si>
  <si>
    <t>Intangible Assets</t>
  </si>
  <si>
    <t>Prior Amortization / Prior Intangible Assets</t>
  </si>
  <si>
    <t>Prior Investments in Intangible Assets / Prior Revenue</t>
  </si>
  <si>
    <t>Prior Noncurrent Assets / Prior Revenue</t>
  </si>
  <si>
    <t>Noncurrent Liabilities (ex Debt)</t>
  </si>
  <si>
    <t>Intangible Assets (incl Goodwill)</t>
  </si>
  <si>
    <t>Prior Noncurrent Liabilities / Prior Revenue</t>
  </si>
  <si>
    <t>Net Noncurrent Assets</t>
  </si>
  <si>
    <t>Noncurrent Assets - Noncurrent Liabilities</t>
  </si>
  <si>
    <t>Non-cash Net Trade Working Capital + Net Noncurrent Assets</t>
  </si>
  <si>
    <t>Cash &amp; Marketable Securities - Operating Cash</t>
  </si>
  <si>
    <t>Debt + Equity</t>
  </si>
  <si>
    <t>Debt (Current and Noncurrent)</t>
  </si>
  <si>
    <t>Cash &amp; Marketable Securities (MS)</t>
  </si>
  <si>
    <t>Prior Cash &amp; MS - (Increase in CIO) + Increase in Oper'g Cash + Increase in Debt + Increase in Equity</t>
  </si>
  <si>
    <t>Prior Common Equity + NI Attributable to Common - Common Dividends + Issues (Repurchases) of Common Equity</t>
  </si>
  <si>
    <t>Noncontrolling Interests</t>
  </si>
  <si>
    <t>Preferred Equity</t>
  </si>
  <si>
    <t>Noncontrolling Interests + Preferred Equity + Common Equity</t>
  </si>
  <si>
    <t>What is a Business Model?</t>
  </si>
  <si>
    <t>While every company generates revenue and earns profits, the way they do so varies dramatically among companies depending on its industry and strategy.</t>
  </si>
  <si>
    <t>Product/Service</t>
  </si>
  <si>
    <t>Reseller</t>
  </si>
  <si>
    <t>Ad-Based</t>
  </si>
  <si>
    <t>Subscription-based</t>
  </si>
  <si>
    <t>Broker</t>
  </si>
  <si>
    <t>Freemium</t>
  </si>
  <si>
    <t>Strategic Modeling</t>
  </si>
  <si>
    <t xml:space="preserve"> to help model the emerging mobile payments industry (e.g., Apple Pay, Google Wallet, PayPal, Square).</t>
  </si>
  <si>
    <t xml:space="preserve">specific operations or certain business processes. </t>
  </si>
  <si>
    <t>Unit Sales, Average Selling Prices (ASPs), Revenues</t>
  </si>
  <si>
    <t>Components</t>
  </si>
  <si>
    <t>Revenue Model</t>
  </si>
  <si>
    <t>Income Statement, Balance Sheet, Cash Flow Statement</t>
  </si>
  <si>
    <t>Industry Model</t>
  </si>
  <si>
    <t>Customer Acquisition Cost (CAC) Model</t>
  </si>
  <si>
    <t>Production Units, Inventory, Production Capacity</t>
  </si>
  <si>
    <t>EXHIBIT: EXAMPLES OF MODELS USED TO ANALYZE BUSINESSES</t>
  </si>
  <si>
    <t>Source: Marianne Wolk &amp; Richard Horwitz</t>
  </si>
  <si>
    <t>Product Model</t>
  </si>
  <si>
    <t>There are multiple definitions of Business Model.</t>
  </si>
  <si>
    <t>Generically, a business model describes how a company generates its revenues and profits.</t>
  </si>
  <si>
    <t>However, the term is actually used interchangeably to mean several different things.</t>
  </si>
  <si>
    <t>Business Model = Company Financial Model</t>
  </si>
  <si>
    <t>We delve deeply into Industry Forecasting in a later Workbook.</t>
  </si>
  <si>
    <t>Distribution or Channel Analysis Model</t>
  </si>
  <si>
    <t>In this instance, the Financial Analyst is presenting a financial model and generally includes a simple Income Statement, at a minimum , most likely using Excel.</t>
  </si>
  <si>
    <t xml:space="preserve">The Financial Analyst may also include a Balance Sheet and Cash Flow Statement or several other financial models (listed above). </t>
  </si>
  <si>
    <t>For a startup, this is a package submitted to family and friends or venture capitalists.</t>
  </si>
  <si>
    <t>For a larger company, this is the details included in the registration statement circulated to potential investors in the Initial Public Offering (IPO) process.</t>
  </si>
  <si>
    <t>For larger publicly traded companies, this is the information included in the annual Form 10-K.</t>
  </si>
  <si>
    <t>This is often the package a company's founder or its management create and submit to third parties to raise capital from new investors or report their progress to current investors.</t>
  </si>
  <si>
    <t>This generally includes all of the elements required to enable investors and others to forecast future financial performance.</t>
  </si>
  <si>
    <t>This may include a discussion of product features and differentiation, pricing, distribution, customers, production, supply, etc.</t>
  </si>
  <si>
    <t>Example: Dollar Shave Club is a subscription business for razors and other grooming products marketed direct-to-consumer.</t>
  </si>
  <si>
    <t>Example: Zynga offers free-to-play social video games such as FarmVille which generate revenues from the sales of in-game virtual goods and advertising to its players.</t>
  </si>
  <si>
    <t>Example: Freemium</t>
  </si>
  <si>
    <t>HBO, Verizon</t>
  </si>
  <si>
    <t>Example</t>
  </si>
  <si>
    <t>'Business Model'</t>
  </si>
  <si>
    <t>Amazon, Expedia, Walmart</t>
  </si>
  <si>
    <t>Zynga</t>
  </si>
  <si>
    <t>Direct-to-Consumer</t>
  </si>
  <si>
    <t>Casper, Dell Computer</t>
  </si>
  <si>
    <t>In a few sentences (or even a word) this is a description of the way the company generates revenues and profits and it's the strategy to succeed, grow, gain share and drive profits.</t>
  </si>
  <si>
    <t>EXHIBIT: COMPONENTS OF BUSINESS MODELS</t>
  </si>
  <si>
    <t>Component</t>
  </si>
  <si>
    <t>Description</t>
  </si>
  <si>
    <t>Market Analysis</t>
  </si>
  <si>
    <t>the market for the product, its size and growth</t>
  </si>
  <si>
    <t>product and/or service description and differentiating features</t>
  </si>
  <si>
    <t>Strategy</t>
  </si>
  <si>
    <t>Pricing</t>
  </si>
  <si>
    <t>the strategy to penetrate the market and gain share</t>
  </si>
  <si>
    <t>pricing model and relative positioning to the market</t>
  </si>
  <si>
    <t xml:space="preserve">Marketing &amp; Promotion </t>
  </si>
  <si>
    <t>Distribution Strategy</t>
  </si>
  <si>
    <t>go-to-market strategy including direct, salesforce or third-party distribution</t>
  </si>
  <si>
    <t>Customers</t>
  </si>
  <si>
    <t>direct or outsourced</t>
  </si>
  <si>
    <t>Production Strategy/Suppliers</t>
  </si>
  <si>
    <t>targets, leading material customers, geographic and/or industry concentration</t>
  </si>
  <si>
    <t>Competitive Analysis</t>
  </si>
  <si>
    <t>differentiating features and the competitive landscape (players and positioning)</t>
  </si>
  <si>
    <t>Management</t>
  </si>
  <si>
    <t>Product Description</t>
  </si>
  <si>
    <t>Tiered model (premium vs. basic)</t>
  </si>
  <si>
    <t>AirBnB, Uber</t>
  </si>
  <si>
    <t>Pay as You Go, ?-as-a-Service</t>
  </si>
  <si>
    <t>Software.com, Amazon Web Services</t>
  </si>
  <si>
    <t>Leasing</t>
  </si>
  <si>
    <t>Trip Advisor</t>
  </si>
  <si>
    <t>Pandora, Facebook, YouTube</t>
  </si>
  <si>
    <t>Century 21, Google, Schwab</t>
  </si>
  <si>
    <t>EXHIBIT: EXAMPLES OF BUSINESS MODEL CATEGORIES</t>
  </si>
  <si>
    <t>Referral</t>
  </si>
  <si>
    <t>Deere, Hertz</t>
  </si>
  <si>
    <t>bios of its executives: educational credentials, work experience, achievements, financial commitment to the company</t>
  </si>
  <si>
    <t>Shared Platforms &amp; Marketplaces</t>
  </si>
  <si>
    <t>Netflix, Spotify</t>
  </si>
  <si>
    <t>expense included in SG&amp;A</t>
  </si>
  <si>
    <t>+ Debt decreases (- Debt increases) Net Income</t>
  </si>
  <si>
    <t>Business Relationships</t>
  </si>
  <si>
    <r>
      <t>Days Payable Outstanding (</t>
    </r>
    <r>
      <rPr>
        <sz val="10"/>
        <color indexed="8"/>
        <rFont val="Calibri"/>
        <family val="2"/>
      </rPr>
      <t>DP</t>
    </r>
    <r>
      <rPr>
        <sz val="10"/>
        <color indexed="8"/>
        <rFont val="Calibri"/>
        <family val="2"/>
      </rPr>
      <t>O)</t>
    </r>
  </si>
  <si>
    <t>PP&amp;E + Intangible Assets + Noncurrent Assets</t>
  </si>
  <si>
    <t>be cognizant of potential conflicts when using multiple sources</t>
  </si>
  <si>
    <t xml:space="preserve">Financial analysts build models to analyze an industry or a company as a whole, or they may choose to construct a model of individual business segments, individual product lines, </t>
  </si>
  <si>
    <t>Capacity Utilization Model</t>
  </si>
  <si>
    <t>It is quite common for the Financial Analyst (or a potential investor or creditor) to ask a company's founders and/or it's management team to describe the business model.</t>
  </si>
  <si>
    <t>Typically the description is focused on the items that differentiate the company most.</t>
  </si>
  <si>
    <t>Business Model = Business Plan, a Detailed Package including Text and Financial Models explaining the Business Strategy and How Revenue and Profits are Generated</t>
  </si>
  <si>
    <t>In addition to the description of the company's value proposition, it provides financial model(s) that translate that conceptual framework into figures (units, revenues, etc.)</t>
  </si>
  <si>
    <t>free trials, financing (e.g., Caterpillar), advertising</t>
  </si>
  <si>
    <t>Based on your experience in the dog food business, you project the base cost per acquisition by month to be as follows:</t>
  </si>
  <si>
    <t>Price Per Unit</t>
  </si>
  <si>
    <t>Cost Per Unit</t>
  </si>
  <si>
    <t>Costs in $</t>
  </si>
  <si>
    <t>Size of Market in Units</t>
  </si>
  <si>
    <t>Market Share</t>
  </si>
  <si>
    <t>Units Sold by Company</t>
  </si>
  <si>
    <t>We assumed that market continues to grow at last year's rate</t>
  </si>
  <si>
    <t>In the yellow boxes calculate the "Cost in $'</t>
  </si>
  <si>
    <t>In the yellow boxes calculate the 'Gross Profit'</t>
  </si>
  <si>
    <t>In the yellow boxes calculate the "Sales in $'</t>
  </si>
  <si>
    <t>In the yellow boxes calculate the "Units Sold by Company'</t>
  </si>
  <si>
    <t>In the yellow boxes calculate the 'Company Unit Growth Rate'</t>
  </si>
  <si>
    <t>Company Unit Growth Rate</t>
  </si>
  <si>
    <t>Market Unit Growth Rate</t>
  </si>
  <si>
    <t>In the yellow boxes calculate the 'Size of Market in Units'</t>
  </si>
  <si>
    <t>Enter formulas in the yellow cell that complete the model.</t>
  </si>
  <si>
    <t>You will choose among:</t>
  </si>
  <si>
    <t>Cumulative</t>
  </si>
  <si>
    <t>The unit cost ($100) multiplied by the total of New, 2nd, 3rd and 4+ Month Subscribers</t>
  </si>
  <si>
    <t>Gross Margin minus SG&amp;A</t>
  </si>
  <si>
    <t>The CPA is highly seasonal because advertising rates are seasonal.</t>
  </si>
  <si>
    <t>Monthly Growth</t>
  </si>
  <si>
    <t>All</t>
  </si>
  <si>
    <t>Exclude Dec</t>
  </si>
  <si>
    <t>Write SUMIF functions in each of the green cells to SUM the EBIT values for each year.</t>
  </si>
  <si>
    <t>The Match and Index functions are presented in the next Workbook.</t>
  </si>
  <si>
    <t>Customers Acquired</t>
  </si>
  <si>
    <t>You have created the following table to represent the that customer acquisition is inelastic (more acquisitions higher CPA).</t>
  </si>
  <si>
    <t>Minimum</t>
  </si>
  <si>
    <t>Previous month's Cumulative EBIT plus this month's EBIT</t>
  </si>
  <si>
    <t>Revenue/Month</t>
  </si>
  <si>
    <t>Cost of Revenues/Month</t>
  </si>
  <si>
    <t>Churn/Month</t>
  </si>
  <si>
    <t>Following is a description of what the various columns represent:</t>
  </si>
  <si>
    <t>Write formulas in the green boxes below to calculate the budget.</t>
  </si>
  <si>
    <t>Volumes</t>
  </si>
  <si>
    <t>Actual Volumes at Standard Cost</t>
  </si>
  <si>
    <t>Budgeted Volumes at Standard Cost</t>
  </si>
  <si>
    <t>For each product and cost component, the standard cost per unit is multiplied by the budgeted volumes to develop the budget.</t>
  </si>
  <si>
    <t>Volume Variances</t>
  </si>
  <si>
    <t>We will use this information to calculate 'Usage Variances'.</t>
  </si>
  <si>
    <t>If this had been tracked by product you would be able to analyze Usage Variances' at a product level.</t>
  </si>
  <si>
    <t>The Usage Variances are the difference between the Actual Expenses less the Actual Volumes at Standard Cost.</t>
  </si>
  <si>
    <t>Based on the Usage Variances, which cost component has the greatest opportunity to reduce?</t>
  </si>
  <si>
    <t>Annual Growth Rate</t>
  </si>
  <si>
    <t>Rate</t>
  </si>
  <si>
    <t>Discount</t>
  </si>
  <si>
    <t>Investment Analysis (Valuation)</t>
  </si>
  <si>
    <t>Capacity Expansion (Units)</t>
  </si>
  <si>
    <t>Product B</t>
  </si>
  <si>
    <t>Product A</t>
  </si>
  <si>
    <t>Market Size Units</t>
  </si>
  <si>
    <t>Depreciation Percent of Prior PP&amp;E</t>
  </si>
  <si>
    <t xml:space="preserve">In all cases, the red drivers are defaults that set the value of the forecast driver equal to the previous year's value. </t>
  </si>
  <si>
    <t>Your assignment is to use these red default model drivers to fill in the yellow boxes.</t>
  </si>
  <si>
    <t>Cost Per Acquisition (CPA)</t>
  </si>
  <si>
    <t>As an experienced marketeer, you know that CPA demonstrates significant 'diseconomies of scale' (cost goes up as volume goes up).</t>
  </si>
  <si>
    <t>Multiply the Base CPA by 1 plus the CPA Elasticity</t>
  </si>
  <si>
    <t>You are analyzing a company that sells replacement windows, its only product.</t>
  </si>
  <si>
    <t xml:space="preserve"> + Other Intangible Investments (Impairments)</t>
  </si>
  <si>
    <t>Hints for Working on the Cash Flow Statement</t>
  </si>
  <si>
    <t>Cash Flow Statements always aggregate (sum up) all the Inflows and Outflows of Cash Flow during a period.</t>
  </si>
  <si>
    <t>As an investment, CapEx isn't less than zero, but it is shown as a negative number because it is an Outflow.</t>
  </si>
  <si>
    <t>Dividends are an Outflow of Cash and also shown as a negative number, but Dividends are never less than zero</t>
  </si>
  <si>
    <t>Inflows of Cash are positive numbers and Outflows of Cash are negative numbers on the Cash Flow Statement.</t>
  </si>
  <si>
    <t>You should remember that Increases in Assets, actually decrease Cash so you are subtracting an increase.</t>
  </si>
  <si>
    <t>Capital Expenditures (CapEx) are investments of Cash and an Outflow of Cash on the Cash Flow Statement.</t>
  </si>
  <si>
    <t>In contrast, increases in Liabilities, Debt and Equity increase Cash so you are adding an increase.</t>
  </si>
  <si>
    <t>EBIT (Operating Profit) Model</t>
  </si>
  <si>
    <t>The model takes a scenario and applies the relationships to calculate results.</t>
  </si>
  <si>
    <t>Hints for Working on this Assignment</t>
  </si>
  <si>
    <t>This exercises is a bit like solving a puzzle.</t>
  </si>
  <si>
    <t>First, you do the easy formulas to fill in the box.</t>
  </si>
  <si>
    <t>We did this for you in the Revenue Box without shading.</t>
  </si>
  <si>
    <t>Once you know these answers, you can apply the historical model to the forecast.</t>
  </si>
  <si>
    <t>Easy, right?</t>
  </si>
  <si>
    <t>Now you have learned how to build this model and can proceed with the rest of the exercise.</t>
  </si>
  <si>
    <t>You will hypothesize that the churn in the cat food business will be the same as that in the dog food business.</t>
  </si>
  <si>
    <t>The number of New (Acquired) Subscribers (or the related acquisition spend) would typically be the input that drives the model (the independent variable).</t>
  </si>
  <si>
    <t>Sales in $</t>
  </si>
  <si>
    <t>Models are not effective in predicting the future because they do not explain a real world phenomena.</t>
  </si>
  <si>
    <t>A model of a company's financial statements must exactly replicate historical financial results.</t>
  </si>
  <si>
    <t>A forecast using the ratio 'Days Sales Outstanding' (DSO) is applying a business relationship.</t>
  </si>
  <si>
    <t>A forecast using the ratio 'Days Sales Outstanding' (DSO) is applying an accounting relationship.</t>
  </si>
  <si>
    <t>Leave boxes for which there is no relationship between the rows and columns blank.</t>
  </si>
  <si>
    <t>In the case of an Industry Model, this is used to compare the company with its industry as a whole and to compare the company to its competitors according to specific factors.</t>
  </si>
  <si>
    <t>Business Model = Brief Description of Business Strategy and How Revenue and Profits are Generated</t>
  </si>
  <si>
    <t>This represents a simplified example of analyzing a business strategy that requires plant constructions.</t>
  </si>
  <si>
    <t>The company has recently gone through a period of financial stress and does not plan to pay a dividend this or next year.</t>
  </si>
  <si>
    <t>The Equity Analyst has selected to apply a 10% discount rate in today's market conditions.</t>
  </si>
  <si>
    <t>An IRR can only be calculated if at least one of the cash flows is negative and at least one is positive.</t>
  </si>
  <si>
    <t>Accounting - an accounting relationship</t>
  </si>
  <si>
    <t xml:space="preserve">The cost per acquisition (CPA) is the cost to acquire a new customer. </t>
  </si>
  <si>
    <t>We are now going to model alternative 'hypothesized scenarios'.</t>
  </si>
  <si>
    <t>The budgeted volumes permits the establishment of standard cost per unit of expenses that are not fully variable (fixed and semi-fixed).</t>
  </si>
  <si>
    <t xml:space="preserve">It represents the difference in expenses that would be expected because Actual Volumes were different than Budgeted Volumes. </t>
  </si>
  <si>
    <t>We assumed that the 'Cost Per Unit' remains constant</t>
  </si>
  <si>
    <t>Simple Company</t>
  </si>
  <si>
    <t>Specificity</t>
  </si>
  <si>
    <t>Financials Only</t>
  </si>
  <si>
    <t>The 'Volume Variances' are the difference between the Actual Volumes at Standard Cost less the Budgeted Volumes at Standard Cost.</t>
  </si>
  <si>
    <t xml:space="preserve">Industrial engineers find ways to eliminate wastefulness in production processes. </t>
  </si>
  <si>
    <t>You are now half way through the fiscal year and have the results of the first six months.</t>
  </si>
  <si>
    <t>Increase/decrease factory workers (direct labor) to respond to your full-year outlook.</t>
  </si>
  <si>
    <t>Adjust overhead to respond to your full-year outlook.</t>
  </si>
  <si>
    <t>In this case we are using an extremely simplistic 'default scenario' in which the values of the drivers are equal to those of the last period of actual results.</t>
  </si>
  <si>
    <t>However, there are many cases in which companies have a diverse product line about which you cannot obtain specificity.</t>
  </si>
  <si>
    <t>The model will also replicate the business relationships such as subscriptions being driven by cost per acquisition and churn or variances based on standards and actuals.</t>
  </si>
  <si>
    <t>Competitors, distribution channels, units, price, unit cost, financials</t>
  </si>
  <si>
    <t>As we discussed in the Workbook on Cash Flow Statements, most decision making is based on cash flows and not profits, so the calculation of cash generated is critical to most financial analyses.</t>
  </si>
  <si>
    <t>In this step the developer must 'debug' or 'validate' the model.</t>
  </si>
  <si>
    <t>Validation is a term that is used when programming complex models such as derivative valuation models.</t>
  </si>
  <si>
    <t>You develop a financial model by writing a 'program' (in this case in Excel) that re-creates accounting relationships and replicates business relationships.</t>
  </si>
  <si>
    <t>Ford, FedEx, P&amp;G</t>
  </si>
  <si>
    <t>In the following example we have hypothesized that all drivers remain constant except that the company aggressively cuts prices to gain market share.</t>
  </si>
  <si>
    <t>The comments to the right of each row will assist you.</t>
  </si>
  <si>
    <t>We assumed that the company gains share by aggressively cutting price</t>
  </si>
  <si>
    <t>For this exercise, we are now going to calculate the Net Present Value (NPV) three different ways to demonstrate the logic.</t>
  </si>
  <si>
    <t>Business - a business relationship</t>
  </si>
  <si>
    <t xml:space="preserve">The objective of this exercise is for you to understand how a model utilizes a set of relationships (drivers) to forecast a set of outcomes. </t>
  </si>
  <si>
    <t xml:space="preserve">Again, solving the puzzle we fill in the blanks we know for sure. </t>
  </si>
  <si>
    <t>This means you will forecast the Gross Margin and use that information to forecast the Gross Profits.</t>
  </si>
  <si>
    <t>To help you, we show the Outflows in italics.</t>
  </si>
  <si>
    <t>Sensitivity analysis of the results</t>
  </si>
  <si>
    <t>Before becoming reliant on this turnkey tool, you will create a 'Simple Company Model' from scratch in this Sheet by writing the required Excel logic.</t>
  </si>
  <si>
    <t>In the subsequent Workbooks on forecasting, we will be applying the same logic to 'hypothesized scenarios'.</t>
  </si>
  <si>
    <t>Price elasticity, seasonal ad spend, CPA, churn</t>
  </si>
  <si>
    <t>Decomposition of causes, standards and variances</t>
  </si>
  <si>
    <t>This decomposition provides a framework to help companies to revise budgets.</t>
  </si>
  <si>
    <t>This Sheet contains the Data Tables related to other Sheets in this Workbook because Excel intentionally does not permit Data Tables on protected Sheets.</t>
  </si>
  <si>
    <t>Viewing Multiple Sheets</t>
  </si>
  <si>
    <t>Excel permits users to simultaneously view multiple Sheets at the same time.</t>
  </si>
  <si>
    <t>On a Mac</t>
  </si>
  <si>
    <t>If the screen is in full screen mode click on the green circle in the upper left of the screen to it out of full screen mode (see image below of Excel not full screen).</t>
  </si>
  <si>
    <t>Select the 'New Window' option on the dropdown window to create a new window of the same Workbook.</t>
  </si>
  <si>
    <t>Select "Arrange" immediately under the 'New Window' and the "Arrange Windows" dropdown window will appear.</t>
  </si>
  <si>
    <t>You will now see two windows with duplicate copies of the 'EXCEL Tables' Sheet.</t>
  </si>
  <si>
    <t>On the right side of the screen select the 'DATA Tables' Sheet so that it will appear immediately to the right of the "EXCEL Tables' Sheet.</t>
  </si>
  <si>
    <t>You are able to select a different Sheet on either side of the screen.</t>
  </si>
  <si>
    <t>On a Windows Computer</t>
  </si>
  <si>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New Window</t>
    </r>
    <r>
      <rPr>
        <sz val="10"/>
        <color rgb="FF1E1E1E"/>
        <rFont val="Calibri"/>
        <family val="2"/>
      </rPr>
      <t>.</t>
    </r>
  </si>
  <si>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View Side by Side</t>
    </r>
    <r>
      <rPr>
        <sz val="10"/>
        <color rgb="FF1E1E1E"/>
        <rFont val="Calibri"/>
        <family val="2"/>
      </rPr>
      <t> </t>
    </r>
  </si>
  <si>
    <t> .</t>
  </si>
  <si>
    <t>Analysts develop 'hypothesized scenarios' and apply the model to analyze the financial results of each scenario.</t>
  </si>
  <si>
    <t>Section: Modeling &amp; Forecasting</t>
  </si>
  <si>
    <t>Data Analysis (Workbook 2)</t>
  </si>
  <si>
    <t>Financial Statement Analysis (Workbook 3)</t>
  </si>
  <si>
    <t>Income Statement (Workbook 4)</t>
  </si>
  <si>
    <t>Balance Sheet (Workbook 5)</t>
  </si>
  <si>
    <t>Cash Flow Statement (Workbook 6)</t>
  </si>
  <si>
    <t>Developing a Model (Workbook 7)</t>
  </si>
  <si>
    <t>Strategic Forecasting (Workbook 9)</t>
  </si>
  <si>
    <t>Forecasting Disruptions (Workbook 10)</t>
  </si>
  <si>
    <t>Financial Statement Analysis (Section III, Workbooks 3-6)</t>
  </si>
  <si>
    <t>Modeling &amp; Forecasting (Section IV, Workbooks 7-10)</t>
  </si>
  <si>
    <t>'They devise efficient systems that integrate workers, machines, materials, information, and energy to make a product or provide a service.' Bureau of Labor Statistics</t>
  </si>
  <si>
    <t>The standard unit costs have been established for the following expense components:</t>
  </si>
  <si>
    <t>Adjust the budget for the second half of the year?</t>
  </si>
  <si>
    <t>At the end of the period the Actual Volumes produced are known.</t>
  </si>
  <si>
    <t>Let's focus on decisions with respect to Direct Labor:</t>
  </si>
  <si>
    <t>With the experience of the first six months you need to revise the volume forecast for the second six months.</t>
  </si>
  <si>
    <t>Original Budget Second Six Months</t>
  </si>
  <si>
    <t>Actual Results First Six Months</t>
  </si>
  <si>
    <t>Revised Forecast Second Six Months</t>
  </si>
  <si>
    <t>Based on the Revised Forecast you need to project the Direct Labor at Standard Costs required.</t>
  </si>
  <si>
    <t>Your proposal to the President of the company should be to reduce staff to adjust for:</t>
  </si>
  <si>
    <t>Throughout the year companies revise their volume forecasts and operating budgets for the balance of the year.</t>
  </si>
  <si>
    <t>More importantly, this process guides operational decisions such as adding or reducing staff.</t>
  </si>
  <si>
    <t>You are the financial analyst at a company that manufactures commemorative pins.</t>
  </si>
  <si>
    <t>Overhead which is driven by the level of production such as electricity, direct supervision on the production line, uniforms for the production staff</t>
  </si>
  <si>
    <t>Write formulas in the green boxes below to calculate the Volume Variances.</t>
  </si>
  <si>
    <t>As a financial analyst, it is your job to utilize this information to explain (and hopefully improve) the efficiency of the plant.</t>
  </si>
  <si>
    <t>Your company's industrial engineer has established the following standard costs per unit for each of the three products.</t>
  </si>
  <si>
    <t>The budget is based on a forecasted volumes of production for each product.</t>
  </si>
  <si>
    <t>We will then apply this fundamental understanding of the half-year actual results to develop a revised budget for the second half and to decide whether to:</t>
  </si>
  <si>
    <t>On which product did your company anticipate spending the most (all cost components)?</t>
  </si>
  <si>
    <t xml:space="preserve">At this time the 'Actual Volumes at Standard Costs' is calculated. </t>
  </si>
  <si>
    <t>This represents the expenses that hypothetically should have been incurred, based on the Actual Volumes produced and the Standard Costs Per Unit.</t>
  </si>
  <si>
    <t>Write formulas in the green boxes below to calculate the Actual Volumes at Standard Costs.</t>
  </si>
  <si>
    <t>On which product did your company actually spend the most (all cost components)?</t>
  </si>
  <si>
    <t>However, to keep the administrative costs down, you had decided to do this only in aggregate.</t>
  </si>
  <si>
    <t>You have prepared the following revised forecast and are proposing it be accepted as the revised budget.</t>
  </si>
  <si>
    <t>The direct labor usage variance during the first half of the year was unfavorable and that the company needs to implement efficiency improvements to achieve the standards.</t>
  </si>
  <si>
    <t>Driver - the independent driver of a business relationship</t>
  </si>
  <si>
    <t>Economies of scale, market sizing and market shares</t>
  </si>
  <si>
    <t>This replication of business relationships can include strategic relationships such as economies of scale, price elasticity, channel strategy, or competitive cost position.</t>
  </si>
  <si>
    <t>Excel is a form of computer coding, albeit a user friendly solution.</t>
  </si>
  <si>
    <t>This is much less common in financial models, generally because they are less complex, although it is not unknown with complex models being used for decisions with large dollar impacts.</t>
  </si>
  <si>
    <t>Finally, in all financial decisions it is desirable and common to perform an analysis of risks.</t>
  </si>
  <si>
    <t>Models often include functionality to support risk analytics.</t>
  </si>
  <si>
    <t>This often includes 'sensitivity analyses'.</t>
  </si>
  <si>
    <t>Financial models almost always synthesize the results into financial metrics (e.g., Revenues, Profits, Free Cash Flows).</t>
  </si>
  <si>
    <t>You are going to simultaneously access this Sheet on the left side of the screen and the 'DATA TABLES' (next Sheet in this Workbook) on the right side.</t>
  </si>
  <si>
    <t>In most cases outside this course the work you will be doing will not be protected so that this encumberance will be irrelevant.</t>
  </si>
  <si>
    <t>Manufacturing Strategy</t>
  </si>
  <si>
    <t>Revise Budget &amp; Staffing</t>
  </si>
  <si>
    <t>Competitive cost position, scale economies</t>
  </si>
  <si>
    <t>Product Intro Strategy</t>
  </si>
  <si>
    <t>Facilities Plan</t>
  </si>
  <si>
    <t>Standard cost accounting framework (standard/actual costs, budgeted/actual volumes, volume/usage variances), financials</t>
  </si>
  <si>
    <t>MODEL</t>
  </si>
  <si>
    <t>In the parlance of the equity analyst community, this is often call the 'investment thesis'.</t>
  </si>
  <si>
    <t>The quantitative communication will be presented along with a qualitative communication of the decision logic.</t>
  </si>
  <si>
    <t>Equity analyst reports almost always include both an investment thesis and a financial model that supports and communicates the conclusions.</t>
  </si>
  <si>
    <t>The quantification in the model should sync with and support the qualitative expression of the understanding of the decision and the consequent conclusions.</t>
  </si>
  <si>
    <t>You are going to want to complete this Sheet with the 'DATA TABLES' Sheet arranged to the right.</t>
  </si>
  <si>
    <t>Data Table for 'EXCEL Financial Functions' Sheet</t>
  </si>
  <si>
    <t>Data Table for 'MODEL Manufacturing Strategy' Sheet</t>
  </si>
  <si>
    <t>Data Table for 'MODEL Product Introduction' Sheet</t>
  </si>
  <si>
    <t>Decision To Be Made</t>
  </si>
  <si>
    <t>Economies of scale in plant construction</t>
  </si>
  <si>
    <t>Unit forecast of demand by product based on market growth and changes in market share</t>
  </si>
  <si>
    <t>You will apply the model to analyze future marketing strategies including channel focus and pricing.</t>
  </si>
  <si>
    <t>Industry structure (oligopoly) &amp; distribution channels</t>
  </si>
  <si>
    <t>Beyond a simple set of financials, no additional specificity or strategic considerations will be required.</t>
  </si>
  <si>
    <t>Industry structure, competitive costs, distribution channels, units, price, unit cost, financials</t>
  </si>
  <si>
    <t>Whether to reduce staffing based on year-to-date budget variances?</t>
  </si>
  <si>
    <t>Standard cost accounting framework (standard/actual costs, budgeted/actual volumes, volume/usage variances)</t>
  </si>
  <si>
    <t>If you do, how should advertising dollars be spent by season?</t>
  </si>
  <si>
    <t>Cost per acquisition by month, price elasticity, churn, subscription behavior, promotional offers, seasonal ad rates</t>
  </si>
  <si>
    <t>Cost per acquisition by month, price elasticity, churn, subscription behavior, promotional offers, seasonal ad rates and financials</t>
  </si>
  <si>
    <t>It incorporates the analysis of the lifecycle value of a customer</t>
  </si>
  <si>
    <t>In this Sheet you will develop a model of a subscription cat food business.</t>
  </si>
  <si>
    <t>This can be done in Excel by using 'Data Tables'.</t>
  </si>
  <si>
    <t>When, where and in what increments should facilities be expanded?</t>
  </si>
  <si>
    <t>Provide a basic forecast of next year's financials</t>
  </si>
  <si>
    <t>Whether to launch a new product and, if yeas, how should advertising be spent seasonally?</t>
  </si>
  <si>
    <t>- Constructing a Plant</t>
  </si>
  <si>
    <t>- Launching a Product</t>
  </si>
  <si>
    <t>- Increasing/Decreasing Staffing</t>
  </si>
  <si>
    <t>- Acquiring a Company</t>
  </si>
  <si>
    <t>- Buying/Selling a Stock</t>
  </si>
  <si>
    <t>- Marketing Strategy (distribution channel, pricing)</t>
  </si>
  <si>
    <t>This is a situation where granular historical data was not available</t>
  </si>
  <si>
    <t>You will cobble together available data into a model to analyze what had happened with respect to channel mix and pricing.</t>
  </si>
  <si>
    <t>Core Concepts</t>
  </si>
  <si>
    <t>Increase in Accounts Payable (the Accounts Payable in the current year minus that in the previous year)</t>
  </si>
  <si>
    <t>Minus the increase in Accounts Receivable (the Accounts Receivable in the current year minus that in the previous year)</t>
  </si>
  <si>
    <t>Gross Profits is calculated as Revenues multiplied by Gross Margin</t>
  </si>
  <si>
    <t>OpEx is calculated as Revenues multiplied by OpEx Percent Revenues</t>
  </si>
  <si>
    <t>EBIT is calculated as Gross Profits minus Operating Expenses (OpEx)</t>
  </si>
  <si>
    <t>Pretax Income is calculated as EBIT plus Net Interest Income (Expenses)</t>
  </si>
  <si>
    <t>Taxes is calculated as Pretax Profits multiplied by Tax Rate</t>
  </si>
  <si>
    <t>PP&amp;E in a year is calculated as PP&amp;E in the previous year plus CapEx in the current year minus Depreciation in the current year.</t>
  </si>
  <si>
    <t>Notes</t>
  </si>
  <si>
    <t>Product level analysis including units, price, unit costs</t>
  </si>
  <si>
    <t>Investment analysis of new plant construction</t>
  </si>
  <si>
    <t>You are going to want to complete this section with the 'DATA TABLES' Sheet arranged to the right.</t>
  </si>
  <si>
    <t>In this case we will use Excel Data Tables to analyze the sensitivity of the decision to key factors.</t>
  </si>
  <si>
    <t>Having developed a forecast of Cash Flows we can now analyze potential scenarios.</t>
  </si>
  <si>
    <t>Capacity</t>
  </si>
  <si>
    <t>The company will have to add capacity over the next decade to satisfy demand.</t>
  </si>
  <si>
    <t>What is the long-term (after a first several month ramp up period) monthly sales to an average customer?</t>
  </si>
  <si>
    <t>How many months does it take to loose 50% of the new customers?</t>
  </si>
  <si>
    <t>What percent of new customers are retained in the 4th month?</t>
  </si>
  <si>
    <t>Select the 'Off for Rows and Columns' option.</t>
  </si>
  <si>
    <t>Select 'Grand Totals'</t>
  </si>
  <si>
    <t>Finally, remove the Grand Total row by clicking anywhere in the PivotTable</t>
  </si>
  <si>
    <t>In the Format Cells window select 'Number' in the 'Category' box and '0' in the 'Decimal places' box.</t>
  </si>
  <si>
    <t>Select 'Number…' in the window, which will open the 'Format Cells' window.</t>
  </si>
  <si>
    <t>Select 'Average' in the pop-up window.</t>
  </si>
  <si>
    <t xml:space="preserve">In the same PivotTable add 'Value' to the 'Values' box. </t>
  </si>
  <si>
    <t>In the Format Cells window select 'Percentage' in the 'Category' box and '1' in the 'Decimal places' box.</t>
  </si>
  <si>
    <t>Finally, select 'Number…' in the window, which will open the 'Format Cells' window.</t>
  </si>
  <si>
    <t>For each row, this will calculate the number of instances as a percent of the total number of instances of the first month (this ratio represents the number of initial customers who continued their subscription through that month).</t>
  </si>
  <si>
    <t>'1' in 'Base item' box</t>
  </si>
  <si>
    <t>'Month' in 'Base field' box</t>
  </si>
  <si>
    <t>'% Of'</t>
  </si>
  <si>
    <t>In this new window select:</t>
  </si>
  <si>
    <t>Select 'Show data as' which will open a new pop-up window.</t>
  </si>
  <si>
    <t>Select 'Count' in the pop-up window.</t>
  </si>
  <si>
    <t>Drag 'Month" to the 'Values' box</t>
  </si>
  <si>
    <t>Drag 'Month' to the 'Rows' box.</t>
  </si>
  <si>
    <t>As with any subscription business, customers cancel their subscriptions over time (called 'churn').</t>
  </si>
  <si>
    <t>There are several ancillary products that customers can add during the first several months of the subscription.</t>
  </si>
  <si>
    <t>The price for the first-month tickler is $5 and sales in subsequent months start at $100.</t>
  </si>
  <si>
    <t>The subscription is for monthly deliveries of dog food.</t>
  </si>
  <si>
    <t>The data below is the result of 36 months (since launch) of sales history from your dog food subscription business.</t>
  </si>
  <si>
    <t>You want to understand the typical life cycle consumer behavior of a dog food subscription customer.</t>
  </si>
  <si>
    <t>You are the CEO of Feed-a-Pet, a successful pet food company.</t>
  </si>
  <si>
    <t>You are going to want to complete this Sheet with the 'DATA Subscription Business' Sheet arranged to the right.</t>
  </si>
  <si>
    <t>This entire sheet is Challenge Homework.</t>
  </si>
  <si>
    <t>Section: Data Analysis</t>
  </si>
  <si>
    <t>Value</t>
  </si>
  <si>
    <t>Customer</t>
  </si>
  <si>
    <t>Create a PivotTable</t>
  </si>
  <si>
    <t>Subscription History Data</t>
  </si>
  <si>
    <t>Analyzing a Direct to Consumer Subscription Business</t>
  </si>
  <si>
    <t>The results of this analysis will be incorporated in the financial model you will develop on the 'MODEL Product Introduction' Sheet.</t>
  </si>
  <si>
    <t>On a Mac, in the 'Values' box click on the 'i' icon to the right of 'Month', which will open the 'PivotTable Field' window.</t>
  </si>
  <si>
    <t>Calculate the average value of each months sale based on the number of months as a subscriber.</t>
  </si>
  <si>
    <t>You will calculate the percent of customers retained in each month by dividing the number of sales in that month by the total of customers (the number of sales in month 1).</t>
  </si>
  <si>
    <t>Retention is inversely related to churn.</t>
  </si>
  <si>
    <t>Select the 'Design' tab, that will pop up. You may have to select the '&gt;&gt;' to get to the "Design' tab.</t>
  </si>
  <si>
    <t>Although the churn of the fourth or subsequent months varies minimally month to month, it is unlikely that this variability is a pattern that will repeat.</t>
  </si>
  <si>
    <t>ALERT: Because the value of the Dividends are shown as a negative on the Cash Flow Statement the value should be added to subtract Dividends</t>
  </si>
  <si>
    <t>Select 'What-if Analysis' icon</t>
  </si>
  <si>
    <t>SUMPRODUCT does not require the interim results to be stored in cells, as we did in the second presentation.</t>
  </si>
  <si>
    <t>SUMPRODUCT is actually an extremely powerful function that permits you to create complex logic with multiple conditions.</t>
  </si>
  <si>
    <t>Data Tables in this Workbook are located on the 'DATA TABLES' Sheet because Excel does not permit Data Tables on protected Sheets</t>
  </si>
  <si>
    <t>Simultaneously viewing multiple Sheets</t>
  </si>
  <si>
    <t>Using a Data Table</t>
  </si>
  <si>
    <t>The Present Value (PV) of any years cashflow is equal to the value of the cashflow multiplied by that year's Discount Factor.</t>
  </si>
  <si>
    <t>This is a business in which earnings tightly parallel cash flows and we are using earnings as a surrogate for cash flows in valuations.</t>
  </si>
  <si>
    <t>You can define a range of values for each variable, one with the values presented in rows and the other in columns.</t>
  </si>
  <si>
    <t>Financial theory dictates that the value of an asset is equal to the net present value of the future cash flows that the asset generates.</t>
  </si>
  <si>
    <t>Calculation of NPV</t>
  </si>
  <si>
    <t>Excel populates the matrix of cells for all combinations of all values of the two independent variables.</t>
  </si>
  <si>
    <t>The aggregate volume of products produced or orders shipped required more labor</t>
  </si>
  <si>
    <t>The mix of products produced or orders shipped required more labor</t>
  </si>
  <si>
    <t>Standard cost accounting permits businesses to decompose variances from budgets into multiple causal factors.</t>
  </si>
  <si>
    <t>When and how large a new manufacturing plant should be constructed?</t>
  </si>
  <si>
    <t>Marketing Strategy</t>
  </si>
  <si>
    <t xml:space="preserve">The Contribution is the percent of the sum of the present values represented by the PV of that year's cashflows. </t>
  </si>
  <si>
    <t>In this exercise you will create a simple company forecast for the next (current) year.</t>
  </si>
  <si>
    <t>This is an introductory exercise and would not be a common task as a financial analyst.</t>
  </si>
  <si>
    <t>If your answer to the type of relationship is wrong the cell will immediately turn red.</t>
  </si>
  <si>
    <t>The first step is to model the entire market. The company manufacturers two products (A and B) so each market must be modeled.</t>
  </si>
  <si>
    <t>What is the sales outlook for the second half of the year given first-half results?</t>
  </si>
  <si>
    <t>Businesses need to understand how efficiently they are operating and make budgetary and operational decisions to adjust to efficiently run their operations.</t>
  </si>
  <si>
    <t xml:space="preserve">This decomposition makes it possible to make decisions and take actions to remedy problems or capture opportunities. </t>
  </si>
  <si>
    <t>Let's first use the standard cost accounting framework to analyze the six-months of actual results.</t>
  </si>
  <si>
    <t>You are scheduled to meet with the President of the company. She is expecting you to propose decisions she might take and explain your thinking.</t>
  </si>
  <si>
    <t>The required staffing for the forecasted volumes at standard costs during the second half of the year do not justify the staffing required at actual volumes during the first half.</t>
  </si>
  <si>
    <t>As the world is always changing, it is a challenge to understand how resource (labor, materials, overhead) consumption aligns with efficiency standards.</t>
  </si>
  <si>
    <t>The staff was less efficient than you expected</t>
  </si>
  <si>
    <t>For all products and cost categories, during the first six months of the year what was the overall variance between Actual Expenses and Budget?</t>
  </si>
  <si>
    <t>6 Month Actual Sales</t>
  </si>
  <si>
    <t>6 Month Budget Sales</t>
  </si>
  <si>
    <t>The original sales budget (the one made before the year began) for volumes for the second six months were exactly the same as for the first six months.</t>
  </si>
  <si>
    <t>In this case we are 'modeling' history to develop an understanding of what has happened.</t>
  </si>
  <si>
    <t>An understanding of what has happened is fundamental and critical to formulating a business strategy.</t>
  </si>
  <si>
    <t>Both Companies</t>
  </si>
  <si>
    <t>Neither Company</t>
  </si>
  <si>
    <t>Your Company</t>
  </si>
  <si>
    <t>The fact that a company paid more for direct labor can be decomposed to the following factors:</t>
  </si>
  <si>
    <t>You will analyze an investment in a new direct to consumer (DTC) e-commerce product.</t>
  </si>
  <si>
    <t>DTC product launches typically require very substantial investments because the cost to acquire customers can be very large.</t>
  </si>
  <si>
    <t>However, the advent of internet-based marketing (e.g., Google, Facebook, Casper, Harry's) has enabled new entrants to develop markets at lightening speed relative to historic norms.</t>
  </si>
  <si>
    <t>You must decide if the life cycle economics of the DTC model justifies the significant upfront marketing investment.</t>
  </si>
  <si>
    <t>Whether to launch a new product?</t>
  </si>
  <si>
    <t>Furthermore, a subordinate decision is how active your marketing effort should be in December, a month in which Cost Per Acquisition (CPA) is significantly higher than the norm.</t>
  </si>
  <si>
    <t>EXHIBIT: Elasticity of CPA</t>
  </si>
  <si>
    <t>Acquisition Premium</t>
  </si>
  <si>
    <t>We have initially assumed that New Subscribers will grow at a constant 1% monthly</t>
  </si>
  <si>
    <t>The VLOOKUP function is presented in the next Workbook.</t>
  </si>
  <si>
    <t>Create the following Data Table by selecting the 'Data Table…' option in the 'What-if Analysis' icon on the 'Data' tab.</t>
  </si>
  <si>
    <t>All of the above</t>
  </si>
  <si>
    <t>This exercise demonstrates how you can perform data analysis on an analogous business to provide inputs to a model of a potential new business.</t>
  </si>
  <si>
    <t>Financial analysts often have to cobble together existing data to creatively analyze nonexistent scenarios.</t>
  </si>
  <si>
    <t>The market grew rapidly</t>
  </si>
  <si>
    <t>Modeling the market requires establishing growth rates for each of the products.</t>
  </si>
  <si>
    <t>Economies of Scale in Plant Construction</t>
  </si>
  <si>
    <t>The above Cost of Plant Construction demonstrates significant 'economies of scale'.</t>
  </si>
  <si>
    <t>Economies of scale, enjoying a lower unit cost for a larger scale operation or investment, is common.</t>
  </si>
  <si>
    <t>Software development affords the ultimate level of economies of scale as once software is developed there is absolutely no additional cost for additional use.</t>
  </si>
  <si>
    <t>The last potential component of a model is a Risk Analysis.</t>
  </si>
  <si>
    <t>Therefore, the company will manufacture Product A before Product B.</t>
  </si>
  <si>
    <t>CapEx/ Unit</t>
  </si>
  <si>
    <t>Company Financial Model</t>
  </si>
  <si>
    <t>Incremental Unit Sales</t>
  </si>
  <si>
    <t>Capacity Expansion Model</t>
  </si>
  <si>
    <t>Company Sales Model</t>
  </si>
  <si>
    <t>We have ignored depreciation, indirect operating expenses, non-operating expenses, financing and taxes.</t>
  </si>
  <si>
    <t>Cost structure</t>
  </si>
  <si>
    <t>Your company manufactures some of its products and purchases and resells other products.</t>
  </si>
  <si>
    <t>Labor</t>
  </si>
  <si>
    <t>Overhead</t>
  </si>
  <si>
    <t>Pretax</t>
  </si>
  <si>
    <t>Cash Flow from Operations</t>
  </si>
  <si>
    <t>Make-Buy Decision</t>
  </si>
  <si>
    <t>Debt</t>
  </si>
  <si>
    <t>Cash Generated</t>
  </si>
  <si>
    <t>Whether to continue to buy a product for resale or to manufacture it internally?</t>
  </si>
  <si>
    <t>Cost structure, capital structure</t>
  </si>
  <si>
    <t>Cash Flow from Investing</t>
  </si>
  <si>
    <t>Cash Flow from Financing</t>
  </si>
  <si>
    <t>Percent Debt Financed</t>
  </si>
  <si>
    <t>Investment Required</t>
  </si>
  <si>
    <t>Investment</t>
  </si>
  <si>
    <t>Products, market shares, units, capacity, lost sales, price, unit cost, financials, CapEx, valuation, sensitivity analysis</t>
  </si>
  <si>
    <t>Facility online/constructed/capacity, call volumes, fixed/variable unit costs, CapEx, financials, valuation, sensitivity analysis</t>
  </si>
  <si>
    <t xml:space="preserve">Model unavailable historic data to analyze the causes of deteriorating financial situation? </t>
  </si>
  <si>
    <t>Investment size, valuation, sensitivity analysis, what-if capabilities, Excel Data Table</t>
  </si>
  <si>
    <t>Whether to continue purchase brushes to be distributed or to begin manufacturing them internally?</t>
  </si>
  <si>
    <t>How big an investment can you make for insourcing to be attractive?</t>
  </si>
  <si>
    <t>How should you finance the investment.</t>
  </si>
  <si>
    <t>Investment size, valuation, sensitivity analysis, what-if capabilities, Excel Data Table, cost structure, capital structure</t>
  </si>
  <si>
    <t>Below we present a Excel Data Table.</t>
  </si>
  <si>
    <t>The 'EXCEL Financial Functions' Sheet presents how to create a Data Table, but, the output is presented here for those that do not want to dive any deeper.</t>
  </si>
  <si>
    <t>$250,000 with 50% debt financed</t>
  </si>
  <si>
    <t>Hints</t>
  </si>
  <si>
    <t>Interest Income (5% interest rate)</t>
  </si>
  <si>
    <t>Tax (30%tax rate)</t>
  </si>
  <si>
    <t>Balance Sheet (change in account)</t>
  </si>
  <si>
    <t>Cash is equal to that of the previous year plus Cash Generated</t>
  </si>
  <si>
    <t>Debt is equal to that of the previous year plus Issues (Retirement) of Debt</t>
  </si>
  <si>
    <t>Issues (Retirement) Debt</t>
  </si>
  <si>
    <t>Equity is equal to that of the previous year plus Net Income (there are no Dividends)</t>
  </si>
  <si>
    <t>Net Income from the Income Statement</t>
  </si>
  <si>
    <t>Investment Required spread of the useful life (5 years)</t>
  </si>
  <si>
    <t>These are the facts that you need to incorporate into a model:</t>
  </si>
  <si>
    <t>The following model should include only the incremental impact on the Income Statement, Balance Sheet and Cash Flow Statement.</t>
  </si>
  <si>
    <t>Finished Goods Expense</t>
  </si>
  <si>
    <t>Additional work needs to be done to firm up an estimate but you believe the equipment will cost between $200,000 and $350,000.</t>
  </si>
  <si>
    <t>The Treasurer of your company needs to decide how the investment would be financed and has asked you to analyze the sensitivity of the return to financing options.</t>
  </si>
  <si>
    <t xml:space="preserve">For the purpose of developing the model, you have selected some initial values for the two independent variables. </t>
  </si>
  <si>
    <t>Please enter formula in the yellow boxes below to develop the model.</t>
  </si>
  <si>
    <t>Monthly</t>
  </si>
  <si>
    <t>Months to Advertise</t>
  </si>
  <si>
    <t>We use the simplest of models to present Data Tables.</t>
  </si>
  <si>
    <t>Net Present Value of Earnings = $100 (1 + Growth Rate) / (Discount Rate - Growth Rate)</t>
  </si>
  <si>
    <t>Enter a formula in the green box below that expresses this relationship.</t>
  </si>
  <si>
    <t>In the green cell immediately below enter the result for Discount Rate = 8% and Growth Rate = 4%.</t>
  </si>
  <si>
    <t>You earned $100 last year. You expect your earnings to increase by a constant Growth Rate annually.</t>
  </si>
  <si>
    <t>Your company has been spending $200,000 annually to purchase brushes. This expense will cease if supply of brushes is insourced.</t>
  </si>
  <si>
    <t>Shown as positive because it is an expense that will cease to exist</t>
  </si>
  <si>
    <t>The functionality automatically analyzes a formula that is dependent on these two variables and presents the results of all combinations of the two independent variables.</t>
  </si>
  <si>
    <t>$350,000 with 25% debt financed</t>
  </si>
  <si>
    <t>Acquisition Expense (Actual CPA x number of New Subscribers) + Distribution Expense ($10 shipping and handling x total of New, 2nd, 3rd and 4+ Month Subscribers)</t>
  </si>
  <si>
    <t>Strategic analysis including market sizing and market share analysis.</t>
  </si>
  <si>
    <t>Product A's growth will decelerate, declining linearly by .5% every year.</t>
  </si>
  <si>
    <t xml:space="preserve">The company currently has 500 units of capacity. </t>
  </si>
  <si>
    <t>The market size of each product can be forecast based on growth expectations.</t>
  </si>
  <si>
    <t>We have simplified the problem by focusing only on Gross Margin and CapEx.</t>
  </si>
  <si>
    <t>Unit Operating Cost</t>
  </si>
  <si>
    <t>CapEx Scale Economies</t>
  </si>
  <si>
    <t>Operating Scale Economies</t>
  </si>
  <si>
    <t>The existing plant has a Unit Operating Cost of $60.</t>
  </si>
  <si>
    <t>Cumulative Additional Capacity</t>
  </si>
  <si>
    <t>Product A and B require the same amount of capacity to manufacture. That simplifies the analysis of capacity as we can measure capacity in 'units' of Product A and B as a common denominator.</t>
  </si>
  <si>
    <t>The company will choose to deploy scarce capacity on the most profitable products.</t>
  </si>
  <si>
    <t>Write formulas in the green boxes below to calculate how many units of each product would be sold.</t>
  </si>
  <si>
    <t>The Incremental Gross Profit is the Incremental Unit Sales multiplied by the Unit Gross Profit</t>
  </si>
  <si>
    <t>The Cumulative Additional Capacity because all of that capacity will be utilized before loading the higher cost existing plant.</t>
  </si>
  <si>
    <t>The Incremental Cash Flow is the sum of the Incremental Gross Profit plus the Operating Cost Reduction minus the Capital Expenditures</t>
  </si>
  <si>
    <t>Capital Expenditures (CapEx)</t>
  </si>
  <si>
    <t>Incremental Cash Flow</t>
  </si>
  <si>
    <t>Risk Analysis (Data Table)</t>
  </si>
  <si>
    <t>Incremental Gross Profit at $60</t>
  </si>
  <si>
    <t>Operating Cost Reduction (below $60)</t>
  </si>
  <si>
    <t>Complete the model by entering formulas in the green cells below.</t>
  </si>
  <si>
    <t>The company's market share of Product B is expected to decline by 5% this year because of a new entrant but will then remain flat thereafter.</t>
  </si>
  <si>
    <t>Notice how the Capex/Unit declines from $350 to $250 as the number of units of capacity added increases.</t>
  </si>
  <si>
    <t>The model permits users to select the size of Capacity Expansion in Units</t>
  </si>
  <si>
    <r>
      <rPr>
        <i/>
        <sz val="10"/>
        <color theme="1"/>
        <rFont val="Calibri"/>
        <family val="2"/>
      </rPr>
      <t>Hint</t>
    </r>
    <r>
      <rPr>
        <sz val="10"/>
        <color theme="1"/>
        <rFont val="Calibri"/>
        <family val="2"/>
      </rPr>
      <t>: If you hard code the Unit Operating Cost of $45 related to Capacity Expansion of 150 Units downstream questions will be graded as incorrect.</t>
    </r>
  </si>
  <si>
    <t>Company's Unit Sales</t>
  </si>
  <si>
    <t>The sales of the company for each product can be calculated based on an outlook for its market share of the product.</t>
  </si>
  <si>
    <t>Calculate the Incremental Unit Sales as the Company's Unit Sales minus the Capacity Constrained Unit Sales.</t>
  </si>
  <si>
    <t>Enter a formula in the green cell below that calculates the New Present Value of the Incremental Cash Flows.</t>
  </si>
  <si>
    <t>Enter a formula in the green cell below that calculates the Internal Rate of Return of the Incremental Cash Flows.</t>
  </si>
  <si>
    <t>The plan is to fully load any new plant because of its lower operating cost and to utilize the existing plant to manufacture the balance.</t>
  </si>
  <si>
    <t>You should assume a discount rate of 12%.</t>
  </si>
  <si>
    <t>The following model supporting the decision of when and how large a plant to construct should incorporate the following:</t>
  </si>
  <si>
    <t>Plant capacity and capital expenditure (CapEx) analysis explicitly recognizing economies of scale.</t>
  </si>
  <si>
    <t>Furthermore the Unit Operating Cost declines from $50 to $40 as the number of units of capacity added increases.</t>
  </si>
  <si>
    <t>However, new capacity will operate at a lower unit cost and therefore the Operating Cost Reduction is the product of:</t>
  </si>
  <si>
    <t>$60 Unit Cost of the existing plant minus the Unit Cost of the new plant dependent on the size of new plant constructed.</t>
  </si>
  <si>
    <t>You will use a Data Table to perform a sensitivity analysis of the results.</t>
  </si>
  <si>
    <t>This IRR exceeds the investment threshold of the company so the construction of a new plant is a 'go' decision.</t>
  </si>
  <si>
    <t>Now we have to drill down to determine what sized plant to construct.</t>
  </si>
  <si>
    <t>Capacity Expansion</t>
  </si>
  <si>
    <t>We show the entire financial statement below. Accounting relationships and formulaic equivalencies are highlighted in blue.</t>
  </si>
  <si>
    <t>Calculate the Net Present Value (NPV) selecting a 10% Discount Rate of the above annual time series.</t>
  </si>
  <si>
    <t>Calculate the Internal Rate of Return (IRR) of the above annual time series.</t>
  </si>
  <si>
    <t>You are now going to calculate a variety of measures for a variety of 'Monthly Growth' measures for alternative 'Months to Advertise'.</t>
  </si>
  <si>
    <t>Calculate the Net Present Value (NPV) selecting a 10% Discount Rate of the above annual 10-year time series excluding the terminal value.</t>
  </si>
  <si>
    <t>The vast majority of the NPV including the terminal value comes from the terminal value.</t>
  </si>
  <si>
    <t>1% growth / All months</t>
  </si>
  <si>
    <t>1% growth / Exclude Dec</t>
  </si>
  <si>
    <t>What is the scenario that results in the highest Internal Rate of Return (IRR)?</t>
  </si>
  <si>
    <t>Excluding advertising in December avoids the significantly higher seasonal advertising rates</t>
  </si>
  <si>
    <t>The lower growth permits the company to target the most receptive prospective customers</t>
  </si>
  <si>
    <t>Develop a basic models and apply it to forecast the current year and next year results.</t>
  </si>
  <si>
    <t>Basic Example</t>
  </si>
  <si>
    <t>Finally, a company financial model adheres to GAAP accounting standards.</t>
  </si>
  <si>
    <t>With the exception of the first model presented in this Workbook, all of the others will have significantly greater specificity than just the financials.</t>
  </si>
  <si>
    <r>
      <t xml:space="preserve">EXHIBIT: </t>
    </r>
    <r>
      <rPr>
        <sz val="10"/>
        <color indexed="8"/>
        <rFont val="Calibri"/>
        <family val="2"/>
      </rPr>
      <t>How the Model Maintains Accounting Relationships, the Circularity of the Main Financial Statements</t>
    </r>
  </si>
  <si>
    <t>Financial Modeling utilizes the results of Data Analyses and Financial Statement Analysis to provide an analytic infrastructure to support Forecasting, Valuation and Risk Management.</t>
  </si>
  <si>
    <t>Strategic Considerations</t>
  </si>
  <si>
    <t>The 'MODEL Simple Company' is presented as an introductory, bare-bones example of a financial model. We have included this model to contrast the richness of the other models.</t>
  </si>
  <si>
    <t>In the 'MODEL Manufacturing Strategy' Sheet of this Workbook you can value alternative manufacturing plant construction strategies.</t>
  </si>
  <si>
    <t>Generally, the further out a cash flow the higher the discount and the less valuable the cash flow is today.</t>
  </si>
  <si>
    <t>In the yellow cells below write formulas to calculate the expected dividend in each year.</t>
  </si>
  <si>
    <t>Write a formula in the green cell below to calculate the Internal Rate of Return of the following series of cash flows in which the initial investment was $1000 rather than $500 above.</t>
  </si>
  <si>
    <t>Data Tables permit you to identify two independent variables and Excel automatically recalculates a result that is dependent on these variables</t>
  </si>
  <si>
    <t>We will shortly present examples of such a matrix but first you must simultaneously open the 'DATA TABLES' Sheet.</t>
  </si>
  <si>
    <t>Click on 'Window' in the selection at the top of the screen and a dropdown window will appear.</t>
  </si>
  <si>
    <t>Notice that at the bottom of the 'Window" dropdown menu above that 'WB2-Data Analysis' is shown twice.</t>
  </si>
  <si>
    <t>In general, it is extremely difficult to justify a new plant for operational efficiencies alone. Typically generating incremental sales must contribute to the justification.</t>
  </si>
  <si>
    <t>This is often the case. The majority of the value of most businesses is the value of the 'ongoing concern'.</t>
  </si>
  <si>
    <t>That is why financial analysts often use Discount Rates significantly higher than the weighted average cost of capital to recognize the risk of business over the very long term.</t>
  </si>
  <si>
    <t>Equity in a year is calculated as Equity in the previous year plus Net Income minus Dividends</t>
  </si>
  <si>
    <t>You estimate that manufacturing inhouse will cost $100,000 in labor and $10,000 in overhead.</t>
  </si>
  <si>
    <t>You are responsible for developing a model that analyzes the potential investment, providing valuations of alternate strategies and a sensitivity analysis of the results.</t>
  </si>
  <si>
    <t>The Excel Data Table functionality permits users to identify a set of potential value for two independent variables .</t>
  </si>
  <si>
    <t>Notice that in the above analysis Incremental Gross Profit (from incremental sales) represents the vast majority of Incremental Cash Flows.</t>
  </si>
  <si>
    <t>We cleared the hurdle and have justified the construction of a new plant.</t>
  </si>
  <si>
    <t>On a Windows computer, in the 'Values' box click on the down arrow to the right of 'Month', which will open a window and select the "Value Field Settings...' option.</t>
  </si>
  <si>
    <t>Before constructing the model the company had a qualitative knowledge of significant changes occurring in the industry.</t>
  </si>
  <si>
    <t>Your company has been distributing brushes purchased from a third-party and you are analyzing the economics of insourcing (manufacturing internally) the supply.</t>
  </si>
  <si>
    <t>The exercise is designed such that an error early in the assignment will not adversely impact later grading.</t>
  </si>
  <si>
    <t>It represents the difference in expenses between Actual Expenses and what should have been expected given the volumes actually produced.</t>
  </si>
  <si>
    <t>On the 'DATA Subscription Biz' Sheet is the history of approximately 20,000 sales made by more than 1600 customers over a three year period.</t>
  </si>
  <si>
    <t>Creating a Data Table</t>
  </si>
  <si>
    <t>Calculate the probability that a customer will be lost after each month they have been a customer.</t>
  </si>
  <si>
    <t>New customers sign up month 1 based on the incentive of the $5 tickler subscription price.</t>
  </si>
  <si>
    <t>Calculate the probability the customer will continue to subscriber after month 1, month 2, month 3, etc.</t>
  </si>
  <si>
    <t>Subscription models refer to this as the retention rate, which is the inverse of churn.</t>
  </si>
  <si>
    <t>Customers churn or leave their subscriptions throughout the year (as they absorb the higher fees of standard subscription rates).</t>
  </si>
  <si>
    <t>Dividends is the negative of the Net Income multiplied by Payout Ratio</t>
  </si>
  <si>
    <t>Days of Sales Outstanding (DSO) is calculated as Accounts Receivable / Revenues * 365</t>
  </si>
  <si>
    <t>Days of Payables Outstanding (DPO) is calculated as Accounts Payable / Cost of Revenues * 365</t>
  </si>
  <si>
    <t>Accounts Receivable is calculated as Revenues multiplied by Days of Sales Outstanding (DSO) / 365</t>
  </si>
  <si>
    <t>Accounts Payable is calculated as Cost of Revenues multiplied by Days of Payables Outstanding (DPO) / 365</t>
  </si>
  <si>
    <t>Three</t>
  </si>
  <si>
    <t>Two</t>
  </si>
  <si>
    <t>One</t>
  </si>
  <si>
    <t>Use Data Validation on the green box below to limit entering any number beside a 'Whole number' between 1 and 5.</t>
  </si>
  <si>
    <t>You can create an 'Input Message' or an 'Error Alert' as options.</t>
  </si>
  <si>
    <t>Selecting 'Data Validation' on the 'Data' tab above opens a window.</t>
  </si>
  <si>
    <t xml:space="preserve">Data Validation is a flexible capability which permits the limiting of entries based on a list or a specific 'Validation criteria'. </t>
  </si>
  <si>
    <t>Throughout these Workbooks we use Data Validation to permit students to select among options.</t>
  </si>
  <si>
    <t>Data Validation</t>
  </si>
  <si>
    <t>Data Validation is often used when developing a model.</t>
  </si>
  <si>
    <t>Data Validation cannot be added to a protected Sheet, although it can be implemented prior to protecting the Sheet.</t>
  </si>
  <si>
    <t>Therefore, the Data Validation homework is on the unprotected 'DATA TABLES' Sheet.</t>
  </si>
  <si>
    <t>Data Validation for 'EXCEL Financial Functions' Sheet</t>
  </si>
  <si>
    <t>Strategic Financial Analysis &amp; Modeling</t>
  </si>
  <si>
    <t>SFAM is designed to be a generic financial model without any company/industry operating or strategic specifics.</t>
  </si>
  <si>
    <t>SFAM was designed to automatically upload historic company financial statements into a working model.</t>
  </si>
  <si>
    <t>In the next Workbook we use SFAM as a template to develop more advanced financial modeling and forecasting skills.</t>
  </si>
  <si>
    <t>This model (and SFAM) only includes financials, without any supporting specificity.</t>
  </si>
  <si>
    <t>Workbook 7: Developing a Model</t>
  </si>
  <si>
    <t>Why do you think this scenario generates the highest IRRs?</t>
  </si>
  <si>
    <t>The lower growth keeps the Cost Per Acquisition down because of advertising elasticity</t>
  </si>
  <si>
    <t>1.5% growth / All months</t>
  </si>
  <si>
    <t>1.5% growth / Exclude Dec</t>
  </si>
  <si>
    <t>(How many of you have signed up for a free HBO subscription and quit after the 2-week free trial has ended?)</t>
  </si>
  <si>
    <t>For each month of a customer subscription (the $5 tickler representing the first month) we can count the number of sales that were made.</t>
  </si>
  <si>
    <t>Remember the two above values for a couple of minutes</t>
  </si>
  <si>
    <t>These values are 'dynamic' because they change as input parameters are changed.</t>
  </si>
  <si>
    <t>Enter formulas in the yellow cells to create a model.</t>
  </si>
  <si>
    <t>What was the CAGR of the competitor's 'Total Revenues'?</t>
  </si>
  <si>
    <t>The average Unit Cost will depend on the:</t>
  </si>
  <si>
    <t xml:space="preserve">Mix of manufacturing done at the lower cost new plant rather than the higher cost existing plant </t>
  </si>
  <si>
    <t>We will first measure Gross Margin based on the $60 Unit Cost of the existing plant.</t>
  </si>
  <si>
    <t>Size of plant constructed</t>
  </si>
  <si>
    <t>The 'Data Validation' dropdown menu (image above) should provide adequate logic for you to be able to do so.</t>
  </si>
  <si>
    <t>Interest Income is based on a 5% interest rate applied to prior year Net Cash (Cash minus Debt)</t>
  </si>
  <si>
    <t>You are Executive Vice President of Operations of a company that produces and distributes household goods.</t>
  </si>
  <si>
    <t>The company's market share of Product A is expected to be flat.</t>
  </si>
  <si>
    <r>
      <rPr>
        <i/>
        <sz val="10"/>
        <color theme="1"/>
        <rFont val="Calibri"/>
        <family val="2"/>
      </rPr>
      <t>Hint</t>
    </r>
    <r>
      <rPr>
        <sz val="10"/>
        <color theme="1"/>
        <rFont val="Calibri"/>
        <family val="2"/>
      </rPr>
      <t>: You will need to use a MIN/MAX/IF function.</t>
    </r>
  </si>
  <si>
    <t>The price of Product A is $110 and the price of Product B is $100.</t>
  </si>
  <si>
    <t xml:space="preserve">Scenario Manager in Excel allows you to change or substitute input values for multiple cells (maximum up to 32). </t>
  </si>
  <si>
    <t>Therefore, you can view the results of different input values or different scenarios at the same time.</t>
  </si>
  <si>
    <t xml:space="preserve">You can see the impact of changing input values without changing the actual data. </t>
  </si>
  <si>
    <t>We will not present scenario manager in detail, but, will instead leave it to interested students to explore it themselves.</t>
  </si>
  <si>
    <t>Calculated as number of 2nd Month Subscribers previous month multiplied by the retention rate (1 - 10% churn)</t>
  </si>
  <si>
    <t xml:space="preserve">The concept is that the cost per acquisition (CPA) for each new customer will rise by the level of elasticity. </t>
  </si>
  <si>
    <t>This is because as you are reaching out for additional customers you must pursue less receptive prospects.</t>
  </si>
  <si>
    <t>Elasticity measures the sensitivity of consumer demand to changes price.</t>
  </si>
  <si>
    <t>This entire Sheet is Required Homework.</t>
  </si>
  <si>
    <t>This entire Sheet is Challenge Homework.</t>
  </si>
  <si>
    <t xml:space="preserve">In this Workbook, we speak generically about developing a model. </t>
  </si>
  <si>
    <t>EXHIBIT: MODELING IS A CRITICAL FIRST STEP TO FORECASTING</t>
  </si>
  <si>
    <t>Large companies can have thousands of Income Statement accounts which record transactions at the product, business unit,</t>
  </si>
  <si>
    <t>As a reminder from 'ACCOUNTS Balance Sheet' Sheet (Workbook 5), Accounts Receivable are credit sales that have not yet been collected as cash from customers.</t>
  </si>
  <si>
    <t>Hint: Excel will default to 'New Worksheet', which in most cases will be fine, but we have protected the structure of this Workbook (including adding Sheets) so doing so will create an error.</t>
  </si>
  <si>
    <t xml:space="preserve">In that case the best you can do is forecast Revenues and Margins, as we have done on the next Sheet 'MODEL Simple Company'. </t>
  </si>
  <si>
    <t>We have accomplished this by calculating the values against which you are being graded to be based on your prior calculation.</t>
  </si>
  <si>
    <t xml:space="preserve">Therefore, even if the prior calculation is incorrect, subsequent calculations using these incorrect values will be graded as correct. </t>
  </si>
  <si>
    <t>Scenario Manager</t>
  </si>
  <si>
    <t>In the following Workbooks, we utilize models to create financial forecasts and introduce our proprietary 'Strategic Financial Analysis Model' (SFAM).</t>
  </si>
  <si>
    <t>The net present value is the sum of the present value of all cash flows related to an investment.</t>
  </si>
  <si>
    <t>Write a formula using an IF (conditional) function in the green box below that selects the unit cost based on the Capacity Expansion above.</t>
  </si>
  <si>
    <t>In this Workbook you will develop a series of models</t>
  </si>
  <si>
    <t>Each of these will require you to enter a series of formulas.</t>
  </si>
  <si>
    <t>Amortization Percent of Prior Intangibles</t>
  </si>
  <si>
    <t>Sole Competitor</t>
  </si>
  <si>
    <t>Current Year Capex Percent of Revenues</t>
  </si>
  <si>
    <t>Like Data Table in Excel, you now input values that must change to achieve a specific goal.</t>
  </si>
  <si>
    <t>In addition to support editing based on a 'List' of permissible entries (which is what is generally used in these Workbooks) you can select 'Validation criteria' as above.</t>
  </si>
  <si>
    <t>A significant investment in equipment will be required and the investment will be straight-line depreciated over a 5 year useful life (no residual value).</t>
  </si>
  <si>
    <t>Keeping the $200,000 'Investment Required' change the 'Percent Debt Financed' to 0% and enter the resulting NPV value (not the formula) in the yellow box below.</t>
  </si>
  <si>
    <t/>
  </si>
  <si>
    <t>Hint: When financial analysts adjust a growth rate or market share you do not compound the adjustment. If the growth rate is 10% and it declines by 3%, the adjusted growth rate is 7%. Please use this clarification to understand how to forecast throughout this Sheet. </t>
  </si>
  <si>
    <t>What is the Capacity Expansion that results in the highest NPV independent of what Discount Rate you use?</t>
  </si>
  <si>
    <t>Debugging is a term that is used in systems development.</t>
  </si>
  <si>
    <t xml:space="preserve">Cash Flow from Operations as a percentage of EBITDA. </t>
  </si>
  <si>
    <t xml:space="preserve">In our Amazon eBook example, the financial analyst would create a model that also reflected EBITDA margins (or EBIT margins) over time and model </t>
  </si>
  <si>
    <t xml:space="preserve">the rising percentage of the market that is comprised by eBooks; eBook pricing trends which have risen slightly; and finally Amazon's market share which continues to grow. </t>
  </si>
  <si>
    <t xml:space="preserve">No two analysts will build a model the same way and there is no 'perfect' model. </t>
  </si>
  <si>
    <t xml:space="preserve">There may be differences based on the approach to calculating specific drivers, i.e., calculating DSOs based on current period Revenues and Accounts Receivable or by using average Accounts Receivable (averaging the current and prior period's figures). </t>
  </si>
  <si>
    <t xml:space="preserve">There may be simple differences based on the drivers chosen, i.e., modeling unit-based market share or revenue-based market share or PP&amp;E driven by Capital Expenditures on the Cash Flow Statement versus a percentage of Revenues. </t>
  </si>
  <si>
    <t>Invested Capital (IC) + Excess Cash</t>
  </si>
  <si>
    <t>Invested Capital (IC)</t>
  </si>
  <si>
    <t>Strategic Considerations &amp; KPIs</t>
  </si>
  <si>
    <t>This 'MODEL Marketing Strategy' case provides an example of this.</t>
  </si>
  <si>
    <t>We build the model to indentify key performance indicators (KPIs) and understand the strategic relationships that might inform forward looking decisions.</t>
  </si>
  <si>
    <t xml:space="preserve">While we do not make any forward looking decisions in this case, the analysis you perform of the Direct distribution channel should lead you to </t>
  </si>
  <si>
    <t>'MODEL Marketing Strategy'</t>
  </si>
  <si>
    <t>As a reminder from Economics, an industry with with only two players is call a 'duopoly'.</t>
  </si>
  <si>
    <t>Both companies sell through two distribution channels:</t>
  </si>
  <si>
    <t>Direct Channel - selling direct to consumers through Google, Facebook, etc. (eCommerce)</t>
  </si>
  <si>
    <t>Retail Channel - selling indirect through retailers such as Home Depot and Lowes</t>
  </si>
  <si>
    <t>• The company's only competitor has been increasingly discounting e-commerce (direct channel) sales.</t>
  </si>
  <si>
    <t>• The overall market has been growing relatively quickly</t>
  </si>
  <si>
    <r>
      <t>•</t>
    </r>
    <r>
      <rPr>
        <sz val="14"/>
        <color indexed="8"/>
        <rFont val="Calibri"/>
        <family val="2"/>
      </rPr>
      <t xml:space="preserve"> </t>
    </r>
    <r>
      <rPr>
        <sz val="10"/>
        <color rgb="FF000000"/>
        <rFont val="Calibri"/>
        <family val="2"/>
      </rPr>
      <t>There</t>
    </r>
    <r>
      <rPr>
        <sz val="10"/>
        <color indexed="8"/>
        <rFont val="Calibri"/>
        <family val="2"/>
      </rPr>
      <t xml:space="preserve"> has been a broad shift from the retail channel to the direct (e-commerce) channel.</t>
    </r>
  </si>
  <si>
    <t>• The company has been rapidly losing market share in the direct channel because of the competitor's successful e-commerce strategy and aggressive pricing.</t>
  </si>
  <si>
    <t>(These are observed phenomena and unmeasured.)</t>
  </si>
  <si>
    <t>Neither company reports financial data beyond the data required in their 10-K reporting.</t>
  </si>
  <si>
    <t>Based on interviews in the field, you have estimated the split between direct and retail channel sales in the industry and the company's market share of both the direct and retail channel sales.</t>
  </si>
  <si>
    <t>What is a Direct Channel?</t>
  </si>
  <si>
    <t xml:space="preserve">A Direct sales channel describes marketing and distribution directly to the potential buyers of products and services. </t>
  </si>
  <si>
    <t xml:space="preserve">eCommerce firms selling Direct are often referred to as Direct-to-Consumer (DTC) as exemplified by AllBirds, Casper, Hubble Contacts and Warby Parker. </t>
  </si>
  <si>
    <t xml:space="preserve">A manufacturing could sell to a distributor which may then sell to the retailer (e.g., Walmart). </t>
  </si>
  <si>
    <t xml:space="preserve">Direct Channel: Cost of Revenues </t>
  </si>
  <si>
    <t>Retail Channel: Cost of Revenues</t>
  </si>
  <si>
    <t>Direct Channel: Gross Profit</t>
  </si>
  <si>
    <t>Retail Channel: Gross Profit</t>
  </si>
  <si>
    <t>Direct Channel: SG&amp;A Percent</t>
  </si>
  <si>
    <t>Retail Channel: SG&amp;A Percent</t>
  </si>
  <si>
    <t>Direct Channel: SG&amp;A</t>
  </si>
  <si>
    <t>Retail Channel: SG&amp;A</t>
  </si>
  <si>
    <t>Direct Channel: EBIT</t>
  </si>
  <si>
    <t>Retail Channel: EBIT</t>
  </si>
  <si>
    <t>Direct Channel: Revenues</t>
  </si>
  <si>
    <t>Retail Channel: Revenues</t>
  </si>
  <si>
    <t>Retail Channel: Price</t>
  </si>
  <si>
    <t>Direct Channel: Units Sold</t>
  </si>
  <si>
    <t>Retail Channel: Units Sold</t>
  </si>
  <si>
    <t>Estimated Percent Direct Channel</t>
  </si>
  <si>
    <t>Direct Channel: Market Size in Units</t>
  </si>
  <si>
    <t>Retail Channel: Market Size in Units</t>
  </si>
  <si>
    <t>What was the CAGR of the 'Direct Channel: Market Size' in Units?</t>
  </si>
  <si>
    <t>What was the CAGR of the company's 'Total EBIT'?</t>
  </si>
  <si>
    <t>Note: The above statement will not be valid until the Data Table is created correctly. You can also ignore it.</t>
  </si>
  <si>
    <t>Use Data Validation on the green box immediately below to limit entering a "List" of only the three values in the gray box below.</t>
  </si>
  <si>
    <t>Direct Channel: Market Share</t>
  </si>
  <si>
    <t>Retail Channel: Market Share</t>
  </si>
  <si>
    <t>Did either company earn the majority of EBIT in Direct Channel?</t>
  </si>
  <si>
    <t>The competitor gained market share</t>
  </si>
  <si>
    <t>Total Gross Margin</t>
  </si>
  <si>
    <t>Gross Margins increased</t>
  </si>
  <si>
    <t>The competitor mix shifted to the Direct Channel</t>
  </si>
  <si>
    <t>This is true for all intellectual property including entertainment content and is almost valid for pharmaceutical and other medical technologies.</t>
  </si>
  <si>
    <t>A</t>
  </si>
  <si>
    <t>B</t>
  </si>
  <si>
    <t>C</t>
  </si>
  <si>
    <t>D</t>
  </si>
  <si>
    <t>F</t>
  </si>
  <si>
    <t>G</t>
  </si>
  <si>
    <t>H</t>
  </si>
  <si>
    <t>I</t>
  </si>
  <si>
    <t>J</t>
  </si>
  <si>
    <t>K</t>
  </si>
  <si>
    <t>L</t>
  </si>
  <si>
    <t>M</t>
  </si>
  <si>
    <t>N</t>
  </si>
  <si>
    <t>O</t>
  </si>
  <si>
    <t>P</t>
  </si>
  <si>
    <t>Q</t>
  </si>
  <si>
    <t>R</t>
  </si>
  <si>
    <t>S</t>
  </si>
  <si>
    <t>T</t>
  </si>
  <si>
    <t>U</t>
  </si>
  <si>
    <t>V</t>
  </si>
  <si>
    <t>W</t>
  </si>
  <si>
    <t>X</t>
  </si>
  <si>
    <t>Y</t>
  </si>
  <si>
    <t>Z</t>
  </si>
  <si>
    <t>Enter your SFAM ID (For CUNY enter your Employee Code)</t>
  </si>
  <si>
    <t>Warning:</t>
  </si>
  <si>
    <t>If you change your SFAM ID after you have begun working on the Workbook you will alter the randomization.</t>
  </si>
  <si>
    <t>What was the CAGR of the 'Estimated Total Market Size in Units'?</t>
  </si>
  <si>
    <t>Product B's growth will be stable at 10% annually.</t>
  </si>
  <si>
    <r>
      <rPr>
        <i/>
        <sz val="10"/>
        <color theme="1"/>
        <rFont val="Calibri"/>
        <family val="2"/>
      </rPr>
      <t>Note</t>
    </r>
    <r>
      <rPr>
        <sz val="10"/>
        <color theme="1"/>
        <rFont val="Calibri"/>
        <family val="2"/>
      </rPr>
      <t>: Additional Capacity becomes available in the year after the investment is made.</t>
    </r>
  </si>
  <si>
    <t xml:space="preserve">Unit Sales Given 500 Units of Capacity </t>
  </si>
  <si>
    <t>Which would generate the higher NPV?</t>
  </si>
  <si>
    <t>Across all products, which cost component has the most favorable Volume Variances?</t>
  </si>
  <si>
    <t>Across all products, which cost component had the most unfavorable Usage Variance?</t>
  </si>
  <si>
    <t>The Formula in the 'New Subscribers' Column has been written to permit you to change parameters.</t>
  </si>
  <si>
    <t>E</t>
  </si>
  <si>
    <t>Part I Review (Workbook 1)</t>
  </si>
  <si>
    <t>Forecasting (Workbook 8)</t>
  </si>
  <si>
    <t>Equity Valuation (Workbook 11)</t>
  </si>
  <si>
    <t>Mergers &amp; Acquisitions (Workbook 12)</t>
  </si>
  <si>
    <t>Fixed Income Valuation (Workbook 13)</t>
  </si>
  <si>
    <t>Risk Management (Workbook 14)</t>
  </si>
  <si>
    <t>Portfolio Construction (Workbook 15)</t>
  </si>
  <si>
    <t>Valuation &amp; Risk (Section V/VI, Workbooks 11-15)</t>
  </si>
  <si>
    <t>As a result your answer will be wrong.</t>
  </si>
  <si>
    <t>Models of such financial transactions require accounting for the time value of money.</t>
  </si>
  <si>
    <t>Discounted Cash Flow</t>
  </si>
  <si>
    <t>We have calculated the 'Discount Factor' in each year by assuming a constant discount factor compounded annually (5% in the above example).</t>
  </si>
  <si>
    <t>In the following example, an investment of $100 in the current year is expected to result in cash generation of $10 in the next year increasing by 2% over each of the nine subsequent years.</t>
  </si>
  <si>
    <t>Incremental Revenues</t>
  </si>
  <si>
    <t>Taxes (40%)</t>
  </si>
  <si>
    <t>Incremental Cash Pretax Profits</t>
  </si>
  <si>
    <t>Incremental Net Profit</t>
  </si>
  <si>
    <t>Incremental Cash Flows</t>
  </si>
  <si>
    <t>In this Workbook we present the basics of the 'time value of money', permitting you to develop models that span multiple periods.</t>
  </si>
  <si>
    <t>In the 'MODEL Product Introduction' Sheet of this Workbook we analyze the investment and profits related to the introduction of a new product.</t>
  </si>
  <si>
    <t>Calculating Net Present Value (NPV)</t>
  </si>
  <si>
    <t>You may find the concept of the 'time value of money' familiar as it is taught as part of Corporate Finance course.</t>
  </si>
  <si>
    <t>A company is analyzing making an investment of $500 in a piece of equipment in the current year.</t>
  </si>
  <si>
    <t>We have calculated the Incremental Cash Pretax Profits, which ignores the non-cash depreciation expense.</t>
  </si>
  <si>
    <t>Furthermore, when we calculated the Taxes, we added back the depreciation because it is recognized as an expense when calculating taxes, despite the fact that it is a non-cash expense.</t>
  </si>
  <si>
    <t>'default' naïve</t>
  </si>
  <si>
    <t>The objective of analyses is to support decision-making.</t>
  </si>
  <si>
    <t>Financial analysis, and financial modeling, is performed to support investment and/or operational decisions.</t>
  </si>
  <si>
    <t xml:space="preserve"> - It does not include any specificity beyond basic financials.</t>
  </si>
  <si>
    <t xml:space="preserve"> - It utilizes naïve default logic in which the value of business drivers for the year forecast is exactly the same as that value in the last year of actual data. </t>
  </si>
  <si>
    <t xml:space="preserve"> - It does not incorporate any strategic considerations.</t>
  </si>
  <si>
    <t xml:space="preserve"> - It is not designed to support any decisions except simply providing a forecast for the next year.</t>
  </si>
  <si>
    <t>The remaining modeling assignments require 'Strategic Considerations'.</t>
  </si>
  <si>
    <t>Strategic considerations can include economies of scale, market share, distribution channel priorities, price elasticity, churn or competitive cost positions.</t>
  </si>
  <si>
    <t>EXHIBIT: STRATEGIC CONSIDERATIONS GUIDE DECISION-MAKING</t>
  </si>
  <si>
    <t>Modeling in this Workbook</t>
  </si>
  <si>
    <t>Financial Modeling</t>
  </si>
  <si>
    <t>A financial model of a company must re-create accounting relationships.</t>
  </si>
  <si>
    <t>A financial model should also replicate business relationships.</t>
  </si>
  <si>
    <t xml:space="preserve">Users can discuss and debate the data, assumptions, and logic at a detailed level rather than simply disagreeing on the summary conclusions. </t>
  </si>
  <si>
    <t>Decisions ==&gt; (E)valuation</t>
  </si>
  <si>
    <t>The Net Present Value (NPV) is calculated as the sum of the discounted cash flows over the life of the investment.</t>
  </si>
  <si>
    <t>In other words, the nature of the business will affect the way accounts are modeled.</t>
  </si>
  <si>
    <t>A financial model generally includes a replication of a real world business or process.</t>
  </si>
  <si>
    <t>The model provides the underlying data, the decision-making logic and the analytical results.</t>
  </si>
  <si>
    <t>A sound model provides quantitative support for a decision and a qualitative communication of the decision logic.</t>
  </si>
  <si>
    <t>Analysts typically provide a qualitative communication of the decision logic to strengthen decision-making in addition to the quantitative elements of the model.</t>
  </si>
  <si>
    <t>The granularity and structure of the model provides the basis for discourse.</t>
  </si>
  <si>
    <t>(2) The second step is to translate business fundamentals into a financial model.</t>
  </si>
  <si>
    <t>(3) The third step is to verify that the model works.</t>
  </si>
  <si>
    <t>Developing a Financial Model</t>
  </si>
  <si>
    <t>There is no single way to build a model.</t>
  </si>
  <si>
    <t>(1) The first step is to replicate a real world business.</t>
  </si>
  <si>
    <t xml:space="preserve">Subscribers, Retention and Churn Rates, Marketing Expense </t>
  </si>
  <si>
    <t xml:space="preserve">per New Subscriber (e.g. Customer Acquisition Cost), </t>
  </si>
  <si>
    <t>Customer Lifetime Value (LTV)</t>
  </si>
  <si>
    <t>Strategic Goal</t>
  </si>
  <si>
    <t>Analyze and understand subscriber economics</t>
  </si>
  <si>
    <t>Predict revenue and growth drivers</t>
  </si>
  <si>
    <t>Financial Planning &amp; Analysis Models (FP&amp;A)</t>
  </si>
  <si>
    <t>Company-level Financial Reporting Models</t>
  </si>
  <si>
    <t xml:space="preserve">Created to report financial results in a </t>
  </si>
  <si>
    <t>comprehensible format</t>
  </si>
  <si>
    <t xml:space="preserve"> and/or Growth by Product Line</t>
  </si>
  <si>
    <t>Size (Units, Revenues, Gross Profits, EBITDA, etc.)</t>
  </si>
  <si>
    <t xml:space="preserve">Size (Units, Revenues, Gross Profits, EBITDA, etc.) </t>
  </si>
  <si>
    <t>and/or Growth by Channel</t>
  </si>
  <si>
    <t>and/or Growth by Player</t>
  </si>
  <si>
    <t>Used to understand market demand,</t>
  </si>
  <si>
    <t>competitive positioning and share</t>
  </si>
  <si>
    <t>Forecasting Models</t>
  </si>
  <si>
    <t>Units, Revenues, Staffing, EBITDA, Net Income, etc.</t>
  </si>
  <si>
    <t>Analyze hypothesized scenarios</t>
  </si>
  <si>
    <t>Gauge performance relative to expectations;</t>
  </si>
  <si>
    <t>reset budgets or take actions to reduce</t>
  </si>
  <si>
    <t>variances (e.g., change pricing, cut costs)</t>
  </si>
  <si>
    <t>Decision Support Models</t>
  </si>
  <si>
    <t>such as a plant, warehouse, software, etc.</t>
  </si>
  <si>
    <t>Analyze the pros and cons of new investments</t>
  </si>
  <si>
    <t>Attribution Models</t>
  </si>
  <si>
    <t>Attributes variances to causal factors; CPAs</t>
  </si>
  <si>
    <t>evaluate cost drivers while marketers evaluate</t>
  </si>
  <si>
    <t>which advertisement drove the desired</t>
  </si>
  <si>
    <t>Capacity, Units, Unit Cost, etc.</t>
  </si>
  <si>
    <t>action (e.g., click-through, loyalty program,</t>
  </si>
  <si>
    <t>subscription, purchase)</t>
  </si>
  <si>
    <t>Business Models</t>
  </si>
  <si>
    <t>and profits (see below)</t>
  </si>
  <si>
    <t>Describes strategies to generate revenues</t>
  </si>
  <si>
    <t>There are many steps to developing a financial model.</t>
  </si>
  <si>
    <t xml:space="preserve">The decision to construct a model is always driven by a strategic rationale. </t>
  </si>
  <si>
    <t>The goal is to gain a deeper understanding of the relationships between factors driving the underlying business, product or process.</t>
  </si>
  <si>
    <t>This understanding guides business decisions.</t>
  </si>
  <si>
    <t>(E)Valuation of Business Expenditures</t>
  </si>
  <si>
    <t>At other times, financial models are created to support operating decisions, e.g., (e)valuation.</t>
  </si>
  <si>
    <t>To distinguish these, we referred to them as valuation (financial investments) and (e)valuation (operational expenditures).</t>
  </si>
  <si>
    <t>Both decisions require synthesizing multiperiod financial figures into a single measure of value that can guide decision-making.</t>
  </si>
  <si>
    <t>In both instances, the financial model includes calculations to determine the value of a hypothesized scenario.</t>
  </si>
  <si>
    <t xml:space="preserve">Financial models are often used to support investment decisions. </t>
  </si>
  <si>
    <t>For example:</t>
  </si>
  <si>
    <t>A company can require multiple years to construct a plant or develop a product with the resulting profits or return from this investment realized over decades.</t>
  </si>
  <si>
    <t>Financial markets reward the providers of capital with interest over time.</t>
  </si>
  <si>
    <t xml:space="preserve">If you receive $1.00 today and banks are paying 5% annual interest rates, the dollar received today will be worth $1.05 in a year. </t>
  </si>
  <si>
    <t>Interest compounds geometrically (multiplicatively), rather than additively.</t>
  </si>
  <si>
    <t>With a 5% annual interest rate, $1.00 today in 10 years will be worth 1.05 ^ 10 = 1.63 rather than 1 + (.05 * 10) = 1.50.</t>
  </si>
  <si>
    <t>Notice that the value today is $0.952 and not $0.95.</t>
  </si>
  <si>
    <t>In this Workbook, we introduce you to the time value of money.</t>
  </si>
  <si>
    <t>The time value of multiperiod cash flows is determined by an interest rate described as a "discount factor".</t>
  </si>
  <si>
    <t>(1+.0.5)^0</t>
  </si>
  <si>
    <t>(1+.0.5)^1</t>
  </si>
  <si>
    <t>(1+.0.5)^2</t>
  </si>
  <si>
    <t>(1+.0.5)^3</t>
  </si>
  <si>
    <t>(1+.0.5)^4</t>
  </si>
  <si>
    <t>(1+.0.5)^5</t>
  </si>
  <si>
    <t>(1+.0.5)^6</t>
  </si>
  <si>
    <t>(1+.0.5)^7</t>
  </si>
  <si>
    <t>(1+.0.5)^8</t>
  </si>
  <si>
    <t>(1+.0.5)^9</t>
  </si>
  <si>
    <t>(1+.0.5)^10</t>
  </si>
  <si>
    <t>This example utilizes a constant interest rate of 5.0%, compounded annually.</t>
  </si>
  <si>
    <t xml:space="preserve">Evaluating a series of cash flows over several years must reflect the time value of money. </t>
  </si>
  <si>
    <t>Net Present Value (NPV) is the fundamental metric of asset valuation.</t>
  </si>
  <si>
    <t xml:space="preserve">The present value of each cash flow depends on the interval of time between now (year 0) and the cash flow generated in future periods. </t>
  </si>
  <si>
    <t>It is calculated as the sum of all Discounted Cash Flows., as shown in the box below.</t>
  </si>
  <si>
    <t>Cash Flows may end when you have negotiated a relationship or contract with a finite period (e.g., a 10 year licensing agreement, a lease).</t>
  </si>
  <si>
    <t>However, cash flows often continue and do not stop after a specified number of years.</t>
  </si>
  <si>
    <t>When Cash Flows do not stop after a specified period analysts calculate the ongoing impact to value as a 'Terminal Value'.</t>
  </si>
  <si>
    <t>Example of building a plant.</t>
  </si>
  <si>
    <t>The useful life of the equipment is expected to be 10 years, after which the residual value of the equipment will be $150.</t>
  </si>
  <si>
    <t>Often the model is used to support a financial investment decision, e.g., valuation.</t>
  </si>
  <si>
    <t>For example, the owner of a laundromat may generate cash flows for more than ten, twenty or even more years.</t>
  </si>
  <si>
    <t>Standard costs, volumes, consumer behaviors</t>
  </si>
  <si>
    <t>Analyze economics of competitive distribution</t>
  </si>
  <si>
    <t>The winner of a $2 million lottery are given the choice of receiving $100,000 annually for 20 years or an upfront payment significantly smaller than $2 million today.</t>
  </si>
  <si>
    <t>Revenues, Expenses</t>
  </si>
  <si>
    <t>Forecasts</t>
  </si>
  <si>
    <t>5 Year forecast Net Margin = 30%</t>
  </si>
  <si>
    <t>Calculations</t>
  </si>
  <si>
    <t>Data / History</t>
  </si>
  <si>
    <t>Drivers / Logic</t>
  </si>
  <si>
    <t>Results / Forecast</t>
  </si>
  <si>
    <t xml:space="preserve">Drivers / Logic </t>
  </si>
  <si>
    <t>Attributions</t>
  </si>
  <si>
    <t>Historical financial data</t>
  </si>
  <si>
    <t>Historical operating data</t>
  </si>
  <si>
    <t>Miles per year driven</t>
  </si>
  <si>
    <t>3rd party projections</t>
  </si>
  <si>
    <t>Structuring a Financial Model</t>
  </si>
  <si>
    <t>There are three core components of a financial model:</t>
  </si>
  <si>
    <t>Core Component</t>
  </si>
  <si>
    <t>Decision-making parameters</t>
  </si>
  <si>
    <t>Business drivers</t>
  </si>
  <si>
    <t>Margins</t>
  </si>
  <si>
    <t>DSOs</t>
  </si>
  <si>
    <t>GNP Projections</t>
  </si>
  <si>
    <t>The only requirement in structuring a model is that you develop a disciplined process that can be logically followed by others.</t>
  </si>
  <si>
    <t>EXHIBIT: INTEGRATED MODEL</t>
  </si>
  <si>
    <t>EXHIBIT: MODULAR MODEL</t>
  </si>
  <si>
    <t>EXHIBIT: THE COMPONENTS OF A MODEL MAY BE INTEGRATED OR SEPARATED</t>
  </si>
  <si>
    <t>Alternatively, models may separate the data/history from the drivers/logic and the results/forecast.</t>
  </si>
  <si>
    <t>There are many cases in which the Drivers/Logic are not a single factor with a linear relationship in which integrating it into the model is not as simple.</t>
  </si>
  <si>
    <t>Incremental Cash Operating Expenses</t>
  </si>
  <si>
    <t>Cost accounting description of variances</t>
  </si>
  <si>
    <t>Formula to measure price elasticity</t>
  </si>
  <si>
    <t>Models may be integrated such as the SFAM financial model used in this course.</t>
  </si>
  <si>
    <t>The model below integrates the data (e.g., Revenues of 100), the logic (e.g., calculation of Growth, calculation of Gross Profit) and the forecast/results (e.g., Gross Profits of 26).</t>
  </si>
  <si>
    <t>=&gt;</t>
  </si>
  <si>
    <t>This is often done based on specific data including units, prices, costs, products, market shares, capacities, distribution channels, geographies, cost per acquisition, churn, etc.</t>
  </si>
  <si>
    <t>While this may be a model of the three major financial statements it may also be a model of a key account.</t>
  </si>
  <si>
    <t>For example, an Amazon analyst may wish to model Amazon's Book business and even try to model its eBook business separately.</t>
  </si>
  <si>
    <t>Much like software programs, financial models similarly need to be debugged or validated.</t>
  </si>
  <si>
    <t>This requires developing test data or conditions to verify the logic or modeling drivers.</t>
  </si>
  <si>
    <t>It is common in systems development to have third-parties independently test the models.</t>
  </si>
  <si>
    <t>However, complex derivative models, actuarial and other complex statistical models are typically verified especially when they are nonlinear or the figures are regulated.</t>
  </si>
  <si>
    <t>Make asset allocation decisions between products</t>
  </si>
  <si>
    <t>Analyze when to add production capacity</t>
  </si>
  <si>
    <t>Cash flow is the amount of net cash transferred in and out of a company.</t>
  </si>
  <si>
    <t>Cash coming into the company is an "inflow" and cash spent is an "outflow".</t>
  </si>
  <si>
    <t>The discount factor may be the prevailing federal reserve rate (as reflected by government bonds or treasury bills), a firm's cost of capital or an alternative measure of risk.</t>
  </si>
  <si>
    <t>Cash flows are key to determining a company's ability to reinvest in its business and return cash to shareholders (dividends, repurchases).</t>
  </si>
  <si>
    <t>Cash flow is a superior metric to earnings for company's in industries where capital expenditures are high or acquisitions are frequent.</t>
  </si>
  <si>
    <t xml:space="preserve">Cash flow is harder to manipulate (always ties to bank balances) than earnings and is less likely to be subject to fraud. </t>
  </si>
  <si>
    <t xml:space="preserve">Financial Analysts often focus on cash flows for valuation, rather than Net Income. </t>
  </si>
  <si>
    <t>Terminal Value is defined as follows.</t>
  </si>
  <si>
    <t>It reflects the cash flows of the asset adjusted for interest rates.</t>
  </si>
  <si>
    <t>It is the projected value of a business or asset at maturity in today's dollars.</t>
  </si>
  <si>
    <t>It is the present value for all of time of all future cash flows after an explicit forecast period.</t>
  </si>
  <si>
    <t>For recurring cash flows, valuation is determined using a "Terminal Value".</t>
  </si>
  <si>
    <t>In this Workbook, you will work with models to evaluate various operating expenditures.</t>
  </si>
  <si>
    <t xml:space="preserve">Many financial transactions include cash inflows and outflows occurring across many periods of time. </t>
  </si>
  <si>
    <t>Insurance companies (especially life insurance) receive premiums in advance and pay claims (outflows) later.</t>
  </si>
  <si>
    <t>The 'Discounted Cash Flow' in each year is calculated by dividing the 'Cash Flow' in that year by the 'Discount Factor' of that year.</t>
  </si>
  <si>
    <t>Terminal Values are commonly used in valuation exercises such as Discounted Cash Flows.</t>
  </si>
  <si>
    <t>The company incurs Cash Operating Expenses (excluding depreciation which is a non-cash expense) of 50% of Revenues, generating a 50% variable margin.</t>
  </si>
  <si>
    <t xml:space="preserve">Relying on a set of assumptions, analysts design financial models to represent a behavior or process. </t>
  </si>
  <si>
    <t>The model communicates decision logic and facilitates sensitivity analysis to support robust decision-making.</t>
  </si>
  <si>
    <t>channels recognizing pricing, expenses, etc.</t>
  </si>
  <si>
    <t>Budget, actual, variances, revised budget, by account</t>
  </si>
  <si>
    <t>Grading does not propagate your errors.</t>
  </si>
  <si>
    <t>We have created these exercises to be forgiving to avoid an error early in the series propagating and making all of your answers wrong.</t>
  </si>
  <si>
    <t>Only identify direct relationships. If some account impacts another account and the other account impacts a third account, do not indicate the relationship between the first account and the third account.</t>
  </si>
  <si>
    <t>Common Dividends</t>
  </si>
  <si>
    <t>The Net Current Value (NPV) of your earnings is calculated by the terminal value formula:</t>
  </si>
  <si>
    <t>Notice that NPV in this scenario is more than 20 times the annual earnings.</t>
  </si>
  <si>
    <t>do not empty this out</t>
  </si>
  <si>
    <t>The negative NPVs result from the fact that when the Growth Rate is greater than the Discount Rate the NPV is negative.</t>
  </si>
  <si>
    <t>Calculated as (number of 3rd Month Subscribers previous month plus the number of 4+ Month Subscribers previous month) multiplied by the retention rate (1 - 5% churn).</t>
  </si>
  <si>
    <t>Interest Income is calculated as Interest Rate multiplied by prior year Cash (as there is no Debt)</t>
  </si>
  <si>
    <t>0 (Current)</t>
  </si>
  <si>
    <t>The first presentation is using the Excel NPV function</t>
  </si>
  <si>
    <t>Note: Remember that the Excel NPV function starts in Year 1 and that you need to add Year 0.</t>
  </si>
  <si>
    <t xml:space="preserve">A manufacturer could sell to the retailer (e.g., Sears) which sells the product to the consumer. </t>
  </si>
  <si>
    <t>What was the CAGR of the competitor's 'Direct Channel: Price'?</t>
  </si>
  <si>
    <t>The Unit Sales Given Capacity Constraints forecast of sales is based on the scenario that no capacity is added.</t>
  </si>
  <si>
    <t xml:space="preserve">The model enables sensitivity analysis so that users can test its assumptions, evaluate strategic alternatives and make well-informed decisions. </t>
  </si>
  <si>
    <t>Consider the analysis throughout the 'MODEL Product Introduction' Sheet.</t>
  </si>
  <si>
    <t>A financial model should replicate all accounting relationships; for example, Revenues will be driven by industry sales and market share and Cost of Revenues being directly driven by volumes and prices.</t>
  </si>
  <si>
    <t>The analyst would model Amazon's eBook business by examining the size of the worldwide book consumption relative to the population, which, sadly, is in decline;</t>
  </si>
  <si>
    <t>In the prior Worksheet we differentiated between models that are used for purely financial purposes, such as the purchase of a stock, versus models used to support operating decisions for the business.</t>
  </si>
  <si>
    <t xml:space="preserve">The time value of money is the concept that a dollar received today is worth more than a dollar received in a future. </t>
  </si>
  <si>
    <t xml:space="preserve">The $.952 is the 'Present Value' of $1.00 in a year. </t>
  </si>
  <si>
    <t>Cash flows ignore non-cash expenses such as depreciation and amortization, stock-based compensation and deferred taxes.</t>
  </si>
  <si>
    <t xml:space="preserve">The equipment will expand the company's capacity which will mean $50 of additional sales in the next year and an additional $50 in each subsequent year. </t>
  </si>
  <si>
    <t xml:space="preserve">The company will use straight line depreciation over ten years resulting in a incremental $50 per year depreciation expense. </t>
  </si>
  <si>
    <t xml:space="preserve">some strategic conclusions about the company's forward-looking distribution decisions and its impact on the company's future pricing and costs. </t>
  </si>
  <si>
    <t>Use the CAGR to calculate the interim years. (Hint: Each year should increase by 1 + CAGR.)</t>
  </si>
  <si>
    <t xml:space="preserve">Indirect selling may include Distributors, Fulfillment and/or Retail sales. </t>
  </si>
  <si>
    <t>Direct Channel: Price</t>
  </si>
  <si>
    <t xml:space="preserve">PP&amp;E is equal to that of the previous year minus Depreciation plus CapEx. (However, CapEx is shown as a negative on the Cash Flow Statement so remember to change the sign to make it a positive.) </t>
  </si>
  <si>
    <t>Present Value</t>
  </si>
  <si>
    <t>The first parameter of the NPV function is the Discount Rate.</t>
  </si>
  <si>
    <t>Current  - 0</t>
  </si>
  <si>
    <r>
      <rPr>
        <i/>
        <sz val="10"/>
        <color rgb="FF000000"/>
        <rFont val="Calibri"/>
        <family val="2"/>
      </rPr>
      <t>Note</t>
    </r>
    <r>
      <rPr>
        <sz val="10"/>
        <color indexed="8"/>
        <rFont val="Calibri"/>
        <family val="2"/>
      </rPr>
      <t xml:space="preserve">: the Discount Factor in the current year (i.e., year 0) is 1, which is why Cash Flow = Discounted Cash Flow in Year 0. </t>
    </r>
  </si>
  <si>
    <t>The 'Net Present Value' (NPV) is the sum of the Present Value of all Cash Flows (all cash inflows and outflows discounted back to the current year).</t>
  </si>
  <si>
    <t>Current - 0</t>
  </si>
  <si>
    <r>
      <rPr>
        <i/>
        <sz val="10"/>
        <color rgb="FF000000"/>
        <rFont val="Calibri"/>
        <family val="2"/>
      </rPr>
      <t>Note</t>
    </r>
    <r>
      <rPr>
        <sz val="10"/>
        <color indexed="8"/>
        <rFont val="Calibri"/>
        <family val="2"/>
      </rPr>
      <t>: The NPV always</t>
    </r>
    <r>
      <rPr>
        <i/>
        <sz val="10"/>
        <color rgb="FF000000"/>
        <rFont val="Calibri"/>
        <family val="2"/>
      </rPr>
      <t xml:space="preserve"> includes</t>
    </r>
    <r>
      <rPr>
        <sz val="10"/>
        <color indexed="8"/>
        <rFont val="Calibri"/>
        <family val="2"/>
      </rPr>
      <t xml:space="preserve"> the current year and all </t>
    </r>
    <r>
      <rPr>
        <i/>
        <sz val="10"/>
        <color rgb="FF000000"/>
        <rFont val="Calibri"/>
        <family val="2"/>
      </rPr>
      <t xml:space="preserve">future </t>
    </r>
    <r>
      <rPr>
        <sz val="10"/>
        <color indexed="8"/>
        <rFont val="Calibri"/>
        <family val="2"/>
      </rPr>
      <t>cash flows are discounted to the current year.</t>
    </r>
  </si>
  <si>
    <t>We use this Discount Rate to calculate the Discount Factor in the analysis below.</t>
  </si>
  <si>
    <t>Current -  0</t>
  </si>
  <si>
    <t>Note the sizable contribution of the Terminal Value to the Total Present Value of Cash Flows.</t>
  </si>
  <si>
    <r>
      <rPr>
        <i/>
        <sz val="10"/>
        <color rgb="FF000000"/>
        <rFont val="Calibri"/>
        <family val="2"/>
      </rPr>
      <t>Note</t>
    </r>
    <r>
      <rPr>
        <sz val="10"/>
        <color indexed="8"/>
        <rFont val="Calibri"/>
        <family val="2"/>
      </rPr>
      <t>: Excel treats the first value in the series to be discounted as Year 1 of the time series, which is discounted by (1 + Discount Rate)^</t>
    </r>
    <r>
      <rPr>
        <vertAlign val="superscript"/>
        <sz val="10"/>
        <color rgb="FF000000"/>
        <rFont val="Calibri"/>
        <family val="2"/>
      </rPr>
      <t>1(=year 1).</t>
    </r>
  </si>
  <si>
    <r>
      <rPr>
        <i/>
        <sz val="10"/>
        <color rgb="FF000000"/>
        <rFont val="Calibri"/>
        <family val="2"/>
      </rPr>
      <t>Note</t>
    </r>
    <r>
      <rPr>
        <sz val="10"/>
        <color indexed="8"/>
        <rFont val="Calibri"/>
        <family val="2"/>
      </rPr>
      <t xml:space="preserve">: Excel ignores blanks, rather than treating them as zeroes.  </t>
    </r>
  </si>
  <si>
    <t>The subsequent parameter(s) of the NPV function is either a range of values to be discounted (i.e.,B20:F20) or a series of values to be discounted (i.e., B20,C20,D20,E20,F20).</t>
  </si>
  <si>
    <t>This calculation produces the exact same result as the NPV function does and it is presented so that you can see the logic.</t>
  </si>
  <si>
    <t>It is similar to the mathematical approach we introduced in the last Sheet, 'INTRO Multiperiod Models'.</t>
  </si>
  <si>
    <t>What was the impact on the company of the competitors aggressive pricing strategy?</t>
  </si>
  <si>
    <t>The company uses declining balance with a 10% depreciation rate  (10% a previous year's PP&amp;E))</t>
  </si>
  <si>
    <r>
      <rPr>
        <i/>
        <sz val="10"/>
        <color rgb="FF000000"/>
        <rFont val="Calibri"/>
        <family val="2"/>
      </rPr>
      <t>Note</t>
    </r>
    <r>
      <rPr>
        <sz val="10"/>
        <color indexed="8"/>
        <rFont val="Calibri"/>
        <family val="2"/>
      </rPr>
      <t>: Remember that Excel treats the first value in the series to be discounted as Year 1 of the time series, which is discounted by (1 + Discount Rate)^1(=year 1).</t>
    </r>
  </si>
  <si>
    <t>Variances can result from:</t>
  </si>
  <si>
    <t xml:space="preserve">Sales volumes differing from prior expectations, </t>
  </si>
  <si>
    <t xml:space="preserve">Consuming more units of resources (e.g., hours of labor, pounds of materials) or </t>
  </si>
  <si>
    <t>Paying more or less for units of resources than expected.</t>
  </si>
  <si>
    <t>The mix of products being different than you expected</t>
  </si>
  <si>
    <t>Prices realized in your sales being higher or lower than expected</t>
  </si>
  <si>
    <t>The mix of customers or channels being different than you expected</t>
  </si>
  <si>
    <t>Yields in production facilities varying from norms</t>
  </si>
  <si>
    <t>The company had to pay more per hour worked for workers because of a tight labor market.</t>
  </si>
  <si>
    <t>Variances are calculated as the difference between actual and budgeted values.</t>
  </si>
  <si>
    <t>A variances is 'favorable' if it increases the company's profitability.</t>
  </si>
  <si>
    <t>A positive variance is 'favorable' for revenue accounts and 'unfavorable' for expense accounts.</t>
  </si>
  <si>
    <t>If actual revenues (including interest income) is greater than budgeted revenues that is good.</t>
  </si>
  <si>
    <t>If actual expenses is greater than budgeted expenses that is bad.</t>
  </si>
  <si>
    <t>If actual revenues (including interest income) is less than budgeted revenues that is bad.</t>
  </si>
  <si>
    <t>If actual expenses is less than budgeted expenses that is good.</t>
  </si>
  <si>
    <t>Variances on the cost side are more complex (have more causal factors) and more difficult to analyze.</t>
  </si>
  <si>
    <t>The company creates a budget for each of these factors.</t>
  </si>
  <si>
    <t>The difference between the actual Total Labor Cost and the Budgeted Total Labor Cost is decomposed by sequentially changing one factor at a time:</t>
  </si>
  <si>
    <t>Total Labor Cost Variance = Volume Variance + Usage Variance + Labor Rate Variance</t>
  </si>
  <si>
    <t>Total Labor Cost = Units Produced x Hours Per Unit x Labor Cost Per Hour</t>
  </si>
  <si>
    <t>Labor Rate Variance = Actual Volume x Actual Hours Per Unit x (Actual Labor Cost Per Hour - Standard Labor Cost Per Hour)</t>
  </si>
  <si>
    <t>The factor costs (e.g., Labor Cost Per Hour) are normally established based on history and knowledge of changes (e.g., union contracts)</t>
  </si>
  <si>
    <t xml:space="preserve">The efficiency factors (e.g., Hours Per Unit) are normally established based on a combination of history and 'industrial engineering', an engineering discipline that specializes in establishing operating efficiency standards. </t>
  </si>
  <si>
    <t>Variances can impact both the revenue side and cost side of the income statement.</t>
  </si>
  <si>
    <t>This Sheet presents the principles of 'Cost Accounting", a discipline designed to explain and management costs in operating businesses.</t>
  </si>
  <si>
    <t>The decomposition is performed by first recognizing the causal factors for each cost account, for example:</t>
  </si>
  <si>
    <t>Volume Variance = (Actual Volume - Budgeted Volume) x Standard Hours Per Unit x Standard Labor Cost Per Hour</t>
  </si>
  <si>
    <t>Usage Variance = Actual Volume x (Actual Hour Per Unit - Standard Hours Per Unit) X Standard Labor Cost Per Hour</t>
  </si>
  <si>
    <t>If the Actual Volumes is greater then Budgeted Volumes the Volume Variance will be Favorable becausee any fixed costs will be spread over a larger volume.</t>
  </si>
  <si>
    <t>If the Actual Usage is greater then Budgeted Usage the Usage Variance will be Unfavorable.</t>
  </si>
  <si>
    <t>A variances is 'unfavorable' if it reduces the company's profitability.</t>
  </si>
  <si>
    <t>A positive variance is 'unfavorable' for expense accounts and 'favorable' for expense accounts.</t>
  </si>
  <si>
    <t>The volume drive (Units Produced)  would normally be set based on the sales budget for the company (usually established by the Sales and/or Marketing organizations).</t>
  </si>
  <si>
    <t>There is normally a volume driver (e.g., Units Produced),  efficiency factors (e.g., Hours Per Unit) and factor costs (Labor Cost Per Hour).</t>
  </si>
  <si>
    <r>
      <rPr>
        <i/>
        <sz val="10"/>
        <color theme="1"/>
        <rFont val="Calibri"/>
        <family val="2"/>
      </rPr>
      <t>Note</t>
    </r>
    <r>
      <rPr>
        <sz val="10"/>
        <color theme="1"/>
        <rFont val="Calibri"/>
        <family val="2"/>
      </rPr>
      <t>: Follow the steps presented in the "EXCEL Financial Functions" Sheet.</t>
    </r>
  </si>
  <si>
    <t>Capital Expenditure (CapEx)</t>
  </si>
  <si>
    <t>In this case the interdependency is not direct but rather through a third cell.</t>
  </si>
  <si>
    <t>An example of an indirect interdependence would be:</t>
  </si>
  <si>
    <t>Excel would generate the following error message.</t>
  </si>
  <si>
    <t>This is an example of a direct dependency.</t>
  </si>
  <si>
    <t>For example, the following two formulas would create a circular reference because the two cells are dependent on each other and Excel cannot 'resolve' the formulas.</t>
  </si>
  <si>
    <t>Circular references occur is when the formula in one cell is either directly or indirectly dependent on another cell that is dependent on the original cell.</t>
  </si>
  <si>
    <t>Circular References</t>
  </si>
  <si>
    <t xml:space="preserve">Excel cannot complete the calculation when there is a circular reference.  </t>
  </si>
  <si>
    <t>The Error Checking dropdown accessed via the Formulas selection on the Menu Bar permits users to diagnose the cause of the circular reference.</t>
  </si>
  <si>
    <t>The Terminal Value in a year (year n) of a stream of future cash flows (beginning in the next year) is calculated by the following formula:</t>
  </si>
  <si>
    <r>
      <t>Terminal Value (</t>
    </r>
    <r>
      <rPr>
        <vertAlign val="subscript"/>
        <sz val="10"/>
        <color rgb="FF000000"/>
        <rFont val="Calibri"/>
        <family val="2"/>
      </rPr>
      <t>n</t>
    </r>
    <r>
      <rPr>
        <sz val="10"/>
        <color indexed="8"/>
        <rFont val="Calibri"/>
        <family val="2"/>
      </rPr>
      <t>) = (Previous Year Value) * (1+ Growth Rate) / (Discount Rate - Growth Rate)</t>
    </r>
  </si>
  <si>
    <t>Terminal Value (0) = Terminal Value (n) / (1+Disount Factor) ^ n</t>
  </si>
  <si>
    <t>Below is an example of:</t>
  </si>
  <si>
    <t>The Present Value of the Terminal Value is calculated using the discount factor of the last year for which the cash flow is calculated (year 10 in this case).</t>
  </si>
  <si>
    <t>The NPV function calculates the Net Present Value of the future cash flows starting in the next year</t>
  </si>
  <si>
    <t xml:space="preserve">When using the Excel NPV formula, you must add the cash inflows or outflows in the current year (year 0) to the results of the NPV formula, in this case $100 inflow. </t>
  </si>
  <si>
    <t>However, if the Terminal Value is calculated as of a future year (year n) it must be discount back to the current year (year 0) to calculate its present value.</t>
  </si>
  <si>
    <t>Continuing to grow a 2% annually forever.</t>
  </si>
  <si>
    <t>Assuming a 5% annual discount rate.</t>
  </si>
  <si>
    <t>An investment of $100 made in the current year.</t>
  </si>
  <si>
    <r>
      <t>To determin</t>
    </r>
    <r>
      <rPr>
        <sz val="10"/>
        <color rgb="FF000000"/>
        <rFont val="Calibri"/>
        <family val="2"/>
      </rPr>
      <t xml:space="preserve">e the </t>
    </r>
    <r>
      <rPr>
        <u/>
        <sz val="10"/>
        <color rgb="FF000000"/>
        <rFont val="Calibri"/>
        <family val="2"/>
      </rPr>
      <t>present</t>
    </r>
    <r>
      <rPr>
        <sz val="10"/>
        <color rgb="FF000000"/>
        <rFont val="Calibri"/>
        <family val="2"/>
      </rPr>
      <t xml:space="preserve"> val</t>
    </r>
    <r>
      <rPr>
        <sz val="10"/>
        <color indexed="8"/>
        <rFont val="Calibri"/>
        <family val="2"/>
      </rPr>
      <t>ue of this Terminal Value, the Terminal Value needs to be discounted to the current year by applying the appropriate discount factor (10 year).</t>
    </r>
  </si>
  <si>
    <t>ID</t>
  </si>
  <si>
    <r>
      <rPr>
        <i/>
        <sz val="10"/>
        <color rgb="FF000000"/>
        <rFont val="Calibri"/>
        <family val="2"/>
      </rPr>
      <t>Note</t>
    </r>
    <r>
      <rPr>
        <sz val="10"/>
        <color indexed="8"/>
        <rFont val="Calibri"/>
        <family val="2"/>
      </rPr>
      <t>:  This will be used when you work on the 'MODEL Manufacturing Strategy' later.</t>
    </r>
  </si>
  <si>
    <t>Hint: This implies that the competitor will have a Unit Cost 1/0.9 times that of the Company.</t>
  </si>
  <si>
    <t>What is the present value of the terminal value in the current year?</t>
  </si>
  <si>
    <t>Cash is previous year Cash plus Increase (Decrease) in Cash from Cash Flow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</si>
</sst>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quot;$&quot;#,##0.00"/>
    <numFmt numFmtId="166" formatCode="0.0%"/>
    <numFmt numFmtId="167" formatCode="&quot;$&quot;#,##0"/>
    <numFmt numFmtId="168" formatCode="[$-409]dd\-mmm\-yy;@"/>
    <numFmt numFmtId="169" formatCode="_(* #,##0.000_);_(* \(#,##0.000\);_(* &quot;-&quot;??_);_(@_)"/>
    <numFmt numFmtId="170" formatCode="0.0000000000000000%"/>
    <numFmt numFmtId="171" formatCode="0.0"/>
    <numFmt numFmtId="172" formatCode="0.000"/>
    <numFmt numFmtId="173" formatCode="_(&quot;$&quot;* #,##0.000_);_(&quot;$&quot;* \(#,##0.000\);_(&quot;$&quot;* &quot;-&quot;??_);_(@_)"/>
    <numFmt numFmtId="174" formatCode="_(* #,##0.0000_);_(* \(#,##0.0000\);_(* &quot;-&quot;??_);_(@_)"/>
    <numFmt numFmtId="175" formatCode="_(&quot;$&quot;* #,##0_);_(&quot;$&quot;* \(#,##0\);_(&quot;$&quot;* &quot;-&quot;??_);_(@_)"/>
  </numFmts>
  <fonts count="140">
    <font>
      <sz val="12"/>
      <color indexed="8"/>
      <name val="Calibri"/>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theme="1"/>
      <name val="Calibri"/>
      <family val="2"/>
    </font>
    <font>
      <sz val="12"/>
      <color theme="1"/>
      <name val="Calibri"/>
      <family val="2"/>
      <scheme val="minor"/>
    </font>
    <font>
      <sz val="10"/>
      <color theme="1"/>
      <name val="Calibri"/>
      <family val="2"/>
    </font>
    <font>
      <sz val="10"/>
      <color theme="1"/>
      <name val="Calibri"/>
      <family val="2"/>
    </font>
    <font>
      <sz val="10"/>
      <color theme="1"/>
      <name val="Calibri"/>
      <family val="2"/>
    </font>
    <font>
      <sz val="10"/>
      <color theme="1"/>
      <name val="Calibri"/>
      <family val="2"/>
    </font>
    <font>
      <sz val="12"/>
      <color theme="1"/>
      <name val="Calibri"/>
      <family val="2"/>
      <scheme val="minor"/>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indexed="8"/>
      <name val="Calibri"/>
      <family val="2"/>
    </font>
    <font>
      <sz val="10"/>
      <color indexed="8"/>
      <name val="Calibri"/>
      <family val="2"/>
    </font>
    <font>
      <sz val="12"/>
      <color indexed="8"/>
      <name val="Calibri"/>
      <family val="2"/>
    </font>
    <font>
      <b/>
      <sz val="12"/>
      <color indexed="8"/>
      <name val="Calibri"/>
      <family val="2"/>
    </font>
    <font>
      <sz val="10"/>
      <color indexed="10"/>
      <name val="Calibri"/>
      <family val="2"/>
    </font>
    <font>
      <sz val="12"/>
      <color indexed="10"/>
      <name val="Calibri"/>
      <family val="2"/>
    </font>
    <font>
      <sz val="10"/>
      <color indexed="8"/>
      <name val="Calibri"/>
      <family val="2"/>
    </font>
    <font>
      <sz val="10"/>
      <color indexed="8"/>
      <name val="Calibri"/>
      <family val="2"/>
    </font>
    <font>
      <b/>
      <sz val="14"/>
      <color indexed="8"/>
      <name val="Calibri"/>
      <family val="2"/>
    </font>
    <font>
      <sz val="8"/>
      <color indexed="8"/>
      <name val="Calibri"/>
      <family val="2"/>
    </font>
    <font>
      <b/>
      <sz val="10"/>
      <color indexed="8"/>
      <name val="Calibri"/>
      <family val="2"/>
    </font>
    <font>
      <b/>
      <u/>
      <sz val="10"/>
      <color indexed="8"/>
      <name val="Calibri"/>
      <family val="2"/>
    </font>
    <font>
      <u/>
      <sz val="10"/>
      <color indexed="8"/>
      <name val="Calibri"/>
      <family val="2"/>
    </font>
    <font>
      <sz val="8"/>
      <name val="Verdana"/>
      <family val="2"/>
    </font>
    <font>
      <b/>
      <sz val="12"/>
      <color indexed="8"/>
      <name val="Calibri"/>
      <family val="2"/>
    </font>
    <font>
      <b/>
      <sz val="10"/>
      <color indexed="8"/>
      <name val="Calibri"/>
      <family val="2"/>
    </font>
    <font>
      <sz val="10"/>
      <color indexed="14"/>
      <name val="Calibri"/>
      <family val="2"/>
    </font>
    <font>
      <sz val="10"/>
      <color indexed="10"/>
      <name val="Calibri"/>
      <family val="2"/>
    </font>
    <font>
      <sz val="10"/>
      <name val="Calibri"/>
      <family val="2"/>
    </font>
    <font>
      <b/>
      <sz val="10"/>
      <color indexed="10"/>
      <name val="Calibri"/>
      <family val="2"/>
    </font>
    <font>
      <sz val="12"/>
      <color indexed="8"/>
      <name val="Calibri"/>
      <family val="2"/>
    </font>
    <font>
      <i/>
      <sz val="10"/>
      <color indexed="10"/>
      <name val="Calibri"/>
      <family val="2"/>
    </font>
    <font>
      <i/>
      <sz val="10"/>
      <color indexed="12"/>
      <name val="Calibri"/>
      <family val="2"/>
    </font>
    <font>
      <b/>
      <i/>
      <sz val="10"/>
      <color indexed="10"/>
      <name val="Calibri"/>
      <family val="2"/>
    </font>
    <font>
      <i/>
      <sz val="10"/>
      <color indexed="48"/>
      <name val="Calibri"/>
      <family val="2"/>
    </font>
    <font>
      <sz val="10"/>
      <color indexed="48"/>
      <name val="Calibri"/>
      <family val="2"/>
    </font>
    <font>
      <sz val="12"/>
      <name val="Calibri"/>
      <family val="2"/>
    </font>
    <font>
      <sz val="10"/>
      <color rgb="FFFF0000"/>
      <name val="Calibri"/>
      <family val="2"/>
    </font>
    <font>
      <sz val="12"/>
      <color theme="1"/>
      <name val="Calibri"/>
      <family val="2"/>
    </font>
    <font>
      <sz val="10"/>
      <color rgb="FF000000"/>
      <name val="Calibri"/>
      <family val="2"/>
    </font>
    <font>
      <b/>
      <sz val="12"/>
      <color theme="1"/>
      <name val="Calibri"/>
      <family val="2"/>
    </font>
    <font>
      <sz val="10"/>
      <color theme="1"/>
      <name val="Calibri"/>
      <family val="2"/>
      <scheme val="minor"/>
    </font>
    <font>
      <b/>
      <sz val="10"/>
      <color theme="1"/>
      <name val="Calibri"/>
      <family val="2"/>
      <scheme val="minor"/>
    </font>
    <font>
      <sz val="10"/>
      <color theme="1"/>
      <name val="Calibri (Body)_x0000_"/>
    </font>
    <font>
      <sz val="10"/>
      <color indexed="8"/>
      <name val="Calibri (Body)_x0000_"/>
    </font>
    <font>
      <b/>
      <sz val="10"/>
      <color indexed="8"/>
      <name val="Calibri (Body)_x0000_"/>
    </font>
    <font>
      <sz val="12"/>
      <color rgb="FFFF0000"/>
      <name val="Calibri"/>
      <family val="2"/>
    </font>
    <font>
      <b/>
      <sz val="10"/>
      <color rgb="FF000000"/>
      <name val="Calibri"/>
      <family val="2"/>
    </font>
    <font>
      <b/>
      <sz val="10"/>
      <color theme="1"/>
      <name val="Calibri"/>
      <family val="2"/>
    </font>
    <font>
      <sz val="12"/>
      <color theme="1"/>
      <name val="Calibri"/>
      <family val="2"/>
      <scheme val="minor"/>
    </font>
    <font>
      <b/>
      <sz val="18"/>
      <color theme="1"/>
      <name val="Calibri"/>
      <family val="2"/>
      <scheme val="minor"/>
    </font>
    <font>
      <u val="double"/>
      <sz val="10"/>
      <color indexed="8"/>
      <name val="Calibri"/>
      <family val="2"/>
      <scheme val="minor"/>
    </font>
    <font>
      <sz val="11"/>
      <color indexed="8"/>
      <name val="Calibri"/>
      <family val="2"/>
      <scheme val="minor"/>
    </font>
    <font>
      <u val="singleAccounting"/>
      <sz val="10"/>
      <color indexed="8"/>
      <name val="Calibri"/>
      <family val="2"/>
      <scheme val="minor"/>
    </font>
    <font>
      <u/>
      <sz val="10"/>
      <color indexed="8"/>
      <name val="Calibri"/>
      <family val="2"/>
      <scheme val="minor"/>
    </font>
    <font>
      <sz val="11"/>
      <color theme="1"/>
      <name val="Calibri"/>
      <family val="2"/>
      <scheme val="minor"/>
    </font>
    <font>
      <sz val="10"/>
      <color indexed="8"/>
      <name val="Calibri"/>
      <family val="2"/>
      <scheme val="minor"/>
    </font>
    <font>
      <i/>
      <sz val="10"/>
      <color indexed="8"/>
      <name val="Calibri (Body)_x0000_"/>
    </font>
    <font>
      <b/>
      <u/>
      <sz val="10"/>
      <color indexed="8"/>
      <name val="Calibri"/>
      <family val="2"/>
      <scheme val="minor"/>
    </font>
    <font>
      <b/>
      <sz val="12"/>
      <color theme="1"/>
      <name val="Calibri"/>
      <family val="2"/>
      <scheme val="minor"/>
    </font>
    <font>
      <sz val="10"/>
      <color rgb="FF3366FF"/>
      <name val="Calibri"/>
      <family val="2"/>
    </font>
    <font>
      <b/>
      <sz val="10"/>
      <color rgb="FF3366FF"/>
      <name val="Calibri"/>
      <family val="2"/>
    </font>
    <font>
      <i/>
      <sz val="9"/>
      <color indexed="10"/>
      <name val="Calibri"/>
      <family val="2"/>
    </font>
    <font>
      <i/>
      <sz val="9"/>
      <color indexed="8"/>
      <name val="Calibri"/>
      <family val="2"/>
    </font>
    <font>
      <i/>
      <sz val="9"/>
      <name val="Calibri"/>
      <family val="2"/>
    </font>
    <font>
      <i/>
      <sz val="12"/>
      <color indexed="8"/>
      <name val="Calibri"/>
      <family val="2"/>
    </font>
    <font>
      <i/>
      <sz val="10"/>
      <color indexed="8"/>
      <name val="Calibri"/>
      <family val="2"/>
    </font>
    <font>
      <sz val="10"/>
      <color rgb="FF222222"/>
      <name val="Arial"/>
      <family val="2"/>
    </font>
    <font>
      <i/>
      <sz val="10"/>
      <color theme="1"/>
      <name val="Calibri"/>
      <family val="2"/>
    </font>
    <font>
      <sz val="10"/>
      <color rgb="FF1E1E1E"/>
      <name val="Calibri"/>
      <family val="2"/>
    </font>
    <font>
      <b/>
      <sz val="10"/>
      <color rgb="FF1E1E1E"/>
      <name val="Calibri"/>
      <family val="2"/>
    </font>
    <font>
      <sz val="10"/>
      <color theme="0"/>
      <name val="Calibri"/>
      <family val="2"/>
      <scheme val="minor"/>
    </font>
    <font>
      <sz val="8"/>
      <color theme="1"/>
      <name val="Calibri"/>
      <family val="2"/>
      <scheme val="minor"/>
    </font>
    <font>
      <sz val="8"/>
      <color theme="1"/>
      <name val="Calibri"/>
      <family val="2"/>
    </font>
    <font>
      <sz val="10"/>
      <color theme="0"/>
      <name val="Calibri"/>
      <family val="2"/>
    </font>
    <font>
      <b/>
      <sz val="12"/>
      <color indexed="8"/>
      <name val="Calibri"/>
      <family val="2"/>
      <scheme val="minor"/>
    </font>
    <font>
      <sz val="10"/>
      <color theme="1"/>
      <name val="Times New Roman"/>
      <family val="1"/>
    </font>
    <font>
      <sz val="14"/>
      <color indexed="8"/>
      <name val="Calibri"/>
      <family val="2"/>
    </font>
    <font>
      <b/>
      <i/>
      <sz val="10"/>
      <color indexed="8"/>
      <name val="Calibri"/>
      <family val="2"/>
    </font>
    <font>
      <sz val="10"/>
      <name val="Arial"/>
      <family val="2"/>
    </font>
    <font>
      <sz val="10"/>
      <color theme="1"/>
      <name val="Arial"/>
      <family val="2"/>
    </font>
    <font>
      <b/>
      <sz val="10"/>
      <color rgb="FFFF0000"/>
      <name val="Calibri"/>
      <family val="2"/>
    </font>
    <font>
      <sz val="8"/>
      <name val="Calibri"/>
      <family val="2"/>
    </font>
    <font>
      <b/>
      <u/>
      <sz val="10"/>
      <color theme="1"/>
      <name val="Calibri"/>
      <family val="2"/>
    </font>
    <font>
      <i/>
      <sz val="10"/>
      <color rgb="FFFF0000"/>
      <name val="Calibri"/>
      <family val="2"/>
    </font>
    <font>
      <sz val="22"/>
      <color theme="1"/>
      <name val="Calibri"/>
      <family val="2"/>
    </font>
    <font>
      <i/>
      <sz val="10"/>
      <color rgb="FF000000"/>
      <name val="Calibri"/>
      <family val="2"/>
    </font>
    <font>
      <vertAlign val="superscript"/>
      <sz val="10"/>
      <color rgb="FF000000"/>
      <name val="Calibri"/>
      <family val="2"/>
    </font>
    <font>
      <vertAlign val="subscript"/>
      <sz val="10"/>
      <color rgb="FF000000"/>
      <name val="Calibri"/>
      <family val="2"/>
    </font>
    <font>
      <u/>
      <sz val="10"/>
      <color rgb="FF000000"/>
      <name val="Calibri"/>
      <family val="2"/>
    </font>
    <font>
      <b/>
      <sz val="10"/>
      <color theme="1"/>
      <name val="Arial Unicode MS"/>
      <family val="2"/>
    </font>
    <font>
      <sz val="10"/>
      <color theme="1"/>
      <name val="Arial Unicode MS"/>
      <family val="2"/>
    </font>
    <font>
      <sz val="12"/>
      <color theme="0"/>
      <name val="Calibri"/>
      <family val="2"/>
      <scheme val="minor"/>
    </font>
  </fonts>
  <fills count="12">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
      <patternFill patternType="solid">
        <fgColor rgb="FFF9FC6B"/>
        <bgColor indexed="64"/>
      </patternFill>
    </fill>
    <fill>
      <patternFill patternType="solid">
        <fgColor theme="9" tint="0.59999389629810485"/>
        <bgColor indexed="64"/>
      </patternFill>
    </fill>
    <fill>
      <patternFill patternType="solid">
        <fgColor rgb="FFFFFD78"/>
        <bgColor indexed="64"/>
      </patternFill>
    </fill>
    <fill>
      <patternFill patternType="solid">
        <fgColor rgb="FFFFFDA9"/>
        <bgColor indexed="64"/>
      </patternFill>
    </fill>
    <fill>
      <patternFill patternType="solid">
        <fgColor theme="0" tint="-0.14999847407452621"/>
        <bgColor rgb="FFD9E1F2"/>
      </patternFill>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4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style="thin">
        <color indexed="64"/>
      </left>
      <right/>
      <top style="medium">
        <color indexed="64"/>
      </top>
      <bottom/>
      <diagonal/>
    </border>
    <border>
      <left/>
      <right style="medium">
        <color indexed="64"/>
      </right>
      <top/>
      <bottom style="thin">
        <color indexed="64"/>
      </bottom>
      <diagonal/>
    </border>
    <border>
      <left/>
      <right style="medium">
        <color indexed="64"/>
      </right>
      <top style="thin">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6">
    <xf numFmtId="0" fontId="0" fillId="0" borderId="0"/>
    <xf numFmtId="44" fontId="59" fillId="0" borderId="0" applyFont="0" applyFill="0" applyBorder="0" applyAlignment="0" applyProtection="0"/>
    <xf numFmtId="0" fontId="58" fillId="0" borderId="0"/>
    <xf numFmtId="0" fontId="63" fillId="0" borderId="0"/>
    <xf numFmtId="9" fontId="59" fillId="0" borderId="0" applyFont="0" applyFill="0" applyBorder="0" applyAlignment="0" applyProtection="0"/>
    <xf numFmtId="0" fontId="54" fillId="0" borderId="0"/>
    <xf numFmtId="43" fontId="59" fillId="0" borderId="0" applyFont="0" applyFill="0" applyBorder="0" applyAlignment="0" applyProtection="0"/>
    <xf numFmtId="44" fontId="59" fillId="0" borderId="0" applyFont="0" applyFill="0" applyBorder="0" applyAlignment="0" applyProtection="0"/>
    <xf numFmtId="9" fontId="59" fillId="0" borderId="0" applyFont="0" applyFill="0" applyBorder="0" applyAlignment="0" applyProtection="0"/>
    <xf numFmtId="0" fontId="96" fillId="0" borderId="0"/>
    <xf numFmtId="43" fontId="96" fillId="0" borderId="0" applyFont="0" applyFill="0" applyBorder="0" applyAlignment="0" applyProtection="0"/>
    <xf numFmtId="9" fontId="96" fillId="0" borderId="0" applyFont="0" applyFill="0" applyBorder="0" applyAlignment="0" applyProtection="0"/>
    <xf numFmtId="44" fontId="96" fillId="0" borderId="0" applyFont="0" applyFill="0" applyBorder="0" applyAlignment="0" applyProtection="0"/>
    <xf numFmtId="0" fontId="49" fillId="0" borderId="0"/>
    <xf numFmtId="0" fontId="88" fillId="0" borderId="0"/>
    <xf numFmtId="0" fontId="102"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96" fillId="0" borderId="0"/>
    <xf numFmtId="44" fontId="88" fillId="0" borderId="0" applyFont="0" applyFill="0" applyBorder="0" applyAlignment="0" applyProtection="0"/>
    <xf numFmtId="43" fontId="88" fillId="0" borderId="0" applyFont="0" applyFill="0" applyBorder="0" applyAlignment="0" applyProtection="0"/>
    <xf numFmtId="43" fontId="102" fillId="0" borderId="0" applyFont="0" applyFill="0" applyBorder="0" applyAlignment="0" applyProtection="0"/>
    <xf numFmtId="0" fontId="31" fillId="0" borderId="0"/>
    <xf numFmtId="0" fontId="28" fillId="0" borderId="0"/>
    <xf numFmtId="0" fontId="126" fillId="0" borderId="0"/>
  </cellStyleXfs>
  <cellXfs count="1080">
    <xf numFmtId="0" fontId="0" fillId="0" borderId="0" xfId="0"/>
    <xf numFmtId="0" fontId="66" fillId="0" borderId="0" xfId="0" applyFont="1"/>
    <xf numFmtId="0" fontId="57" fillId="0" borderId="0" xfId="0" applyFont="1"/>
    <xf numFmtId="0" fontId="96" fillId="0" borderId="0" xfId="9"/>
    <xf numFmtId="168" fontId="88" fillId="6" borderId="6" xfId="9" applyNumberFormat="1" applyFont="1" applyFill="1" applyBorder="1" applyAlignment="1" applyProtection="1">
      <alignment horizontal="center"/>
      <protection locked="0"/>
    </xf>
    <xf numFmtId="164" fontId="88" fillId="5" borderId="6" xfId="6" applyNumberFormat="1" applyFont="1" applyFill="1" applyBorder="1" applyProtection="1">
      <protection locked="0"/>
    </xf>
    <xf numFmtId="166" fontId="88" fillId="5" borderId="26" xfId="8" applyNumberFormat="1" applyFont="1" applyFill="1" applyBorder="1" applyProtection="1">
      <protection locked="0"/>
    </xf>
    <xf numFmtId="164" fontId="57" fillId="6" borderId="6" xfId="6" applyNumberFormat="1" applyFont="1" applyFill="1" applyBorder="1" applyProtection="1">
      <protection locked="0"/>
    </xf>
    <xf numFmtId="9" fontId="57" fillId="6" borderId="6" xfId="8" applyFont="1" applyFill="1" applyBorder="1" applyProtection="1">
      <protection locked="0"/>
    </xf>
    <xf numFmtId="0" fontId="97" fillId="6" borderId="28" xfId="9" applyFont="1" applyFill="1" applyBorder="1" applyAlignment="1" applyProtection="1">
      <alignment horizontal="center" vertical="center"/>
      <protection locked="0"/>
    </xf>
    <xf numFmtId="0" fontId="57" fillId="5" borderId="6" xfId="0" applyFont="1" applyFill="1" applyBorder="1" applyAlignment="1" applyProtection="1">
      <alignment horizontal="center"/>
      <protection locked="0"/>
    </xf>
    <xf numFmtId="164" fontId="88" fillId="0" borderId="6" xfId="6" applyNumberFormat="1" applyFont="1" applyFill="1" applyBorder="1" applyProtection="1">
      <protection locked="0"/>
    </xf>
    <xf numFmtId="167" fontId="88" fillId="5" borderId="6" xfId="0" applyNumberFormat="1" applyFont="1" applyFill="1" applyBorder="1" applyProtection="1">
      <protection locked="0"/>
    </xf>
    <xf numFmtId="164" fontId="63" fillId="0" borderId="0" xfId="6" applyNumberFormat="1" applyFont="1" applyProtection="1">
      <protection locked="0"/>
    </xf>
    <xf numFmtId="0" fontId="57" fillId="0" borderId="0" xfId="3" applyFont="1" applyAlignment="1" applyProtection="1">
      <alignment horizontal="right"/>
      <protection locked="0"/>
    </xf>
    <xf numFmtId="166" fontId="63" fillId="0" borderId="0" xfId="8" applyNumberFormat="1" applyFont="1" applyProtection="1">
      <protection locked="0"/>
    </xf>
    <xf numFmtId="164" fontId="67" fillId="6" borderId="6" xfId="6" applyNumberFormat="1" applyFont="1" applyFill="1" applyBorder="1" applyProtection="1">
      <protection locked="0"/>
    </xf>
    <xf numFmtId="164" fontId="57" fillId="6" borderId="6" xfId="0" applyNumberFormat="1" applyFont="1" applyFill="1" applyBorder="1" applyProtection="1">
      <protection locked="0"/>
    </xf>
    <xf numFmtId="0" fontId="67" fillId="0" borderId="0" xfId="0" applyFont="1"/>
    <xf numFmtId="0" fontId="57" fillId="0" borderId="0" xfId="0" applyFont="1" applyAlignment="1">
      <alignment horizontal="left" indent="2"/>
    </xf>
    <xf numFmtId="164" fontId="57" fillId="0" borderId="0" xfId="6" applyNumberFormat="1" applyFont="1" applyProtection="1"/>
    <xf numFmtId="6" fontId="57" fillId="0" borderId="0" xfId="0" applyNumberFormat="1" applyFont="1"/>
    <xf numFmtId="9" fontId="57" fillId="0" borderId="0" xfId="8" applyFont="1" applyProtection="1"/>
    <xf numFmtId="9" fontId="57" fillId="0" borderId="0" xfId="0" applyNumberFormat="1" applyFont="1"/>
    <xf numFmtId="1" fontId="57" fillId="6" borderId="6" xfId="6" applyNumberFormat="1" applyFont="1" applyFill="1" applyBorder="1" applyProtection="1">
      <protection locked="0"/>
    </xf>
    <xf numFmtId="164" fontId="115" fillId="6" borderId="6" xfId="6" applyNumberFormat="1" applyFont="1" applyFill="1" applyBorder="1" applyProtection="1">
      <protection locked="0"/>
    </xf>
    <xf numFmtId="164" fontId="57" fillId="6" borderId="6" xfId="9" applyNumberFormat="1" applyFont="1" applyFill="1" applyBorder="1" applyAlignment="1" applyProtection="1">
      <alignment horizontal="right"/>
      <protection locked="0"/>
    </xf>
    <xf numFmtId="164" fontId="57" fillId="6" borderId="6" xfId="6" applyNumberFormat="1" applyFont="1" applyFill="1" applyBorder="1" applyAlignment="1" applyProtection="1">
      <alignment horizontal="right"/>
      <protection locked="0"/>
    </xf>
    <xf numFmtId="166" fontId="57" fillId="6" borderId="25" xfId="8" applyNumberFormat="1" applyFont="1" applyFill="1" applyBorder="1" applyAlignment="1" applyProtection="1">
      <alignment horizontal="right"/>
      <protection locked="0"/>
    </xf>
    <xf numFmtId="166" fontId="57" fillId="6" borderId="6" xfId="8" applyNumberFormat="1" applyFont="1" applyFill="1" applyBorder="1" applyAlignment="1" applyProtection="1">
      <alignment horizontal="right"/>
      <protection locked="0"/>
    </xf>
    <xf numFmtId="164" fontId="57" fillId="5" borderId="6" xfId="6" applyNumberFormat="1" applyFont="1" applyFill="1" applyBorder="1" applyAlignment="1" applyProtection="1">
      <alignment horizontal="right"/>
      <protection locked="0"/>
    </xf>
    <xf numFmtId="164" fontId="57" fillId="5" borderId="6" xfId="0" applyNumberFormat="1" applyFont="1" applyFill="1" applyBorder="1" applyAlignment="1" applyProtection="1">
      <alignment horizontal="right"/>
      <protection locked="0"/>
    </xf>
    <xf numFmtId="1" fontId="42" fillId="0" borderId="0" xfId="16" applyNumberFormat="1" applyFont="1"/>
    <xf numFmtId="0" fontId="42" fillId="0" borderId="0" xfId="16" applyFont="1"/>
    <xf numFmtId="164" fontId="57" fillId="6" borderId="6" xfId="6" applyNumberFormat="1" applyFont="1" applyFill="1" applyBorder="1" applyAlignment="1" applyProtection="1">
      <alignment horizontal="center"/>
      <protection locked="0"/>
    </xf>
    <xf numFmtId="0" fontId="57" fillId="0" borderId="0" xfId="14" applyFont="1"/>
    <xf numFmtId="9" fontId="85" fillId="5" borderId="6" xfId="11" applyFont="1" applyFill="1" applyBorder="1" applyProtection="1">
      <protection locked="0"/>
    </xf>
    <xf numFmtId="0" fontId="88" fillId="5" borderId="6" xfId="14" applyFill="1" applyBorder="1" applyProtection="1">
      <protection locked="0"/>
    </xf>
    <xf numFmtId="9" fontId="57" fillId="0" borderId="0" xfId="0" applyNumberFormat="1" applyFont="1" applyProtection="1">
      <protection locked="0"/>
    </xf>
    <xf numFmtId="0" fontId="87" fillId="0" borderId="0" xfId="0" applyFont="1" applyAlignment="1">
      <alignment horizontal="left"/>
    </xf>
    <xf numFmtId="0" fontId="36" fillId="0" borderId="0" xfId="16" applyFont="1" applyAlignment="1">
      <alignment horizontal="left" indent="2"/>
    </xf>
    <xf numFmtId="0" fontId="95" fillId="0" borderId="0" xfId="16" applyFont="1" applyAlignment="1">
      <alignment horizontal="left"/>
    </xf>
    <xf numFmtId="0" fontId="116" fillId="0" borderId="0" xfId="0" applyFont="1"/>
    <xf numFmtId="0" fontId="85" fillId="0" borderId="0" xfId="9" applyFont="1"/>
    <xf numFmtId="0" fontId="85" fillId="4" borderId="0" xfId="9" applyFont="1" applyFill="1"/>
    <xf numFmtId="0" fontId="85" fillId="4" borderId="2" xfId="9" applyFont="1" applyFill="1" applyBorder="1"/>
    <xf numFmtId="0" fontId="36" fillId="5" borderId="3" xfId="9" applyFont="1" applyFill="1" applyBorder="1"/>
    <xf numFmtId="0" fontId="85" fillId="5" borderId="5" xfId="9" applyFont="1" applyFill="1" applyBorder="1"/>
    <xf numFmtId="0" fontId="85" fillId="5" borderId="4" xfId="9" applyFont="1" applyFill="1" applyBorder="1"/>
    <xf numFmtId="0" fontId="87" fillId="0" borderId="0" xfId="0" applyFont="1"/>
    <xf numFmtId="0" fontId="36" fillId="0" borderId="0" xfId="0" applyFont="1"/>
    <xf numFmtId="0" fontId="95" fillId="0" borderId="0" xfId="0" applyFont="1"/>
    <xf numFmtId="0" fontId="36" fillId="0" borderId="0" xfId="0" applyFont="1" applyAlignment="1">
      <alignment horizontal="left" indent="2"/>
    </xf>
    <xf numFmtId="9" fontId="36" fillId="0" borderId="0" xfId="0" applyNumberFormat="1" applyFont="1"/>
    <xf numFmtId="0" fontId="67" fillId="0" borderId="0" xfId="0" applyFont="1" applyAlignment="1">
      <alignment horizontal="right"/>
    </xf>
    <xf numFmtId="1" fontId="57" fillId="0" borderId="0" xfId="0" applyNumberFormat="1" applyFont="1"/>
    <xf numFmtId="164" fontId="57" fillId="0" borderId="0" xfId="0" applyNumberFormat="1" applyFont="1"/>
    <xf numFmtId="166" fontId="57" fillId="3" borderId="0" xfId="8" applyNumberFormat="1" applyFont="1" applyFill="1" applyProtection="1"/>
    <xf numFmtId="166" fontId="57" fillId="0" borderId="0" xfId="8" applyNumberFormat="1" applyFont="1" applyProtection="1"/>
    <xf numFmtId="167" fontId="36" fillId="0" borderId="0" xfId="7" applyNumberFormat="1" applyFont="1" applyFill="1" applyBorder="1" applyProtection="1"/>
    <xf numFmtId="0" fontId="87" fillId="6" borderId="0" xfId="0" applyFont="1" applyFill="1"/>
    <xf numFmtId="0" fontId="36" fillId="6" borderId="0" xfId="0" applyFont="1" applyFill="1"/>
    <xf numFmtId="44" fontId="57" fillId="0" borderId="0" xfId="7" applyFont="1" applyProtection="1"/>
    <xf numFmtId="44" fontId="57" fillId="6" borderId="6" xfId="7" applyFont="1" applyFill="1" applyBorder="1" applyProtection="1">
      <protection locked="0"/>
    </xf>
    <xf numFmtId="8" fontId="57" fillId="6" borderId="6" xfId="7" applyNumberFormat="1" applyFont="1" applyFill="1" applyBorder="1" applyProtection="1">
      <protection locked="0"/>
    </xf>
    <xf numFmtId="0" fontId="87" fillId="5" borderId="0" xfId="0" applyFont="1" applyFill="1"/>
    <xf numFmtId="0" fontId="36" fillId="5" borderId="0" xfId="0" applyFont="1" applyFill="1"/>
    <xf numFmtId="0" fontId="95" fillId="0" borderId="0" xfId="0" applyFont="1" applyAlignment="1">
      <alignment horizontal="left"/>
    </xf>
    <xf numFmtId="0" fontId="36" fillId="0" borderId="0" xfId="0" applyFont="1" applyAlignment="1">
      <alignment horizontal="left"/>
    </xf>
    <xf numFmtId="1" fontId="57" fillId="3" borderId="0" xfId="0" applyNumberFormat="1" applyFont="1" applyFill="1"/>
    <xf numFmtId="9" fontId="36" fillId="5" borderId="6" xfId="0" applyNumberFormat="1" applyFont="1" applyFill="1" applyBorder="1" applyProtection="1">
      <protection locked="0"/>
    </xf>
    <xf numFmtId="0" fontId="36" fillId="0" borderId="0" xfId="0" quotePrefix="1" applyFont="1"/>
    <xf numFmtId="0" fontId="36" fillId="5" borderId="6" xfId="0" applyFont="1" applyFill="1" applyBorder="1" applyProtection="1">
      <protection locked="0"/>
    </xf>
    <xf numFmtId="1" fontId="57" fillId="3" borderId="0" xfId="0" applyNumberFormat="1" applyFont="1" applyFill="1" applyProtection="1">
      <protection locked="0"/>
    </xf>
    <xf numFmtId="9" fontId="57" fillId="6" borderId="6" xfId="8" applyFont="1" applyFill="1" applyBorder="1" applyAlignment="1" applyProtection="1">
      <alignment horizontal="center"/>
      <protection locked="0"/>
    </xf>
    <xf numFmtId="0" fontId="57" fillId="3" borderId="0" xfId="3" applyFont="1" applyFill="1" applyAlignment="1" applyProtection="1">
      <alignment horizontal="right"/>
      <protection locked="0"/>
    </xf>
    <xf numFmtId="164" fontId="63" fillId="5" borderId="6" xfId="6" applyNumberFormat="1" applyFont="1" applyFill="1" applyBorder="1" applyAlignment="1" applyProtection="1">
      <alignment horizontal="center"/>
      <protection locked="0"/>
    </xf>
    <xf numFmtId="0" fontId="36" fillId="5" borderId="6" xfId="0" applyFont="1" applyFill="1" applyBorder="1"/>
    <xf numFmtId="9" fontId="63" fillId="3" borderId="0" xfId="8" applyFont="1" applyFill="1" applyProtection="1">
      <protection locked="0"/>
    </xf>
    <xf numFmtId="9" fontId="57" fillId="3" borderId="0" xfId="8" applyFont="1" applyFill="1" applyAlignment="1" applyProtection="1">
      <alignment horizontal="right"/>
      <protection locked="0"/>
    </xf>
    <xf numFmtId="0" fontId="57" fillId="0" borderId="0" xfId="0" applyFont="1" applyAlignment="1">
      <alignment horizontal="left" indent="4"/>
    </xf>
    <xf numFmtId="0" fontId="63" fillId="0" borderId="0" xfId="0" applyFont="1" applyProtection="1">
      <protection locked="0"/>
    </xf>
    <xf numFmtId="0" fontId="66" fillId="0" borderId="0" xfId="0" applyFont="1" applyProtection="1">
      <protection locked="0"/>
    </xf>
    <xf numFmtId="0" fontId="57" fillId="0" borderId="0" xfId="0" applyFont="1" applyProtection="1">
      <protection locked="0"/>
    </xf>
    <xf numFmtId="0" fontId="0" fillId="0" borderId="0" xfId="0" applyProtection="1">
      <protection locked="0"/>
    </xf>
    <xf numFmtId="0" fontId="60" fillId="0" borderId="0" xfId="0" applyFont="1" applyProtection="1">
      <protection locked="0"/>
    </xf>
    <xf numFmtId="9" fontId="0" fillId="5" borderId="6" xfId="0" applyNumberFormat="1" applyFill="1" applyBorder="1" applyProtection="1">
      <protection locked="0"/>
    </xf>
    <xf numFmtId="0" fontId="91" fillId="0" borderId="0" xfId="0" applyFont="1" applyProtection="1">
      <protection locked="0"/>
    </xf>
    <xf numFmtId="0" fontId="92" fillId="0" borderId="0" xfId="0" applyFont="1" applyProtection="1">
      <protection locked="0"/>
    </xf>
    <xf numFmtId="164" fontId="91" fillId="3" borderId="0" xfId="6" applyNumberFormat="1" applyFont="1" applyFill="1" applyProtection="1">
      <protection locked="0"/>
    </xf>
    <xf numFmtId="9" fontId="91" fillId="3" borderId="0" xfId="8" applyFont="1" applyFill="1" applyProtection="1">
      <protection locked="0"/>
    </xf>
    <xf numFmtId="164" fontId="91" fillId="0" borderId="0" xfId="0" applyNumberFormat="1" applyFont="1" applyProtection="1">
      <protection locked="0"/>
    </xf>
    <xf numFmtId="0" fontId="57" fillId="0" borderId="0" xfId="0" applyFont="1" applyAlignment="1" applyProtection="1">
      <alignment horizontal="right"/>
      <protection locked="0"/>
    </xf>
    <xf numFmtId="0" fontId="0" fillId="3" borderId="6" xfId="0" applyFill="1" applyBorder="1" applyProtection="1">
      <protection locked="0"/>
    </xf>
    <xf numFmtId="9" fontId="0" fillId="3" borderId="32" xfId="0" applyNumberFormat="1" applyFill="1" applyBorder="1" applyProtection="1">
      <protection locked="0"/>
    </xf>
    <xf numFmtId="6" fontId="0" fillId="0" borderId="0" xfId="0" applyNumberFormat="1" applyProtection="1">
      <protection locked="0"/>
    </xf>
    <xf numFmtId="0" fontId="42" fillId="0" borderId="0" xfId="16" applyFont="1" applyProtection="1">
      <protection locked="0"/>
    </xf>
    <xf numFmtId="0" fontId="95" fillId="0" borderId="0" xfId="16" applyFont="1" applyAlignment="1" applyProtection="1">
      <alignment horizontal="center"/>
      <protection locked="0"/>
    </xf>
    <xf numFmtId="164" fontId="57" fillId="3" borderId="0" xfId="17" applyNumberFormat="1" applyFont="1" applyFill="1" applyProtection="1">
      <protection locked="0"/>
    </xf>
    <xf numFmtId="164" fontId="57" fillId="3" borderId="0" xfId="6" applyNumberFormat="1" applyFont="1" applyFill="1" applyProtection="1">
      <protection locked="0"/>
    </xf>
    <xf numFmtId="9" fontId="57" fillId="0" borderId="0" xfId="18" applyFont="1" applyFill="1" applyBorder="1" applyProtection="1">
      <protection locked="0"/>
    </xf>
    <xf numFmtId="9" fontId="57" fillId="3" borderId="0" xfId="18" applyFont="1" applyFill="1" applyProtection="1">
      <protection locked="0"/>
    </xf>
    <xf numFmtId="164" fontId="57" fillId="0" borderId="0" xfId="17" applyNumberFormat="1" applyFont="1" applyFill="1" applyBorder="1" applyProtection="1">
      <protection locked="0"/>
    </xf>
    <xf numFmtId="0" fontId="95" fillId="0" borderId="0" xfId="16" applyFont="1" applyProtection="1">
      <protection locked="0"/>
    </xf>
    <xf numFmtId="164" fontId="42" fillId="0" borderId="0" xfId="16" applyNumberFormat="1" applyFont="1" applyProtection="1">
      <protection locked="0"/>
    </xf>
    <xf numFmtId="0" fontId="63" fillId="0" borderId="0" xfId="3" applyProtection="1">
      <protection locked="0"/>
    </xf>
    <xf numFmtId="164" fontId="57" fillId="0" borderId="0" xfId="3" applyNumberFormat="1" applyFont="1" applyAlignment="1" applyProtection="1">
      <alignment horizontal="right"/>
      <protection locked="0"/>
    </xf>
    <xf numFmtId="0" fontId="121" fillId="0" borderId="0" xfId="0" applyFont="1" applyProtection="1">
      <protection locked="0"/>
    </xf>
    <xf numFmtId="0" fontId="121" fillId="0" borderId="0" xfId="3" applyFont="1" applyProtection="1">
      <protection locked="0"/>
    </xf>
    <xf numFmtId="0" fontId="67" fillId="0" borderId="0" xfId="3" applyFont="1" applyProtection="1">
      <protection locked="0"/>
    </xf>
    <xf numFmtId="0" fontId="57" fillId="0" borderId="0" xfId="3" applyFont="1" applyAlignment="1" applyProtection="1">
      <alignment horizontal="left"/>
      <protection locked="0"/>
    </xf>
    <xf numFmtId="0" fontId="57" fillId="0" borderId="0" xfId="3" applyFont="1" applyAlignment="1" applyProtection="1">
      <alignment horizontal="right" vertical="center" wrapText="1"/>
      <protection locked="0"/>
    </xf>
    <xf numFmtId="164" fontId="63" fillId="0" borderId="0" xfId="6" applyNumberFormat="1" applyFont="1" applyFill="1" applyProtection="1">
      <protection locked="0"/>
    </xf>
    <xf numFmtId="164" fontId="57" fillId="6" borderId="25" xfId="6" applyNumberFormat="1" applyFont="1" applyFill="1" applyBorder="1" applyProtection="1">
      <protection locked="0"/>
    </xf>
    <xf numFmtId="166" fontId="42" fillId="5" borderId="28" xfId="16" applyNumberFormat="1" applyFont="1" applyFill="1" applyBorder="1" applyProtection="1">
      <protection locked="0"/>
    </xf>
    <xf numFmtId="9" fontId="42" fillId="5" borderId="28" xfId="16" applyNumberFormat="1" applyFont="1" applyFill="1" applyBorder="1" applyProtection="1">
      <protection locked="0"/>
    </xf>
    <xf numFmtId="164" fontId="57" fillId="5" borderId="28" xfId="17" applyNumberFormat="1" applyFont="1" applyFill="1" applyBorder="1" applyProtection="1">
      <protection locked="0"/>
    </xf>
    <xf numFmtId="167" fontId="42" fillId="5" borderId="6" xfId="16" applyNumberFormat="1" applyFont="1" applyFill="1" applyBorder="1" applyProtection="1">
      <protection locked="0"/>
    </xf>
    <xf numFmtId="164" fontId="42" fillId="5" borderId="28" xfId="16" applyNumberFormat="1" applyFont="1" applyFill="1" applyBorder="1" applyProtection="1">
      <protection locked="0"/>
    </xf>
    <xf numFmtId="6" fontId="42" fillId="5" borderId="28" xfId="16" applyNumberFormat="1" applyFont="1" applyFill="1" applyBorder="1" applyProtection="1">
      <protection locked="0"/>
    </xf>
    <xf numFmtId="0" fontId="36" fillId="5" borderId="6" xfId="16" applyFont="1" applyFill="1" applyBorder="1" applyProtection="1">
      <protection locked="0"/>
    </xf>
    <xf numFmtId="0" fontId="88" fillId="0" borderId="0" xfId="14" applyProtection="1">
      <protection locked="0"/>
    </xf>
    <xf numFmtId="0" fontId="88" fillId="0" borderId="0" xfId="14" applyAlignment="1" applyProtection="1">
      <alignment horizontal="center"/>
      <protection locked="0"/>
    </xf>
    <xf numFmtId="0" fontId="120" fillId="0" borderId="0" xfId="14" applyFont="1" applyProtection="1">
      <protection locked="0"/>
    </xf>
    <xf numFmtId="164" fontId="0" fillId="0" borderId="0" xfId="21" applyNumberFormat="1" applyFont="1" applyProtection="1">
      <protection locked="0"/>
    </xf>
    <xf numFmtId="0" fontId="118" fillId="0" borderId="0" xfId="14" applyFont="1" applyProtection="1">
      <protection locked="0"/>
    </xf>
    <xf numFmtId="0" fontId="57" fillId="0" borderId="0" xfId="19" applyFont="1" applyProtection="1">
      <protection locked="0"/>
    </xf>
    <xf numFmtId="164" fontId="0" fillId="0" borderId="0" xfId="21" applyNumberFormat="1" applyFont="1" applyFill="1" applyProtection="1">
      <protection locked="0"/>
    </xf>
    <xf numFmtId="0" fontId="57" fillId="0" borderId="0" xfId="14" applyFont="1" applyProtection="1">
      <protection locked="0"/>
    </xf>
    <xf numFmtId="0" fontId="89" fillId="0" borderId="7" xfId="14" applyFont="1" applyBorder="1" applyProtection="1">
      <protection locked="0"/>
    </xf>
    <xf numFmtId="0" fontId="88" fillId="0" borderId="15" xfId="14" applyBorder="1" applyProtection="1">
      <protection locked="0"/>
    </xf>
    <xf numFmtId="0" fontId="88" fillId="0" borderId="8" xfId="14" applyBorder="1" applyProtection="1">
      <protection locked="0"/>
    </xf>
    <xf numFmtId="164" fontId="90" fillId="0" borderId="0" xfId="22" applyNumberFormat="1" applyFont="1" applyAlignment="1" applyProtection="1">
      <alignment horizontal="center"/>
      <protection locked="0"/>
    </xf>
    <xf numFmtId="0" fontId="90" fillId="0" borderId="0" xfId="14" applyFont="1" applyProtection="1">
      <protection locked="0"/>
    </xf>
    <xf numFmtId="0" fontId="89" fillId="0" borderId="0" xfId="14" applyFont="1" applyProtection="1">
      <protection locked="0"/>
    </xf>
    <xf numFmtId="44" fontId="0" fillId="0" borderId="0" xfId="20" applyFont="1" applyProtection="1">
      <protection locked="0"/>
    </xf>
    <xf numFmtId="9" fontId="0" fillId="0" borderId="0" xfId="11" applyFont="1" applyProtection="1">
      <protection locked="0"/>
    </xf>
    <xf numFmtId="166" fontId="0" fillId="0" borderId="0" xfId="11" applyNumberFormat="1" applyFont="1" applyProtection="1">
      <protection locked="0"/>
    </xf>
    <xf numFmtId="169" fontId="0" fillId="0" borderId="0" xfId="21" applyNumberFormat="1" applyFont="1" applyProtection="1">
      <protection locked="0"/>
    </xf>
    <xf numFmtId="166" fontId="88" fillId="0" borderId="0" xfId="14" applyNumberFormat="1" applyProtection="1">
      <protection locked="0"/>
    </xf>
    <xf numFmtId="170" fontId="88" fillId="0" borderId="0" xfId="14" applyNumberFormat="1" applyProtection="1">
      <protection locked="0"/>
    </xf>
    <xf numFmtId="164" fontId="57" fillId="5" borderId="6" xfId="6" applyNumberFormat="1" applyFont="1" applyFill="1" applyBorder="1" applyProtection="1">
      <protection locked="0"/>
    </xf>
    <xf numFmtId="9" fontId="57" fillId="5" borderId="6" xfId="3" applyNumberFormat="1" applyFont="1" applyFill="1" applyBorder="1" applyProtection="1">
      <protection locked="0"/>
    </xf>
    <xf numFmtId="0" fontId="90" fillId="5" borderId="6" xfId="0" applyFont="1" applyFill="1" applyBorder="1" applyProtection="1">
      <protection locked="0"/>
    </xf>
    <xf numFmtId="0" fontId="122" fillId="0" borderId="0" xfId="0" applyFont="1" applyProtection="1">
      <protection locked="0"/>
    </xf>
    <xf numFmtId="0" fontId="65" fillId="0" borderId="0" xfId="19" applyFont="1" applyProtection="1">
      <protection hidden="1"/>
    </xf>
    <xf numFmtId="9" fontId="36" fillId="0" borderId="6" xfId="0" applyNumberFormat="1" applyFont="1" applyBorder="1"/>
    <xf numFmtId="167" fontId="36" fillId="0" borderId="6" xfId="7" applyNumberFormat="1" applyFont="1" applyFill="1" applyBorder="1" applyProtection="1"/>
    <xf numFmtId="9" fontId="36" fillId="0" borderId="6" xfId="0" applyNumberFormat="1" applyFont="1" applyBorder="1" applyProtection="1">
      <protection locked="0"/>
    </xf>
    <xf numFmtId="0" fontId="65" fillId="0" borderId="0" xfId="19" applyFont="1"/>
    <xf numFmtId="0" fontId="60" fillId="0" borderId="7" xfId="0" applyFont="1" applyBorder="1"/>
    <xf numFmtId="0" fontId="49" fillId="0" borderId="15" xfId="13" applyBorder="1"/>
    <xf numFmtId="0" fontId="49" fillId="0" borderId="8" xfId="13" applyBorder="1"/>
    <xf numFmtId="0" fontId="49" fillId="0" borderId="0" xfId="13"/>
    <xf numFmtId="0" fontId="49" fillId="0" borderId="1" xfId="9" applyFont="1" applyBorder="1"/>
    <xf numFmtId="0" fontId="96" fillId="0" borderId="2" xfId="9" applyBorder="1"/>
    <xf numFmtId="0" fontId="49" fillId="7" borderId="3" xfId="9" applyFont="1" applyFill="1" applyBorder="1"/>
    <xf numFmtId="0" fontId="96" fillId="7" borderId="5" xfId="9" applyFill="1" applyBorder="1"/>
    <xf numFmtId="0" fontId="96" fillId="7" borderId="4" xfId="9" applyFill="1" applyBorder="1"/>
    <xf numFmtId="0" fontId="51" fillId="0" borderId="0" xfId="0" applyFont="1"/>
    <xf numFmtId="0" fontId="52" fillId="0" borderId="0" xfId="0" applyFont="1"/>
    <xf numFmtId="0" fontId="53" fillId="0" borderId="0" xfId="0" applyFont="1"/>
    <xf numFmtId="0" fontId="93" fillId="0" borderId="0" xfId="0" applyFont="1"/>
    <xf numFmtId="0" fontId="57" fillId="0" borderId="0" xfId="0" applyFont="1" applyAlignment="1">
      <alignment horizontal="left" indent="6"/>
    </xf>
    <xf numFmtId="0" fontId="57" fillId="3" borderId="0" xfId="0" applyFont="1" applyFill="1"/>
    <xf numFmtId="0" fontId="0" fillId="3" borderId="0" xfId="0" applyFill="1"/>
    <xf numFmtId="0" fontId="60" fillId="0" borderId="0" xfId="0" applyFont="1"/>
    <xf numFmtId="0" fontId="55" fillId="0" borderId="0" xfId="0" applyFont="1" applyAlignment="1">
      <alignment horizontal="left" indent="2"/>
    </xf>
    <xf numFmtId="0" fontId="57" fillId="0" borderId="0" xfId="0" applyFont="1" applyAlignment="1">
      <alignment horizontal="left"/>
    </xf>
    <xf numFmtId="0" fontId="57" fillId="0" borderId="0" xfId="0" applyFont="1" applyAlignment="1">
      <alignment horizontal="left" indent="8"/>
    </xf>
    <xf numFmtId="0" fontId="55" fillId="0" borderId="0" xfId="0" applyFont="1" applyAlignment="1">
      <alignment horizontal="left" indent="4"/>
    </xf>
    <xf numFmtId="0" fontId="60" fillId="0" borderId="0" xfId="0" applyFont="1" applyAlignment="1">
      <alignment horizontal="left"/>
    </xf>
    <xf numFmtId="0" fontId="36" fillId="0" borderId="0" xfId="16" applyFont="1"/>
    <xf numFmtId="0" fontId="40" fillId="0" borderId="0" xfId="16" applyFont="1"/>
    <xf numFmtId="0" fontId="46" fillId="0" borderId="0" xfId="16"/>
    <xf numFmtId="0" fontId="40" fillId="0" borderId="0" xfId="16" applyFont="1" applyAlignment="1">
      <alignment horizontal="left" indent="2"/>
    </xf>
    <xf numFmtId="0" fontId="36" fillId="0" borderId="0" xfId="16" applyFont="1" applyAlignment="1">
      <alignment horizontal="left"/>
    </xf>
    <xf numFmtId="0" fontId="43" fillId="0" borderId="0" xfId="16" applyFont="1"/>
    <xf numFmtId="0" fontId="95" fillId="0" borderId="0" xfId="16" applyFont="1" applyAlignment="1">
      <alignment horizontal="center"/>
    </xf>
    <xf numFmtId="0" fontId="39" fillId="0" borderId="28" xfId="16" applyFont="1" applyBorder="1" applyAlignment="1">
      <alignment horizontal="center" vertical="center" wrapText="1"/>
    </xf>
    <xf numFmtId="0" fontId="42" fillId="0" borderId="28" xfId="16" applyFont="1" applyBorder="1" applyAlignment="1">
      <alignment horizontal="center" vertical="center"/>
    </xf>
    <xf numFmtId="0" fontId="38" fillId="0" borderId="28" xfId="16" applyFont="1" applyBorder="1" applyAlignment="1">
      <alignment horizontal="center" vertical="center" wrapText="1"/>
    </xf>
    <xf numFmtId="0" fontId="36" fillId="0" borderId="28" xfId="16" applyFont="1" applyBorder="1" applyAlignment="1">
      <alignment horizontal="center" vertical="center" wrapText="1"/>
    </xf>
    <xf numFmtId="0" fontId="40" fillId="0" borderId="0" xfId="16" applyFont="1" applyAlignment="1">
      <alignment wrapText="1"/>
    </xf>
    <xf numFmtId="0" fontId="95" fillId="0" borderId="0" xfId="16" applyFont="1"/>
    <xf numFmtId="0" fontId="42" fillId="0" borderId="0" xfId="16" applyFont="1" applyAlignment="1">
      <alignment horizontal="left" indent="2"/>
    </xf>
    <xf numFmtId="0" fontId="42" fillId="0" borderId="0" xfId="16" applyFont="1" applyAlignment="1">
      <alignment horizontal="left" indent="4"/>
    </xf>
    <xf numFmtId="0" fontId="67" fillId="0" borderId="0" xfId="0" applyFont="1" applyAlignment="1">
      <alignment horizontal="left"/>
    </xf>
    <xf numFmtId="0" fontId="57" fillId="0" borderId="13" xfId="0" applyFont="1" applyBorder="1"/>
    <xf numFmtId="0" fontId="87" fillId="0" borderId="0" xfId="19" applyFont="1"/>
    <xf numFmtId="0" fontId="113" fillId="0" borderId="0" xfId="0" applyFont="1" applyAlignment="1">
      <alignment horizontal="left" indent="2"/>
    </xf>
    <xf numFmtId="0" fontId="57" fillId="0" borderId="0" xfId="0" applyFont="1" applyAlignment="1">
      <alignment horizontal="left" indent="5"/>
    </xf>
    <xf numFmtId="0" fontId="75" fillId="0" borderId="0" xfId="0" applyFont="1" applyAlignment="1">
      <alignment horizontal="left" indent="4"/>
    </xf>
    <xf numFmtId="0" fontId="75" fillId="0" borderId="0" xfId="0" applyFont="1" applyAlignment="1">
      <alignment horizontal="left" indent="6"/>
    </xf>
    <xf numFmtId="0" fontId="37" fillId="0" borderId="0" xfId="19" applyFont="1" applyAlignment="1">
      <alignment horizontal="left" indent="4"/>
    </xf>
    <xf numFmtId="0" fontId="37" fillId="0" borderId="0" xfId="19" applyFont="1"/>
    <xf numFmtId="0" fontId="95" fillId="0" borderId="0" xfId="19" applyFont="1"/>
    <xf numFmtId="0" fontId="87" fillId="6" borderId="0" xfId="0" applyFont="1" applyFill="1" applyAlignment="1">
      <alignment horizontal="left"/>
    </xf>
    <xf numFmtId="0" fontId="85" fillId="6" borderId="0" xfId="0" applyFont="1" applyFill="1"/>
    <xf numFmtId="0" fontId="47" fillId="6" borderId="0" xfId="0" applyFont="1" applyFill="1"/>
    <xf numFmtId="0" fontId="47" fillId="0" borderId="0" xfId="0" applyFont="1"/>
    <xf numFmtId="0" fontId="85" fillId="0" borderId="0" xfId="0" applyFont="1"/>
    <xf numFmtId="0" fontId="88" fillId="0" borderId="0" xfId="0" applyFont="1"/>
    <xf numFmtId="0" fontId="89" fillId="0" borderId="0" xfId="9" applyFont="1"/>
    <xf numFmtId="0" fontId="91" fillId="0" borderId="0" xfId="9" applyFont="1"/>
    <xf numFmtId="0" fontId="57" fillId="0" borderId="0" xfId="9" applyFont="1"/>
    <xf numFmtId="0" fontId="91" fillId="0" borderId="0" xfId="9" applyFont="1" applyAlignment="1">
      <alignment horizontal="left" indent="4"/>
    </xf>
    <xf numFmtId="0" fontId="92" fillId="3" borderId="9" xfId="9" applyFont="1" applyFill="1" applyBorder="1"/>
    <xf numFmtId="44" fontId="91" fillId="3" borderId="10" xfId="12" applyFont="1" applyFill="1" applyBorder="1" applyProtection="1"/>
    <xf numFmtId="0" fontId="105" fillId="3" borderId="10" xfId="9" applyFont="1" applyFill="1" applyBorder="1" applyAlignment="1">
      <alignment horizontal="right"/>
    </xf>
    <xf numFmtId="0" fontId="91" fillId="3" borderId="11" xfId="9" applyFont="1" applyFill="1" applyBorder="1"/>
    <xf numFmtId="0" fontId="99" fillId="0" borderId="0" xfId="9" applyFont="1"/>
    <xf numFmtId="0" fontId="91" fillId="3" borderId="19" xfId="9" applyFont="1" applyFill="1" applyBorder="1"/>
    <xf numFmtId="44" fontId="91" fillId="3" borderId="0" xfId="12" applyFont="1" applyFill="1" applyBorder="1" applyProtection="1"/>
    <xf numFmtId="3" fontId="103" fillId="3" borderId="0" xfId="9" applyNumberFormat="1" applyFont="1" applyFill="1" applyAlignment="1">
      <alignment horizontal="right"/>
    </xf>
    <xf numFmtId="0" fontId="91" fillId="3" borderId="24" xfId="9" applyFont="1" applyFill="1" applyBorder="1"/>
    <xf numFmtId="0" fontId="92" fillId="3" borderId="19" xfId="9" applyFont="1" applyFill="1" applyBorder="1"/>
    <xf numFmtId="0" fontId="105" fillId="3" borderId="0" xfId="9" applyFont="1" applyFill="1" applyAlignment="1">
      <alignment horizontal="right"/>
    </xf>
    <xf numFmtId="0" fontId="91" fillId="3" borderId="0" xfId="9" applyFont="1" applyFill="1"/>
    <xf numFmtId="164" fontId="91" fillId="3" borderId="0" xfId="10" applyNumberFormat="1" applyFont="1" applyFill="1" applyBorder="1" applyProtection="1"/>
    <xf numFmtId="0" fontId="99" fillId="0" borderId="0" xfId="9" quotePrefix="1" applyFont="1"/>
    <xf numFmtId="0" fontId="91" fillId="3" borderId="19" xfId="9" quotePrefix="1" applyFont="1" applyFill="1" applyBorder="1"/>
    <xf numFmtId="0" fontId="57" fillId="3" borderId="24" xfId="9" applyFont="1" applyFill="1" applyBorder="1"/>
    <xf numFmtId="0" fontId="103" fillId="3" borderId="19" xfId="9" quotePrefix="1" applyFont="1" applyFill="1" applyBorder="1"/>
    <xf numFmtId="0" fontId="103" fillId="3" borderId="0" xfId="9" applyFont="1" applyFill="1"/>
    <xf numFmtId="0" fontId="101" fillId="3" borderId="0" xfId="9" applyFont="1" applyFill="1"/>
    <xf numFmtId="164" fontId="103" fillId="3" borderId="0" xfId="10" applyNumberFormat="1" applyFont="1" applyFill="1" applyBorder="1" applyProtection="1"/>
    <xf numFmtId="0" fontId="103" fillId="0" borderId="0" xfId="9" quotePrefix="1" applyFont="1"/>
    <xf numFmtId="0" fontId="101" fillId="3" borderId="19" xfId="9" quotePrefix="1" applyFont="1" applyFill="1" applyBorder="1"/>
    <xf numFmtId="164" fontId="100" fillId="3" borderId="0" xfId="10" applyNumberFormat="1" applyFont="1" applyFill="1" applyBorder="1" applyProtection="1"/>
    <xf numFmtId="0" fontId="98" fillId="3" borderId="19" xfId="9" quotePrefix="1" applyFont="1" applyFill="1" applyBorder="1"/>
    <xf numFmtId="0" fontId="98" fillId="3" borderId="0" xfId="9" applyFont="1" applyFill="1"/>
    <xf numFmtId="0" fontId="104" fillId="3" borderId="19" xfId="9" applyFont="1" applyFill="1" applyBorder="1"/>
    <xf numFmtId="44" fontId="104" fillId="3" borderId="0" xfId="12" applyFont="1" applyFill="1" applyBorder="1" applyProtection="1"/>
    <xf numFmtId="0" fontId="104" fillId="3" borderId="0" xfId="9" applyFont="1" applyFill="1"/>
    <xf numFmtId="166" fontId="104" fillId="3" borderId="0" xfId="8" applyNumberFormat="1" applyFont="1" applyFill="1" applyBorder="1" applyProtection="1"/>
    <xf numFmtId="0" fontId="104" fillId="3" borderId="24" xfId="9" applyFont="1" applyFill="1" applyBorder="1"/>
    <xf numFmtId="166" fontId="104" fillId="3" borderId="0" xfId="11" applyNumberFormat="1" applyFont="1" applyFill="1" applyBorder="1" applyProtection="1"/>
    <xf numFmtId="0" fontId="57" fillId="3" borderId="12" xfId="9" applyFont="1" applyFill="1" applyBorder="1"/>
    <xf numFmtId="0" fontId="57" fillId="3" borderId="13" xfId="9" applyFont="1" applyFill="1" applyBorder="1"/>
    <xf numFmtId="0" fontId="57" fillId="3" borderId="14" xfId="9" applyFont="1" applyFill="1" applyBorder="1"/>
    <xf numFmtId="0" fontId="91" fillId="0" borderId="0" xfId="9" applyFont="1" applyAlignment="1">
      <alignment horizontal="left" indent="2"/>
    </xf>
    <xf numFmtId="0" fontId="91" fillId="3" borderId="10" xfId="9" applyFont="1" applyFill="1" applyBorder="1"/>
    <xf numFmtId="0" fontId="92" fillId="3" borderId="10" xfId="9" applyFont="1" applyFill="1" applyBorder="1" applyAlignment="1">
      <alignment horizontal="right"/>
    </xf>
    <xf numFmtId="0" fontId="96" fillId="3" borderId="11" xfId="9" applyFill="1" applyBorder="1"/>
    <xf numFmtId="0" fontId="96" fillId="3" borderId="24" xfId="9" applyFill="1" applyBorder="1"/>
    <xf numFmtId="0" fontId="89" fillId="0" borderId="0" xfId="9" applyFont="1" applyAlignment="1">
      <alignment horizontal="left"/>
    </xf>
    <xf numFmtId="0" fontId="91" fillId="3" borderId="9" xfId="9" applyFont="1" applyFill="1" applyBorder="1"/>
    <xf numFmtId="0" fontId="91" fillId="3" borderId="12" xfId="9" applyFont="1" applyFill="1" applyBorder="1"/>
    <xf numFmtId="0" fontId="91" fillId="3" borderId="13" xfId="9" applyFont="1" applyFill="1" applyBorder="1"/>
    <xf numFmtId="0" fontId="91" fillId="3" borderId="14" xfId="9" applyFont="1" applyFill="1" applyBorder="1"/>
    <xf numFmtId="0" fontId="88" fillId="0" borderId="0" xfId="9" applyFont="1"/>
    <xf numFmtId="0" fontId="89" fillId="0" borderId="0" xfId="9" applyFont="1" applyAlignment="1">
      <alignment horizontal="center"/>
    </xf>
    <xf numFmtId="0" fontId="89" fillId="0" borderId="0" xfId="9" applyFont="1" applyAlignment="1">
      <alignment vertical="center"/>
    </xf>
    <xf numFmtId="0" fontId="89" fillId="0" borderId="0" xfId="9" applyFont="1" applyAlignment="1">
      <alignment vertical="center" wrapText="1"/>
    </xf>
    <xf numFmtId="9" fontId="57" fillId="3" borderId="0" xfId="0" applyNumberFormat="1" applyFont="1" applyFill="1"/>
    <xf numFmtId="0" fontId="56" fillId="0" borderId="0" xfId="0" applyFont="1"/>
    <xf numFmtId="0" fontId="63" fillId="0" borderId="0" xfId="0" applyFont="1"/>
    <xf numFmtId="0" fontId="71" fillId="0" borderId="0" xfId="0" applyFont="1"/>
    <xf numFmtId="0" fontId="77" fillId="0" borderId="0" xfId="0" applyFont="1"/>
    <xf numFmtId="0" fontId="63" fillId="0" borderId="16" xfId="0" applyFont="1" applyBorder="1"/>
    <xf numFmtId="0" fontId="64" fillId="0" borderId="15" xfId="0" applyFont="1" applyBorder="1"/>
    <xf numFmtId="0" fontId="63" fillId="0" borderId="8" xfId="0" applyFont="1" applyBorder="1"/>
    <xf numFmtId="0" fontId="61" fillId="0" borderId="0" xfId="0" applyFont="1"/>
    <xf numFmtId="0" fontId="64" fillId="0" borderId="0" xfId="0" applyFont="1"/>
    <xf numFmtId="0" fontId="63" fillId="0" borderId="12" xfId="0" applyFont="1" applyBorder="1"/>
    <xf numFmtId="0" fontId="64" fillId="0" borderId="13" xfId="0" applyFont="1" applyBorder="1" applyAlignment="1">
      <alignment horizontal="left" indent="2"/>
    </xf>
    <xf numFmtId="0" fontId="63" fillId="0" borderId="17" xfId="0" applyFont="1" applyBorder="1"/>
    <xf numFmtId="0" fontId="57" fillId="0" borderId="10" xfId="0" quotePrefix="1" applyFont="1" applyBorder="1" applyAlignment="1">
      <alignment vertical="center"/>
    </xf>
    <xf numFmtId="0" fontId="0" fillId="0" borderId="10" xfId="0" applyBorder="1" applyAlignment="1">
      <alignment vertical="center"/>
    </xf>
    <xf numFmtId="0" fontId="64" fillId="0" borderId="10" xfId="0" applyFont="1" applyBorder="1" applyAlignment="1">
      <alignment vertical="center"/>
    </xf>
    <xf numFmtId="0" fontId="0" fillId="0" borderId="18" xfId="0" applyBorder="1" applyAlignment="1">
      <alignment vertical="center"/>
    </xf>
    <xf numFmtId="0" fontId="57" fillId="0" borderId="0" xfId="0" applyFont="1" applyAlignment="1">
      <alignment vertical="center"/>
    </xf>
    <xf numFmtId="0" fontId="0" fillId="0" borderId="0" xfId="0" applyAlignment="1">
      <alignment vertical="center"/>
    </xf>
    <xf numFmtId="0" fontId="57" fillId="0" borderId="0" xfId="0" applyFont="1" applyAlignment="1">
      <alignment horizontal="left" vertical="center"/>
    </xf>
    <xf numFmtId="0" fontId="0" fillId="0" borderId="2" xfId="0" applyBorder="1" applyAlignment="1">
      <alignment vertical="center"/>
    </xf>
    <xf numFmtId="0" fontId="63" fillId="3" borderId="16" xfId="0" applyFont="1" applyFill="1" applyBorder="1"/>
    <xf numFmtId="0" fontId="64" fillId="3" borderId="15" xfId="0" applyFont="1" applyFill="1" applyBorder="1"/>
    <xf numFmtId="0" fontId="0" fillId="3" borderId="15" xfId="0" applyFill="1" applyBorder="1" applyAlignment="1">
      <alignment wrapText="1"/>
    </xf>
    <xf numFmtId="0" fontId="63" fillId="3" borderId="15" xfId="0" applyFont="1" applyFill="1" applyBorder="1"/>
    <xf numFmtId="0" fontId="63" fillId="3" borderId="8" xfId="0" applyFont="1" applyFill="1" applyBorder="1"/>
    <xf numFmtId="0" fontId="63" fillId="3" borderId="12" xfId="0" applyFont="1" applyFill="1" applyBorder="1"/>
    <xf numFmtId="0" fontId="0" fillId="3" borderId="13" xfId="0" applyFill="1" applyBorder="1"/>
    <xf numFmtId="0" fontId="63" fillId="3" borderId="13" xfId="0" applyFont="1" applyFill="1" applyBorder="1"/>
    <xf numFmtId="0" fontId="63" fillId="3" borderId="13" xfId="0" applyFont="1" applyFill="1" applyBorder="1" applyAlignment="1">
      <alignment horizontal="left" indent="2"/>
    </xf>
    <xf numFmtId="0" fontId="64" fillId="3" borderId="13" xfId="0" applyFont="1" applyFill="1" applyBorder="1" applyAlignment="1">
      <alignment horizontal="left" indent="2"/>
    </xf>
    <xf numFmtId="0" fontId="63" fillId="3" borderId="17" xfId="0" applyFont="1" applyFill="1" applyBorder="1"/>
    <xf numFmtId="0" fontId="64" fillId="3" borderId="10" xfId="0" quotePrefix="1" applyFont="1" applyFill="1" applyBorder="1"/>
    <xf numFmtId="0" fontId="63" fillId="3" borderId="10" xfId="0" applyFont="1" applyFill="1" applyBorder="1"/>
    <xf numFmtId="0" fontId="57" fillId="3" borderId="10" xfId="0" quotePrefix="1" applyFont="1" applyFill="1" applyBorder="1"/>
    <xf numFmtId="0" fontId="57" fillId="3" borderId="18" xfId="0" applyFont="1" applyFill="1" applyBorder="1"/>
    <xf numFmtId="0" fontId="0" fillId="0" borderId="15" xfId="0" applyBorder="1" applyAlignment="1">
      <alignment wrapText="1"/>
    </xf>
    <xf numFmtId="0" fontId="63" fillId="0" borderId="15" xfId="0" applyFont="1" applyBorder="1"/>
    <xf numFmtId="0" fontId="0" fillId="0" borderId="13" xfId="0" applyBorder="1" applyAlignment="1">
      <alignment wrapText="1"/>
    </xf>
    <xf numFmtId="0" fontId="64" fillId="0" borderId="10" xfId="0" quotePrefix="1" applyFont="1" applyBorder="1"/>
    <xf numFmtId="0" fontId="0" fillId="0" borderId="10" xfId="0" applyBorder="1" applyAlignment="1">
      <alignment wrapText="1"/>
    </xf>
    <xf numFmtId="0" fontId="57" fillId="0" borderId="10" xfId="0" applyFont="1" applyBorder="1" applyAlignment="1">
      <alignment vertical="center"/>
    </xf>
    <xf numFmtId="0" fontId="57" fillId="0" borderId="10" xfId="0" quotePrefix="1" applyFont="1" applyBorder="1"/>
    <xf numFmtId="0" fontId="0" fillId="0" borderId="18" xfId="0" applyBorder="1" applyAlignment="1">
      <alignment vertical="center" wrapText="1"/>
    </xf>
    <xf numFmtId="0" fontId="73" fillId="0" borderId="0" xfId="0" applyFont="1"/>
    <xf numFmtId="0" fontId="63" fillId="3" borderId="0" xfId="0" applyFont="1" applyFill="1"/>
    <xf numFmtId="0" fontId="64" fillId="3" borderId="0" xfId="0" quotePrefix="1" applyFont="1" applyFill="1"/>
    <xf numFmtId="0" fontId="63" fillId="3" borderId="2" xfId="0" applyFont="1" applyFill="1" applyBorder="1"/>
    <xf numFmtId="0" fontId="64" fillId="3" borderId="0" xfId="0" applyFont="1" applyFill="1"/>
    <xf numFmtId="0" fontId="63" fillId="0" borderId="13" xfId="0" applyFont="1" applyBorder="1"/>
    <xf numFmtId="0" fontId="0" fillId="0" borderId="13" xfId="0" applyBorder="1"/>
    <xf numFmtId="0" fontId="64" fillId="0" borderId="0" xfId="0" quotePrefix="1" applyFont="1"/>
    <xf numFmtId="0" fontId="57" fillId="0" borderId="0" xfId="0" quotePrefix="1" applyFont="1"/>
    <xf numFmtId="0" fontId="63" fillId="0" borderId="2" xfId="0" applyFont="1" applyBorder="1"/>
    <xf numFmtId="0" fontId="63" fillId="0" borderId="19" xfId="0" applyFont="1" applyBorder="1"/>
    <xf numFmtId="0" fontId="48" fillId="0" borderId="0" xfId="0" applyFont="1" applyAlignment="1">
      <alignment vertical="center"/>
    </xf>
    <xf numFmtId="0" fontId="57" fillId="0" borderId="0" xfId="0" applyFont="1" applyAlignment="1">
      <alignment wrapText="1"/>
    </xf>
    <xf numFmtId="0" fontId="57" fillId="0" borderId="2" xfId="0" applyFont="1" applyBorder="1" applyAlignment="1">
      <alignment wrapText="1"/>
    </xf>
    <xf numFmtId="0" fontId="62" fillId="0" borderId="0" xfId="0" applyFont="1"/>
    <xf numFmtId="0" fontId="57" fillId="0" borderId="13" xfId="0" applyFont="1" applyBorder="1" applyAlignment="1">
      <alignment vertical="center"/>
    </xf>
    <xf numFmtId="0" fontId="57" fillId="0" borderId="13" xfId="0" applyFont="1" applyBorder="1" applyAlignment="1">
      <alignment wrapText="1"/>
    </xf>
    <xf numFmtId="0" fontId="57" fillId="0" borderId="17" xfId="0" applyFont="1" applyBorder="1" applyAlignment="1">
      <alignment wrapText="1"/>
    </xf>
    <xf numFmtId="0" fontId="57" fillId="0" borderId="0" xfId="0" quotePrefix="1" applyFont="1" applyAlignment="1">
      <alignment vertical="center"/>
    </xf>
    <xf numFmtId="0" fontId="57" fillId="0" borderId="5" xfId="0" applyFont="1" applyBorder="1" applyAlignment="1">
      <alignment vertical="center"/>
    </xf>
    <xf numFmtId="0" fontId="63" fillId="3" borderId="19" xfId="0" applyFont="1" applyFill="1" applyBorder="1"/>
    <xf numFmtId="0" fontId="57" fillId="3" borderId="2" xfId="0" applyFont="1" applyFill="1" applyBorder="1" applyAlignment="1">
      <alignment wrapText="1"/>
    </xf>
    <xf numFmtId="0" fontId="57" fillId="3" borderId="17" xfId="0" applyFont="1" applyFill="1" applyBorder="1" applyAlignment="1">
      <alignment wrapText="1"/>
    </xf>
    <xf numFmtId="0" fontId="57" fillId="3" borderId="15" xfId="0" applyFont="1" applyFill="1" applyBorder="1"/>
    <xf numFmtId="0" fontId="57" fillId="3" borderId="8" xfId="0" applyFont="1" applyFill="1" applyBorder="1" applyAlignment="1">
      <alignment wrapText="1"/>
    </xf>
    <xf numFmtId="0" fontId="57" fillId="3" borderId="5" xfId="0" quotePrefix="1" applyFont="1" applyFill="1" applyBorder="1" applyAlignment="1">
      <alignment wrapText="1"/>
    </xf>
    <xf numFmtId="0" fontId="57" fillId="3" borderId="5" xfId="0" applyFont="1" applyFill="1" applyBorder="1" applyAlignment="1">
      <alignment wrapText="1"/>
    </xf>
    <xf numFmtId="0" fontId="57" fillId="0" borderId="0" xfId="0" applyFont="1" applyAlignment="1">
      <alignment vertical="center" wrapText="1"/>
    </xf>
    <xf numFmtId="0" fontId="0" fillId="0" borderId="0" xfId="0" applyAlignment="1">
      <alignment vertical="center" wrapText="1"/>
    </xf>
    <xf numFmtId="0" fontId="72" fillId="0" borderId="0" xfId="0" applyFont="1"/>
    <xf numFmtId="0" fontId="77" fillId="0" borderId="0" xfId="0" applyFont="1" applyAlignment="1">
      <alignment horizontal="center"/>
    </xf>
    <xf numFmtId="0" fontId="68" fillId="0" borderId="0" xfId="0" applyFont="1"/>
    <xf numFmtId="0" fontId="0" fillId="0" borderId="9" xfId="0" applyBorder="1"/>
    <xf numFmtId="0" fontId="63" fillId="0" borderId="10" xfId="0" applyFont="1" applyBorder="1"/>
    <xf numFmtId="0" fontId="0" fillId="0" borderId="10" xfId="0" applyBorder="1"/>
    <xf numFmtId="0" fontId="64" fillId="0" borderId="10" xfId="0" applyFont="1" applyBorder="1"/>
    <xf numFmtId="0" fontId="0" fillId="0" borderId="11" xfId="0" applyBorder="1"/>
    <xf numFmtId="0" fontId="0" fillId="0" borderId="19" xfId="0" applyBorder="1"/>
    <xf numFmtId="0" fontId="64" fillId="0" borderId="24" xfId="0" applyFont="1" applyBorder="1"/>
    <xf numFmtId="0" fontId="63" fillId="0" borderId="24" xfId="0" applyFont="1" applyBorder="1"/>
    <xf numFmtId="0" fontId="107" fillId="0" borderId="0" xfId="0" applyFont="1"/>
    <xf numFmtId="0" fontId="108" fillId="0" borderId="0" xfId="0" applyFont="1"/>
    <xf numFmtId="0" fontId="76" fillId="0" borderId="0" xfId="0" applyFont="1"/>
    <xf numFmtId="0" fontId="80" fillId="0" borderId="0" xfId="0" applyFont="1"/>
    <xf numFmtId="0" fontId="75" fillId="0" borderId="0" xfId="0" applyFont="1"/>
    <xf numFmtId="0" fontId="82" fillId="0" borderId="0" xfId="0" applyFont="1"/>
    <xf numFmtId="0" fontId="81" fillId="0" borderId="0" xfId="0" applyFont="1"/>
    <xf numFmtId="0" fontId="74" fillId="0" borderId="10" xfId="0" applyFont="1" applyBorder="1"/>
    <xf numFmtId="0" fontId="75" fillId="0" borderId="10" xfId="0" applyFont="1" applyBorder="1"/>
    <xf numFmtId="0" fontId="63" fillId="0" borderId="11" xfId="0" applyFont="1" applyBorder="1"/>
    <xf numFmtId="0" fontId="79" fillId="0" borderId="0" xfId="0" applyFont="1"/>
    <xf numFmtId="0" fontId="0" fillId="0" borderId="24" xfId="0" applyBorder="1"/>
    <xf numFmtId="0" fontId="74" fillId="0" borderId="0" xfId="0" applyFont="1"/>
    <xf numFmtId="0" fontId="78" fillId="0" borderId="0" xfId="0" applyFont="1"/>
    <xf numFmtId="0" fontId="110" fillId="0" borderId="0" xfId="0" applyFont="1"/>
    <xf numFmtId="0" fontId="111" fillId="0" borderId="0" xfId="0" applyFont="1"/>
    <xf numFmtId="0" fontId="109" fillId="0" borderId="0" xfId="0" applyFont="1"/>
    <xf numFmtId="0" fontId="112" fillId="0" borderId="0" xfId="0" applyFont="1"/>
    <xf numFmtId="0" fontId="0" fillId="0" borderId="12" xfId="0" applyBorder="1"/>
    <xf numFmtId="0" fontId="107" fillId="0" borderId="13" xfId="0" applyFont="1" applyBorder="1"/>
    <xf numFmtId="0" fontId="64" fillId="0" borderId="13" xfId="0" applyFont="1" applyBorder="1"/>
    <xf numFmtId="0" fontId="0" fillId="0" borderId="14" xfId="0" applyBorder="1"/>
    <xf numFmtId="0" fontId="90" fillId="0" borderId="0" xfId="0" applyFont="1"/>
    <xf numFmtId="0" fontId="88" fillId="0" borderId="0" xfId="0" quotePrefix="1" applyFont="1"/>
    <xf numFmtId="0" fontId="35" fillId="0" borderId="0" xfId="0" applyFont="1"/>
    <xf numFmtId="0" fontId="90" fillId="3" borderId="0" xfId="0" applyFont="1" applyFill="1"/>
    <xf numFmtId="0" fontId="63" fillId="0" borderId="0" xfId="3"/>
    <xf numFmtId="164" fontId="63" fillId="0" borderId="0" xfId="6" applyNumberFormat="1" applyFont="1" applyProtection="1"/>
    <xf numFmtId="164" fontId="57" fillId="0" borderId="0" xfId="6" applyNumberFormat="1" applyFont="1" applyFill="1" applyProtection="1"/>
    <xf numFmtId="0" fontId="66" fillId="0" borderId="0" xfId="3" applyFont="1"/>
    <xf numFmtId="0" fontId="57" fillId="0" borderId="0" xfId="3" applyFont="1"/>
    <xf numFmtId="0" fontId="44" fillId="0" borderId="0" xfId="3" applyFont="1"/>
    <xf numFmtId="164" fontId="63" fillId="0" borderId="0" xfId="6" applyNumberFormat="1" applyFont="1" applyFill="1" applyProtection="1"/>
    <xf numFmtId="0" fontId="44" fillId="0" borderId="0" xfId="0" applyFont="1"/>
    <xf numFmtId="0" fontId="95" fillId="0" borderId="9" xfId="16" applyFont="1" applyBorder="1"/>
    <xf numFmtId="0" fontId="42" fillId="0" borderId="10" xfId="16" applyFont="1" applyBorder="1"/>
    <xf numFmtId="0" fontId="42" fillId="0" borderId="11" xfId="16" applyFont="1" applyBorder="1"/>
    <xf numFmtId="0" fontId="38" fillId="0" borderId="19" xfId="16" applyFont="1" applyBorder="1" applyAlignment="1">
      <alignment horizontal="left"/>
    </xf>
    <xf numFmtId="0" fontId="42" fillId="0" borderId="24" xfId="16" applyFont="1" applyBorder="1"/>
    <xf numFmtId="0" fontId="38" fillId="0" borderId="12" xfId="16" applyFont="1" applyBorder="1"/>
    <xf numFmtId="0" fontId="42" fillId="0" borderId="13" xfId="16" applyFont="1" applyBorder="1"/>
    <xf numFmtId="0" fontId="42" fillId="0" borderId="14" xfId="16" applyFont="1" applyBorder="1"/>
    <xf numFmtId="0" fontId="38" fillId="0" borderId="0" xfId="16" applyFont="1"/>
    <xf numFmtId="0" fontId="67" fillId="3" borderId="9" xfId="0" applyFont="1" applyFill="1" applyBorder="1" applyAlignment="1">
      <alignment horizontal="left"/>
    </xf>
    <xf numFmtId="0" fontId="57" fillId="3" borderId="10" xfId="0" applyFont="1" applyFill="1" applyBorder="1"/>
    <xf numFmtId="0" fontId="57" fillId="3" borderId="11" xfId="0" applyFont="1" applyFill="1" applyBorder="1"/>
    <xf numFmtId="0" fontId="57" fillId="3" borderId="19" xfId="0" applyFont="1" applyFill="1" applyBorder="1" applyAlignment="1">
      <alignment horizontal="left"/>
    </xf>
    <xf numFmtId="0" fontId="57" fillId="3" borderId="24" xfId="0" applyFont="1" applyFill="1" applyBorder="1"/>
    <xf numFmtId="0" fontId="57" fillId="3" borderId="19" xfId="0" applyFont="1" applyFill="1" applyBorder="1" applyAlignment="1">
      <alignment horizontal="left" indent="2"/>
    </xf>
    <xf numFmtId="0" fontId="45" fillId="3" borderId="19" xfId="0" applyFont="1" applyFill="1" applyBorder="1" applyAlignment="1">
      <alignment horizontal="left" indent="2"/>
    </xf>
    <xf numFmtId="0" fontId="57" fillId="3" borderId="12" xfId="0" applyFont="1" applyFill="1" applyBorder="1" applyAlignment="1">
      <alignment horizontal="left" indent="2"/>
    </xf>
    <xf numFmtId="0" fontId="57" fillId="3" borderId="13" xfId="0" applyFont="1" applyFill="1" applyBorder="1"/>
    <xf numFmtId="0" fontId="57" fillId="3" borderId="14" xfId="0" applyFont="1" applyFill="1" applyBorder="1"/>
    <xf numFmtId="0" fontId="95" fillId="0" borderId="0" xfId="0" applyFont="1" applyAlignment="1">
      <alignment horizontal="center"/>
    </xf>
    <xf numFmtId="0" fontId="57" fillId="0" borderId="0" xfId="0" applyFont="1" applyAlignment="1">
      <alignment horizontal="center"/>
    </xf>
    <xf numFmtId="9" fontId="57" fillId="0" borderId="0" xfId="8" applyFont="1" applyFill="1" applyProtection="1"/>
    <xf numFmtId="9" fontId="84" fillId="0" borderId="0" xfId="8" applyFont="1" applyFill="1" applyProtection="1"/>
    <xf numFmtId="9" fontId="84" fillId="0" borderId="0" xfId="0" applyNumberFormat="1" applyFont="1"/>
    <xf numFmtId="9" fontId="84" fillId="0" borderId="0" xfId="8" applyFont="1" applyProtection="1"/>
    <xf numFmtId="0" fontId="57" fillId="0" borderId="0" xfId="0" applyFont="1" applyAlignment="1">
      <alignment horizontal="left" indent="1"/>
    </xf>
    <xf numFmtId="0" fontId="75" fillId="0" borderId="0" xfId="0" applyFont="1" applyAlignment="1">
      <alignment horizontal="left" indent="2"/>
    </xf>
    <xf numFmtId="164" fontId="84" fillId="0" borderId="0" xfId="6" applyNumberFormat="1" applyFont="1" applyProtection="1"/>
    <xf numFmtId="0" fontId="67" fillId="3" borderId="9" xfId="0" applyFont="1" applyFill="1" applyBorder="1" applyAlignment="1">
      <alignment horizontal="left" indent="2"/>
    </xf>
    <xf numFmtId="164" fontId="57" fillId="3" borderId="10" xfId="6" applyNumberFormat="1" applyFont="1" applyFill="1" applyBorder="1" applyProtection="1"/>
    <xf numFmtId="0" fontId="57" fillId="3" borderId="11" xfId="0" applyFont="1" applyFill="1" applyBorder="1" applyAlignment="1">
      <alignment horizontal="center"/>
    </xf>
    <xf numFmtId="164" fontId="57" fillId="3" borderId="0" xfId="6" applyNumberFormat="1" applyFont="1" applyFill="1" applyBorder="1" applyProtection="1"/>
    <xf numFmtId="0" fontId="57" fillId="3" borderId="24" xfId="0" applyFont="1" applyFill="1" applyBorder="1" applyAlignment="1">
      <alignment horizontal="center"/>
    </xf>
    <xf numFmtId="0" fontId="113" fillId="3" borderId="19" xfId="0" applyFont="1" applyFill="1" applyBorder="1" applyAlignment="1">
      <alignment horizontal="left" indent="2"/>
    </xf>
    <xf numFmtId="0" fontId="57" fillId="3" borderId="19" xfId="0" applyFont="1" applyFill="1" applyBorder="1" applyAlignment="1">
      <alignment horizontal="left" indent="4"/>
    </xf>
    <xf numFmtId="164" fontId="57" fillId="3" borderId="13" xfId="6" applyNumberFormat="1" applyFont="1" applyFill="1" applyBorder="1" applyProtection="1"/>
    <xf numFmtId="0" fontId="57" fillId="3" borderId="14" xfId="0" applyFont="1" applyFill="1" applyBorder="1" applyAlignment="1">
      <alignment horizontal="center"/>
    </xf>
    <xf numFmtId="0" fontId="75" fillId="0" borderId="0" xfId="0" quotePrefix="1" applyFont="1"/>
    <xf numFmtId="0" fontId="115" fillId="0" borderId="0" xfId="0" quotePrefix="1" applyFont="1"/>
    <xf numFmtId="0" fontId="115" fillId="0" borderId="0" xfId="0" applyFont="1"/>
    <xf numFmtId="164" fontId="115" fillId="0" borderId="0" xfId="6" applyNumberFormat="1" applyFont="1" applyProtection="1"/>
    <xf numFmtId="164" fontId="57" fillId="0" borderId="0" xfId="6" applyNumberFormat="1" applyFont="1" applyFill="1" applyBorder="1" applyProtection="1"/>
    <xf numFmtId="0" fontId="57" fillId="0" borderId="0" xfId="0" quotePrefix="1" applyFont="1" applyAlignment="1">
      <alignment horizontal="left" indent="2"/>
    </xf>
    <xf numFmtId="0" fontId="67" fillId="0" borderId="0" xfId="0" quotePrefix="1" applyFont="1"/>
    <xf numFmtId="164" fontId="67" fillId="0" borderId="0" xfId="6" applyNumberFormat="1" applyFont="1" applyProtection="1"/>
    <xf numFmtId="0" fontId="38" fillId="0" borderId="10" xfId="16" applyFont="1" applyBorder="1"/>
    <xf numFmtId="0" fontId="38" fillId="0" borderId="11" xfId="16" applyFont="1" applyBorder="1"/>
    <xf numFmtId="0" fontId="38" fillId="0" borderId="19" xfId="16" applyFont="1" applyBorder="1"/>
    <xf numFmtId="0" fontId="38" fillId="0" borderId="24" xfId="16" applyFont="1" applyBorder="1"/>
    <xf numFmtId="0" fontId="38" fillId="0" borderId="13" xfId="16" applyFont="1" applyBorder="1"/>
    <xf numFmtId="0" fontId="38" fillId="0" borderId="14" xfId="16" applyFont="1" applyBorder="1"/>
    <xf numFmtId="0" fontId="50" fillId="0" borderId="0" xfId="0" applyFont="1" applyAlignment="1">
      <alignment horizontal="left" indent="2"/>
    </xf>
    <xf numFmtId="0" fontId="95" fillId="0" borderId="0" xfId="0" applyFont="1" applyAlignment="1">
      <alignment horizontal="right"/>
    </xf>
    <xf numFmtId="9" fontId="57" fillId="0" borderId="0" xfId="8" applyFont="1" applyFill="1" applyBorder="1" applyProtection="1"/>
    <xf numFmtId="9" fontId="95" fillId="0" borderId="0" xfId="8" applyFont="1" applyAlignment="1" applyProtection="1">
      <alignment horizontal="right"/>
    </xf>
    <xf numFmtId="9" fontId="57" fillId="3" borderId="0" xfId="8" applyFont="1" applyFill="1" applyProtection="1"/>
    <xf numFmtId="9" fontId="67" fillId="0" borderId="0" xfId="8" applyFont="1" applyAlignment="1" applyProtection="1">
      <alignment horizontal="right"/>
    </xf>
    <xf numFmtId="0" fontId="36" fillId="0" borderId="19" xfId="16" applyFont="1" applyBorder="1"/>
    <xf numFmtId="0" fontId="36" fillId="0" borderId="12" xfId="16" applyFont="1" applyBorder="1"/>
    <xf numFmtId="0" fontId="67" fillId="0" borderId="0" xfId="0" applyFont="1" applyAlignment="1">
      <alignment horizontal="left" indent="2"/>
    </xf>
    <xf numFmtId="0" fontId="67" fillId="0" borderId="0" xfId="0" applyFont="1" applyAlignment="1">
      <alignment horizontal="left" indent="4"/>
    </xf>
    <xf numFmtId="3" fontId="57" fillId="0" borderId="0" xfId="0" applyNumberFormat="1" applyFont="1"/>
    <xf numFmtId="0" fontId="67" fillId="0" borderId="0" xfId="0" applyFont="1" applyAlignment="1">
      <alignment horizontal="center"/>
    </xf>
    <xf numFmtId="164" fontId="67" fillId="3" borderId="0" xfId="0" applyNumberFormat="1" applyFont="1" applyFill="1"/>
    <xf numFmtId="9" fontId="67" fillId="0" borderId="0" xfId="0" applyNumberFormat="1" applyFont="1"/>
    <xf numFmtId="3" fontId="67" fillId="0" borderId="0" xfId="0" applyNumberFormat="1" applyFont="1"/>
    <xf numFmtId="164" fontId="57" fillId="0" borderId="9" xfId="6" applyNumberFormat="1" applyFont="1" applyBorder="1" applyProtection="1"/>
    <xf numFmtId="164" fontId="57" fillId="0" borderId="10" xfId="6" applyNumberFormat="1" applyFont="1" applyBorder="1" applyProtection="1"/>
    <xf numFmtId="164" fontId="57" fillId="0" borderId="11" xfId="6" applyNumberFormat="1" applyFont="1" applyBorder="1" applyProtection="1"/>
    <xf numFmtId="164" fontId="57" fillId="0" borderId="19" xfId="6" applyNumberFormat="1" applyFont="1" applyBorder="1" applyProtection="1"/>
    <xf numFmtId="164" fontId="57" fillId="0" borderId="0" xfId="6" applyNumberFormat="1" applyFont="1" applyBorder="1" applyProtection="1"/>
    <xf numFmtId="164" fontId="57" fillId="0" borderId="24" xfId="6" applyNumberFormat="1" applyFont="1" applyBorder="1" applyProtection="1"/>
    <xf numFmtId="164" fontId="57" fillId="0" borderId="12" xfId="6" applyNumberFormat="1" applyFont="1" applyBorder="1" applyProtection="1"/>
    <xf numFmtId="164" fontId="57" fillId="0" borderId="13" xfId="6" applyNumberFormat="1" applyFont="1" applyBorder="1" applyProtection="1"/>
    <xf numFmtId="164" fontId="57" fillId="0" borderId="14" xfId="6" applyNumberFormat="1" applyFont="1" applyBorder="1" applyProtection="1"/>
    <xf numFmtId="0" fontId="38" fillId="0" borderId="12" xfId="16" applyFont="1" applyBorder="1" applyAlignment="1">
      <alignment horizontal="left"/>
    </xf>
    <xf numFmtId="0" fontId="41" fillId="0" borderId="0" xfId="16" applyFont="1" applyAlignment="1">
      <alignment horizontal="left" indent="2"/>
    </xf>
    <xf numFmtId="0" fontId="87" fillId="0" borderId="0" xfId="16" applyFont="1" applyAlignment="1">
      <alignment horizontal="left"/>
    </xf>
    <xf numFmtId="9" fontId="95" fillId="0" borderId="0" xfId="18" applyFont="1" applyFill="1" applyProtection="1"/>
    <xf numFmtId="9" fontId="95" fillId="0" borderId="0" xfId="16" applyNumberFormat="1" applyFont="1"/>
    <xf numFmtId="167" fontId="95" fillId="0" borderId="0" xfId="16" applyNumberFormat="1" applyFont="1"/>
    <xf numFmtId="0" fontId="42" fillId="0" borderId="0" xfId="16" applyFont="1" applyAlignment="1">
      <alignment horizontal="left"/>
    </xf>
    <xf numFmtId="167" fontId="42" fillId="0" borderId="0" xfId="16" applyNumberFormat="1" applyFont="1"/>
    <xf numFmtId="164" fontId="57" fillId="0" borderId="0" xfId="17" applyNumberFormat="1" applyFont="1" applyProtection="1"/>
    <xf numFmtId="164" fontId="57" fillId="0" borderId="0" xfId="17" applyNumberFormat="1" applyFont="1" applyFill="1" applyBorder="1" applyProtection="1"/>
    <xf numFmtId="9" fontId="57" fillId="0" borderId="0" xfId="18" applyFont="1" applyFill="1" applyProtection="1"/>
    <xf numFmtId="9" fontId="42" fillId="0" borderId="0" xfId="16" applyNumberFormat="1" applyFont="1"/>
    <xf numFmtId="9" fontId="57" fillId="0" borderId="0" xfId="18" applyFont="1" applyProtection="1"/>
    <xf numFmtId="166" fontId="57" fillId="3" borderId="0" xfId="18" applyNumberFormat="1" applyFont="1" applyFill="1" applyBorder="1" applyProtection="1"/>
    <xf numFmtId="166" fontId="42" fillId="0" borderId="0" xfId="16" applyNumberFormat="1" applyFont="1"/>
    <xf numFmtId="10" fontId="42" fillId="0" borderId="0" xfId="16" applyNumberFormat="1" applyFont="1"/>
    <xf numFmtId="9" fontId="36" fillId="0" borderId="0" xfId="18" applyFont="1" applyFill="1" applyProtection="1"/>
    <xf numFmtId="9" fontId="36" fillId="0" borderId="0" xfId="16" applyNumberFormat="1" applyFont="1"/>
    <xf numFmtId="167" fontId="36" fillId="0" borderId="0" xfId="16" applyNumberFormat="1" applyFont="1"/>
    <xf numFmtId="9" fontId="42" fillId="0" borderId="0" xfId="18" applyFont="1" applyFill="1" applyProtection="1"/>
    <xf numFmtId="9" fontId="42" fillId="3" borderId="0" xfId="16" applyNumberFormat="1" applyFont="1" applyFill="1"/>
    <xf numFmtId="164" fontId="42" fillId="0" borderId="0" xfId="16" applyNumberFormat="1" applyFont="1"/>
    <xf numFmtId="1" fontId="36" fillId="0" borderId="0" xfId="16" applyNumberFormat="1" applyFont="1"/>
    <xf numFmtId="0" fontId="42" fillId="0" borderId="0" xfId="16" applyFont="1" applyAlignment="1">
      <alignment wrapText="1"/>
    </xf>
    <xf numFmtId="0" fontId="95" fillId="0" borderId="0" xfId="16" applyFont="1" applyAlignment="1">
      <alignment horizontal="center" wrapText="1"/>
    </xf>
    <xf numFmtId="0" fontId="95" fillId="0" borderId="0" xfId="16" applyFont="1" applyAlignment="1">
      <alignment horizontal="center" vertical="center" wrapText="1"/>
    </xf>
    <xf numFmtId="0" fontId="42" fillId="3" borderId="7" xfId="16" applyFont="1" applyFill="1" applyBorder="1"/>
    <xf numFmtId="167" fontId="42" fillId="3" borderId="15" xfId="16" applyNumberFormat="1" applyFont="1" applyFill="1" applyBorder="1"/>
    <xf numFmtId="9" fontId="57" fillId="3" borderId="15" xfId="18" applyFont="1" applyFill="1" applyBorder="1" applyProtection="1"/>
    <xf numFmtId="0" fontId="42" fillId="3" borderId="8" xfId="16" applyFont="1" applyFill="1" applyBorder="1"/>
    <xf numFmtId="0" fontId="42" fillId="3" borderId="1" xfId="16" applyFont="1" applyFill="1" applyBorder="1"/>
    <xf numFmtId="167" fontId="42" fillId="3" borderId="0" xfId="16" applyNumberFormat="1" applyFont="1" applyFill="1"/>
    <xf numFmtId="9" fontId="57" fillId="3" borderId="0" xfId="18" applyFont="1" applyFill="1" applyBorder="1" applyProtection="1"/>
    <xf numFmtId="9" fontId="42" fillId="3" borderId="2" xfId="8" applyFont="1" applyFill="1" applyBorder="1" applyProtection="1"/>
    <xf numFmtId="0" fontId="42" fillId="3" borderId="3" xfId="16" applyFont="1" applyFill="1" applyBorder="1"/>
    <xf numFmtId="167" fontId="42" fillId="3" borderId="5" xfId="16" applyNumberFormat="1" applyFont="1" applyFill="1" applyBorder="1"/>
    <xf numFmtId="9" fontId="57" fillId="3" borderId="5" xfId="18" applyFont="1" applyFill="1" applyBorder="1" applyProtection="1"/>
    <xf numFmtId="9" fontId="42" fillId="3" borderId="4" xfId="8" applyFont="1" applyFill="1" applyBorder="1" applyProtection="1"/>
    <xf numFmtId="3" fontId="42" fillId="0" borderId="0" xfId="16" applyNumberFormat="1" applyFont="1"/>
    <xf numFmtId="0" fontId="36" fillId="0" borderId="0" xfId="16" applyFont="1" applyAlignment="1">
      <alignment horizontal="right"/>
    </xf>
    <xf numFmtId="0" fontId="42" fillId="3" borderId="6" xfId="16" applyFont="1" applyFill="1" applyBorder="1"/>
    <xf numFmtId="6" fontId="42" fillId="0" borderId="0" xfId="16" applyNumberFormat="1" applyFont="1"/>
    <xf numFmtId="0" fontId="95" fillId="0" borderId="0" xfId="16" applyFont="1" applyAlignment="1">
      <alignment horizontal="right" wrapText="1"/>
    </xf>
    <xf numFmtId="0" fontId="42" fillId="0" borderId="0" xfId="16" applyFont="1" applyAlignment="1">
      <alignment horizontal="right"/>
    </xf>
    <xf numFmtId="9" fontId="42" fillId="3" borderId="28" xfId="16" applyNumberFormat="1" applyFont="1" applyFill="1" applyBorder="1"/>
    <xf numFmtId="0" fontId="57" fillId="0" borderId="0" xfId="0" applyFont="1" applyAlignment="1">
      <alignment horizontal="right"/>
    </xf>
    <xf numFmtId="0" fontId="88" fillId="0" borderId="0" xfId="0" quotePrefix="1" applyFont="1" applyAlignment="1">
      <alignment horizontal="left" indent="2"/>
    </xf>
    <xf numFmtId="0" fontId="57" fillId="0" borderId="0" xfId="0" applyFont="1" applyAlignment="1">
      <alignment horizontal="left" wrapText="1"/>
    </xf>
    <xf numFmtId="0" fontId="67" fillId="0" borderId="0" xfId="0" applyFont="1" applyAlignment="1">
      <alignment horizontal="left" wrapText="1"/>
    </xf>
    <xf numFmtId="0" fontId="86" fillId="0" borderId="0" xfId="0" applyFont="1"/>
    <xf numFmtId="0" fontId="86" fillId="0" borderId="0" xfId="0" applyFont="1" applyAlignment="1">
      <alignment horizontal="left" indent="2"/>
    </xf>
    <xf numFmtId="164" fontId="57" fillId="0" borderId="0" xfId="6" applyNumberFormat="1" applyFont="1" applyFill="1" applyBorder="1" applyAlignment="1" applyProtection="1">
      <alignment horizontal="right"/>
    </xf>
    <xf numFmtId="0" fontId="67" fillId="0" borderId="0" xfId="0" applyFont="1" applyAlignment="1">
      <alignment horizontal="center" vertical="center"/>
    </xf>
    <xf numFmtId="164" fontId="57" fillId="0" borderId="0" xfId="0" applyNumberFormat="1" applyFont="1" applyAlignment="1">
      <alignment horizontal="right"/>
    </xf>
    <xf numFmtId="0" fontId="67" fillId="0" borderId="0" xfId="0" applyFont="1" applyAlignment="1">
      <alignment wrapText="1"/>
    </xf>
    <xf numFmtId="0" fontId="0" fillId="0" borderId="0" xfId="0" applyAlignment="1">
      <alignment wrapText="1"/>
    </xf>
    <xf numFmtId="0" fontId="0" fillId="0" borderId="0" xfId="0" applyAlignment="1">
      <alignment horizontal="right"/>
    </xf>
    <xf numFmtId="0" fontId="88" fillId="0" borderId="0" xfId="14"/>
    <xf numFmtId="44" fontId="0" fillId="0" borderId="0" xfId="20" applyFont="1" applyProtection="1"/>
    <xf numFmtId="0" fontId="119" fillId="0" borderId="0" xfId="14" applyFont="1"/>
    <xf numFmtId="0" fontId="57" fillId="0" borderId="0" xfId="19" applyFont="1"/>
    <xf numFmtId="0" fontId="87" fillId="0" borderId="7" xfId="9" applyFont="1" applyBorder="1"/>
    <xf numFmtId="0" fontId="88" fillId="0" borderId="15" xfId="14" applyBorder="1"/>
    <xf numFmtId="44" fontId="0" fillId="0" borderId="15" xfId="20" applyFont="1" applyBorder="1" applyProtection="1"/>
    <xf numFmtId="0" fontId="88" fillId="0" borderId="8" xfId="14" applyBorder="1"/>
    <xf numFmtId="0" fontId="88" fillId="5" borderId="3" xfId="14" applyFill="1" applyBorder="1"/>
    <xf numFmtId="0" fontId="88" fillId="5" borderId="5" xfId="14" applyFill="1" applyBorder="1"/>
    <xf numFmtId="44" fontId="0" fillId="5" borderId="5" xfId="20" applyFont="1" applyFill="1" applyBorder="1" applyProtection="1"/>
    <xf numFmtId="0" fontId="88" fillId="5" borderId="4" xfId="14" applyFill="1" applyBorder="1"/>
    <xf numFmtId="0" fontId="89" fillId="0" borderId="0" xfId="14" applyFont="1" applyAlignment="1">
      <alignment horizontal="left"/>
    </xf>
    <xf numFmtId="0" fontId="118" fillId="0" borderId="0" xfId="14" applyFont="1"/>
    <xf numFmtId="0" fontId="36" fillId="0" borderId="0" xfId="14" applyFont="1" applyAlignment="1">
      <alignment horizontal="left"/>
    </xf>
    <xf numFmtId="0" fontId="88" fillId="0" borderId="0" xfId="14" applyAlignment="1">
      <alignment horizontal="left"/>
    </xf>
    <xf numFmtId="0" fontId="89" fillId="0" borderId="0" xfId="14" applyFont="1"/>
    <xf numFmtId="44" fontId="0" fillId="0" borderId="0" xfId="20" applyFont="1" applyFill="1" applyProtection="1"/>
    <xf numFmtId="0" fontId="88" fillId="0" borderId="0" xfId="14" applyAlignment="1">
      <alignment horizontal="left" indent="2"/>
    </xf>
    <xf numFmtId="44" fontId="59" fillId="0" borderId="0" xfId="20" applyFont="1" applyFill="1" applyProtection="1"/>
    <xf numFmtId="0" fontId="88" fillId="0" borderId="0" xfId="14" quotePrefix="1" applyAlignment="1">
      <alignment horizontal="left" indent="2"/>
    </xf>
    <xf numFmtId="10" fontId="88" fillId="0" borderId="0" xfId="14" applyNumberFormat="1"/>
    <xf numFmtId="166" fontId="63" fillId="0" borderId="0" xfId="8" applyNumberFormat="1" applyFont="1" applyProtection="1"/>
    <xf numFmtId="0" fontId="57" fillId="0" borderId="0" xfId="3" applyFont="1" applyAlignment="1">
      <alignment wrapText="1"/>
    </xf>
    <xf numFmtId="0" fontId="94" fillId="8" borderId="29" xfId="0" applyFont="1" applyFill="1" applyBorder="1" applyAlignment="1">
      <alignment wrapText="1"/>
    </xf>
    <xf numFmtId="0" fontId="94" fillId="8" borderId="30" xfId="0" applyFont="1" applyFill="1" applyBorder="1" applyAlignment="1">
      <alignment wrapText="1"/>
    </xf>
    <xf numFmtId="164" fontId="63" fillId="0" borderId="0" xfId="6" applyNumberFormat="1" applyFont="1" applyAlignment="1" applyProtection="1">
      <alignment wrapText="1"/>
    </xf>
    <xf numFmtId="0" fontId="63" fillId="0" borderId="0" xfId="3" applyAlignment="1">
      <alignment wrapText="1"/>
    </xf>
    <xf numFmtId="166" fontId="63" fillId="0" borderId="0" xfId="8" applyNumberFormat="1" applyFont="1" applyAlignment="1" applyProtection="1">
      <alignment wrapText="1"/>
    </xf>
    <xf numFmtId="0" fontId="86" fillId="3" borderId="19" xfId="0" applyFont="1" applyFill="1" applyBorder="1" applyAlignment="1">
      <alignment horizontal="left"/>
    </xf>
    <xf numFmtId="166" fontId="86" fillId="3" borderId="0" xfId="0" applyNumberFormat="1" applyFont="1" applyFill="1"/>
    <xf numFmtId="0" fontId="86" fillId="3" borderId="12" xfId="0" applyFont="1" applyFill="1" applyBorder="1" applyAlignment="1">
      <alignment horizontal="left"/>
    </xf>
    <xf numFmtId="166" fontId="86" fillId="3" borderId="13" xfId="0" applyNumberFormat="1" applyFont="1" applyFill="1" applyBorder="1"/>
    <xf numFmtId="0" fontId="67" fillId="0" borderId="0" xfId="3" applyFont="1"/>
    <xf numFmtId="0" fontId="67" fillId="0" borderId="0" xfId="3" applyFont="1" applyAlignment="1">
      <alignment horizontal="center"/>
    </xf>
    <xf numFmtId="9" fontId="57" fillId="0" borderId="0" xfId="3" applyNumberFormat="1" applyFont="1" applyAlignment="1">
      <alignment horizontal="left"/>
    </xf>
    <xf numFmtId="6" fontId="63" fillId="0" borderId="0" xfId="3" applyNumberFormat="1"/>
    <xf numFmtId="6" fontId="57" fillId="0" borderId="0" xfId="3" applyNumberFormat="1" applyFont="1"/>
    <xf numFmtId="165" fontId="63" fillId="0" borderId="0" xfId="3" applyNumberFormat="1"/>
    <xf numFmtId="0" fontId="57" fillId="0" borderId="0" xfId="3" applyFont="1" applyAlignment="1">
      <alignment horizontal="left"/>
    </xf>
    <xf numFmtId="0" fontId="57" fillId="0" borderId="0" xfId="3" applyFont="1" applyAlignment="1">
      <alignment horizontal="left" indent="2"/>
    </xf>
    <xf numFmtId="6" fontId="57" fillId="3" borderId="0" xfId="0" applyNumberFormat="1" applyFont="1" applyFill="1"/>
    <xf numFmtId="6" fontId="63" fillId="3" borderId="0" xfId="3" applyNumberFormat="1" applyFill="1"/>
    <xf numFmtId="0" fontId="63" fillId="0" borderId="0" xfId="3" applyAlignment="1">
      <alignment horizontal="center"/>
    </xf>
    <xf numFmtId="0" fontId="57" fillId="3" borderId="9" xfId="3" applyFont="1" applyFill="1" applyBorder="1" applyAlignment="1">
      <alignment horizontal="center"/>
    </xf>
    <xf numFmtId="164" fontId="57" fillId="3" borderId="10" xfId="6" applyNumberFormat="1" applyFont="1" applyFill="1" applyBorder="1" applyAlignment="1" applyProtection="1">
      <alignment horizontal="center"/>
    </xf>
    <xf numFmtId="0" fontId="57" fillId="3" borderId="10" xfId="3" applyFont="1" applyFill="1" applyBorder="1" applyAlignment="1">
      <alignment horizontal="center"/>
    </xf>
    <xf numFmtId="0" fontId="57" fillId="3" borderId="11" xfId="3" applyFont="1" applyFill="1" applyBorder="1" applyAlignment="1">
      <alignment horizontal="center"/>
    </xf>
    <xf numFmtId="166" fontId="63" fillId="0" borderId="0" xfId="8" applyNumberFormat="1" applyFont="1" applyAlignment="1" applyProtection="1">
      <alignment horizontal="center"/>
    </xf>
    <xf numFmtId="6" fontId="63" fillId="3" borderId="12" xfId="3" applyNumberFormat="1" applyFill="1" applyBorder="1"/>
    <xf numFmtId="6" fontId="63" fillId="3" borderId="13" xfId="3" applyNumberFormat="1" applyFill="1" applyBorder="1"/>
    <xf numFmtId="6" fontId="63" fillId="3" borderId="14" xfId="3" applyNumberFormat="1" applyFill="1" applyBorder="1"/>
    <xf numFmtId="166" fontId="57" fillId="0" borderId="0" xfId="8" applyNumberFormat="1" applyFont="1" applyFill="1" applyProtection="1"/>
    <xf numFmtId="166" fontId="63" fillId="0" borderId="0" xfId="8" applyNumberFormat="1" applyFont="1" applyFill="1" applyProtection="1"/>
    <xf numFmtId="0" fontId="86" fillId="0" borderId="0" xfId="3" applyFont="1"/>
    <xf numFmtId="0" fontId="114" fillId="0" borderId="0" xfId="0" applyFont="1"/>
    <xf numFmtId="0" fontId="57" fillId="0" borderId="0" xfId="3" applyFont="1" applyAlignment="1">
      <alignment horizontal="center" wrapText="1"/>
    </xf>
    <xf numFmtId="0" fontId="57" fillId="3" borderId="29" xfId="3" applyFont="1" applyFill="1" applyBorder="1" applyAlignment="1">
      <alignment horizontal="center" wrapText="1"/>
    </xf>
    <xf numFmtId="164" fontId="57" fillId="3" borderId="30" xfId="6" applyNumberFormat="1" applyFont="1" applyFill="1" applyBorder="1" applyAlignment="1" applyProtection="1">
      <alignment horizontal="center" wrapText="1"/>
    </xf>
    <xf numFmtId="164" fontId="57" fillId="3" borderId="33" xfId="6" applyNumberFormat="1" applyFont="1" applyFill="1" applyBorder="1" applyAlignment="1" applyProtection="1">
      <alignment horizontal="center" wrapText="1"/>
    </xf>
    <xf numFmtId="164" fontId="63" fillId="0" borderId="0" xfId="6" applyNumberFormat="1" applyFont="1" applyAlignment="1" applyProtection="1">
      <alignment horizontal="center" wrapText="1"/>
    </xf>
    <xf numFmtId="0" fontId="67" fillId="0" borderId="0" xfId="3" applyFont="1" applyAlignment="1">
      <alignment horizontal="center" wrapText="1"/>
    </xf>
    <xf numFmtId="0" fontId="63" fillId="0" borderId="0" xfId="3" applyAlignment="1">
      <alignment horizontal="center" wrapText="1"/>
    </xf>
    <xf numFmtId="166" fontId="63" fillId="0" borderId="0" xfId="8" applyNumberFormat="1" applyFont="1" applyAlignment="1" applyProtection="1">
      <alignment horizontal="center" wrapText="1"/>
    </xf>
    <xf numFmtId="0" fontId="57" fillId="3" borderId="19" xfId="3" applyFont="1" applyFill="1" applyBorder="1" applyAlignment="1">
      <alignment horizontal="left"/>
    </xf>
    <xf numFmtId="164" fontId="63" fillId="3" borderId="0" xfId="6" applyNumberFormat="1" applyFont="1" applyFill="1" applyBorder="1" applyProtection="1"/>
    <xf numFmtId="9" fontId="63" fillId="3" borderId="24" xfId="8" applyFont="1" applyFill="1" applyBorder="1" applyAlignment="1" applyProtection="1">
      <alignment horizontal="center"/>
    </xf>
    <xf numFmtId="9" fontId="57" fillId="3" borderId="24" xfId="8" quotePrefix="1" applyFont="1" applyFill="1" applyBorder="1" applyAlignment="1" applyProtection="1">
      <alignment horizontal="center"/>
    </xf>
    <xf numFmtId="0" fontId="57" fillId="3" borderId="12" xfId="3" applyFont="1" applyFill="1" applyBorder="1" applyAlignment="1">
      <alignment horizontal="left"/>
    </xf>
    <xf numFmtId="164" fontId="63" fillId="3" borderId="13" xfId="6" applyNumberFormat="1" applyFont="1" applyFill="1" applyBorder="1" applyProtection="1"/>
    <xf numFmtId="9" fontId="57" fillId="3" borderId="14" xfId="8" quotePrefix="1" applyFont="1" applyFill="1" applyBorder="1" applyAlignment="1" applyProtection="1">
      <alignment horizontal="center"/>
    </xf>
    <xf numFmtId="164" fontId="67" fillId="0" borderId="7" xfId="6" applyNumberFormat="1" applyFont="1" applyBorder="1" applyAlignment="1" applyProtection="1">
      <alignment horizontal="centerContinuous"/>
    </xf>
    <xf numFmtId="164" fontId="67" fillId="0" borderId="15" xfId="6" applyNumberFormat="1" applyFont="1" applyBorder="1" applyAlignment="1" applyProtection="1">
      <alignment horizontal="centerContinuous"/>
    </xf>
    <xf numFmtId="164" fontId="67" fillId="0" borderId="8" xfId="6" applyNumberFormat="1" applyFont="1" applyBorder="1" applyAlignment="1" applyProtection="1">
      <alignment horizontal="centerContinuous"/>
    </xf>
    <xf numFmtId="0" fontId="57" fillId="0" borderId="0" xfId="3" applyFont="1" applyAlignment="1">
      <alignment horizontal="center"/>
    </xf>
    <xf numFmtId="164" fontId="67" fillId="0" borderId="3" xfId="6" applyNumberFormat="1" applyFont="1" applyBorder="1" applyAlignment="1" applyProtection="1">
      <alignment horizontal="center"/>
    </xf>
    <xf numFmtId="164" fontId="67" fillId="0" borderId="5" xfId="6" applyNumberFormat="1" applyFont="1" applyBorder="1" applyAlignment="1" applyProtection="1">
      <alignment horizontal="center"/>
    </xf>
    <xf numFmtId="164" fontId="67" fillId="0" borderId="4" xfId="6" applyNumberFormat="1" applyFont="1" applyBorder="1" applyAlignment="1" applyProtection="1">
      <alignment horizontal="center"/>
    </xf>
    <xf numFmtId="0" fontId="57" fillId="0" borderId="7" xfId="3" applyFont="1" applyBorder="1"/>
    <xf numFmtId="0" fontId="63" fillId="0" borderId="8" xfId="3" applyBorder="1"/>
    <xf numFmtId="6" fontId="63" fillId="0" borderId="7" xfId="3" applyNumberFormat="1" applyBorder="1"/>
    <xf numFmtId="6" fontId="63" fillId="0" borderId="15" xfId="3" applyNumberFormat="1" applyBorder="1"/>
    <xf numFmtId="6" fontId="63" fillId="0" borderId="8" xfId="3" applyNumberFormat="1" applyBorder="1"/>
    <xf numFmtId="6" fontId="57" fillId="0" borderId="0" xfId="3" applyNumberFormat="1" applyFont="1" applyAlignment="1">
      <alignment horizontal="center"/>
    </xf>
    <xf numFmtId="0" fontId="57" fillId="0" borderId="1" xfId="3" applyFont="1" applyBorder="1"/>
    <xf numFmtId="0" fontId="63" fillId="0" borderId="2" xfId="3" applyBorder="1"/>
    <xf numFmtId="6" fontId="63" fillId="0" borderId="1" xfId="3" applyNumberFormat="1" applyBorder="1"/>
    <xf numFmtId="6" fontId="63" fillId="0" borderId="2" xfId="3" applyNumberFormat="1" applyBorder="1"/>
    <xf numFmtId="0" fontId="57" fillId="0" borderId="3" xfId="3" applyFont="1" applyBorder="1"/>
    <xf numFmtId="0" fontId="63" fillId="0" borderId="4" xfId="3" applyBorder="1"/>
    <xf numFmtId="164" fontId="57" fillId="0" borderId="3" xfId="6" applyNumberFormat="1" applyFont="1" applyBorder="1" applyProtection="1"/>
    <xf numFmtId="9" fontId="57" fillId="0" borderId="5" xfId="8" applyFont="1" applyBorder="1" applyProtection="1"/>
    <xf numFmtId="9" fontId="57" fillId="0" borderId="4" xfId="8" applyFont="1" applyBorder="1" applyProtection="1"/>
    <xf numFmtId="9" fontId="57" fillId="0" borderId="0" xfId="8" applyFont="1" applyBorder="1" applyProtection="1"/>
    <xf numFmtId="166" fontId="67" fillId="0" borderId="31" xfId="8" applyNumberFormat="1" applyFont="1" applyBorder="1" applyAlignment="1" applyProtection="1">
      <alignment horizontal="center"/>
    </xf>
    <xf numFmtId="0" fontId="67" fillId="0" borderId="3" xfId="3" applyFont="1" applyBorder="1" applyAlignment="1">
      <alignment horizontal="center"/>
    </xf>
    <xf numFmtId="0" fontId="67" fillId="0" borderId="5" xfId="3" applyFont="1" applyBorder="1" applyAlignment="1">
      <alignment horizontal="center"/>
    </xf>
    <xf numFmtId="0" fontId="67" fillId="0" borderId="4" xfId="3" applyFont="1" applyBorder="1" applyAlignment="1">
      <alignment horizontal="center"/>
    </xf>
    <xf numFmtId="166" fontId="67" fillId="0" borderId="32" xfId="8" applyNumberFormat="1" applyFont="1" applyBorder="1" applyAlignment="1" applyProtection="1">
      <alignment horizontal="center"/>
    </xf>
    <xf numFmtId="164" fontId="88" fillId="0" borderId="6" xfId="6" applyNumberFormat="1" applyFont="1" applyFill="1" applyBorder="1" applyProtection="1"/>
    <xf numFmtId="167" fontId="88" fillId="0" borderId="6" xfId="0" applyNumberFormat="1" applyFont="1" applyBorder="1"/>
    <xf numFmtId="9" fontId="88" fillId="0" borderId="6" xfId="8" applyFont="1" applyFill="1" applyBorder="1" applyProtection="1"/>
    <xf numFmtId="164" fontId="88" fillId="0" borderId="0" xfId="6" applyNumberFormat="1" applyFont="1" applyFill="1" applyBorder="1" applyProtection="1"/>
    <xf numFmtId="167" fontId="88" fillId="0" borderId="0" xfId="0" applyNumberFormat="1" applyFont="1"/>
    <xf numFmtId="9" fontId="88" fillId="0" borderId="0" xfId="8" applyFont="1" applyFill="1" applyBorder="1" applyProtection="1"/>
    <xf numFmtId="10" fontId="63" fillId="0" borderId="0" xfId="8" applyNumberFormat="1" applyFont="1" applyProtection="1"/>
    <xf numFmtId="9" fontId="63" fillId="0" borderId="0" xfId="8" applyFont="1" applyProtection="1"/>
    <xf numFmtId="164" fontId="63" fillId="0" borderId="0" xfId="3" applyNumberFormat="1"/>
    <xf numFmtId="0" fontId="106" fillId="0" borderId="0" xfId="0" applyFont="1" applyAlignment="1">
      <alignment horizontal="left"/>
    </xf>
    <xf numFmtId="0" fontId="38" fillId="0" borderId="0" xfId="0" applyFont="1" applyAlignment="1">
      <alignment horizontal="left"/>
    </xf>
    <xf numFmtId="0" fontId="34" fillId="0" borderId="0" xfId="0" applyFont="1"/>
    <xf numFmtId="166" fontId="57" fillId="3" borderId="0" xfId="8" applyNumberFormat="1" applyFont="1" applyFill="1" applyProtection="1">
      <protection locked="0"/>
    </xf>
    <xf numFmtId="166" fontId="63" fillId="3" borderId="0" xfId="8" applyNumberFormat="1" applyFont="1" applyFill="1" applyProtection="1">
      <protection locked="0"/>
    </xf>
    <xf numFmtId="166" fontId="57" fillId="5" borderId="6" xfId="8" applyNumberFormat="1" applyFont="1" applyFill="1" applyBorder="1" applyAlignment="1" applyProtection="1">
      <alignment horizontal="center"/>
      <protection locked="0"/>
    </xf>
    <xf numFmtId="0" fontId="33" fillId="0" borderId="0" xfId="16" applyFont="1" applyAlignment="1">
      <alignment horizontal="left" indent="2"/>
    </xf>
    <xf numFmtId="0" fontId="33" fillId="0" borderId="0" xfId="16" applyFont="1" applyAlignment="1">
      <alignment horizontal="left"/>
    </xf>
    <xf numFmtId="164" fontId="57" fillId="10" borderId="6" xfId="6" applyNumberFormat="1" applyFont="1" applyFill="1" applyBorder="1" applyProtection="1">
      <protection locked="0"/>
    </xf>
    <xf numFmtId="9" fontId="57" fillId="10" borderId="6" xfId="0" applyNumberFormat="1" applyFont="1" applyFill="1" applyBorder="1" applyProtection="1">
      <protection locked="0"/>
    </xf>
    <xf numFmtId="164" fontId="57" fillId="3" borderId="0" xfId="6" applyNumberFormat="1" applyFont="1" applyFill="1" applyProtection="1"/>
    <xf numFmtId="0" fontId="84" fillId="0" borderId="0" xfId="0" applyFont="1"/>
    <xf numFmtId="0" fontId="32" fillId="0" borderId="0" xfId="16" applyFont="1" applyAlignment="1">
      <alignment horizontal="left"/>
    </xf>
    <xf numFmtId="0" fontId="32" fillId="0" borderId="0" xfId="16" applyFont="1" applyAlignment="1">
      <alignment horizontal="left" indent="2"/>
    </xf>
    <xf numFmtId="43" fontId="0" fillId="0" borderId="0" xfId="6" applyFont="1" applyProtection="1">
      <protection locked="0"/>
    </xf>
    <xf numFmtId="164" fontId="63" fillId="0" borderId="0" xfId="6" applyNumberFormat="1" applyFont="1" applyFill="1" applyBorder="1" applyProtection="1"/>
    <xf numFmtId="164" fontId="67" fillId="3" borderId="33" xfId="6" applyNumberFormat="1" applyFont="1" applyFill="1" applyBorder="1" applyAlignment="1" applyProtection="1">
      <alignment horizontal="center" vertical="center" wrapText="1"/>
    </xf>
    <xf numFmtId="2" fontId="57" fillId="0" borderId="0" xfId="0" applyNumberFormat="1" applyFont="1"/>
    <xf numFmtId="0" fontId="57" fillId="10" borderId="0" xfId="0" applyFont="1" applyFill="1"/>
    <xf numFmtId="0" fontId="0" fillId="10" borderId="0" xfId="0" applyFill="1"/>
    <xf numFmtId="0" fontId="57" fillId="10" borderId="0" xfId="0" applyFont="1" applyFill="1" applyAlignment="1">
      <alignment horizontal="left" indent="2"/>
    </xf>
    <xf numFmtId="0" fontId="95" fillId="10" borderId="9" xfId="0" applyFont="1" applyFill="1" applyBorder="1" applyAlignment="1">
      <alignment horizontal="center"/>
    </xf>
    <xf numFmtId="0" fontId="57" fillId="10" borderId="10" xfId="0" applyFont="1" applyFill="1" applyBorder="1"/>
    <xf numFmtId="0" fontId="0" fillId="10" borderId="10" xfId="0" applyFill="1" applyBorder="1"/>
    <xf numFmtId="0" fontId="0" fillId="10" borderId="11" xfId="0" applyFill="1" applyBorder="1"/>
    <xf numFmtId="0" fontId="95" fillId="10" borderId="19" xfId="0" applyFont="1" applyFill="1" applyBorder="1" applyAlignment="1">
      <alignment horizontal="center"/>
    </xf>
    <xf numFmtId="0" fontId="0" fillId="10" borderId="24" xfId="0" applyFill="1" applyBorder="1"/>
    <xf numFmtId="0" fontId="57" fillId="10" borderId="19" xfId="0" applyFont="1" applyFill="1" applyBorder="1" applyAlignment="1">
      <alignment horizontal="center"/>
    </xf>
    <xf numFmtId="0" fontId="67" fillId="10" borderId="19" xfId="0" applyFont="1" applyFill="1" applyBorder="1" applyAlignment="1">
      <alignment horizontal="center"/>
    </xf>
    <xf numFmtId="0" fontId="57" fillId="10" borderId="12" xfId="0" applyFont="1" applyFill="1" applyBorder="1" applyAlignment="1">
      <alignment horizontal="center"/>
    </xf>
    <xf numFmtId="0" fontId="57" fillId="10" borderId="13" xfId="0" applyFont="1" applyFill="1" applyBorder="1"/>
    <xf numFmtId="0" fontId="0" fillId="10" borderId="13" xfId="0" applyFill="1" applyBorder="1"/>
    <xf numFmtId="0" fontId="0" fillId="10" borderId="14" xfId="0" applyFill="1" applyBorder="1"/>
    <xf numFmtId="0" fontId="57" fillId="10" borderId="11" xfId="0" applyFont="1" applyFill="1" applyBorder="1"/>
    <xf numFmtId="0" fontId="57" fillId="10" borderId="19" xfId="0" applyFont="1" applyFill="1" applyBorder="1"/>
    <xf numFmtId="0" fontId="67" fillId="10" borderId="0" xfId="0" applyFont="1" applyFill="1" applyAlignment="1">
      <alignment horizontal="left"/>
    </xf>
    <xf numFmtId="0" fontId="57" fillId="10" borderId="24" xfId="0" applyFont="1" applyFill="1" applyBorder="1"/>
    <xf numFmtId="0" fontId="37" fillId="10" borderId="0" xfId="0" applyFont="1" applyFill="1"/>
    <xf numFmtId="0" fontId="57" fillId="10" borderId="12" xfId="0" applyFont="1" applyFill="1" applyBorder="1"/>
    <xf numFmtId="0" fontId="67" fillId="10" borderId="13" xfId="0" applyFont="1" applyFill="1" applyBorder="1" applyAlignment="1">
      <alignment horizontal="left"/>
    </xf>
    <xf numFmtId="0" fontId="57" fillId="10" borderId="14" xfId="0" applyFont="1" applyFill="1" applyBorder="1"/>
    <xf numFmtId="0" fontId="95" fillId="10" borderId="9" xfId="19" quotePrefix="1" applyFont="1" applyFill="1" applyBorder="1"/>
    <xf numFmtId="0" fontId="95" fillId="10" borderId="10" xfId="19" applyFont="1" applyFill="1" applyBorder="1"/>
    <xf numFmtId="0" fontId="37" fillId="10" borderId="19" xfId="19" applyFont="1" applyFill="1" applyBorder="1"/>
    <xf numFmtId="0" fontId="37" fillId="10" borderId="0" xfId="19" applyFont="1" applyFill="1"/>
    <xf numFmtId="0" fontId="75" fillId="10" borderId="0" xfId="19" applyFont="1" applyFill="1"/>
    <xf numFmtId="0" fontId="37" fillId="10" borderId="12" xfId="19" applyFont="1" applyFill="1" applyBorder="1"/>
    <xf numFmtId="0" fontId="37" fillId="10" borderId="9" xfId="19" applyFont="1" applyFill="1" applyBorder="1" applyAlignment="1">
      <alignment horizontal="left"/>
    </xf>
    <xf numFmtId="0" fontId="37" fillId="10" borderId="10" xfId="19" applyFont="1" applyFill="1" applyBorder="1"/>
    <xf numFmtId="0" fontId="37" fillId="10" borderId="11" xfId="19" applyFont="1" applyFill="1" applyBorder="1"/>
    <xf numFmtId="0" fontId="37" fillId="10" borderId="19" xfId="19" applyFont="1" applyFill="1" applyBorder="1" applyAlignment="1">
      <alignment horizontal="left"/>
    </xf>
    <xf numFmtId="0" fontId="37" fillId="10" borderId="24" xfId="19" applyFont="1" applyFill="1" applyBorder="1"/>
    <xf numFmtId="0" fontId="37" fillId="10" borderId="12" xfId="19" applyFont="1" applyFill="1" applyBorder="1" applyAlignment="1">
      <alignment horizontal="left"/>
    </xf>
    <xf numFmtId="0" fontId="37" fillId="10" borderId="13" xfId="19" applyFont="1" applyFill="1" applyBorder="1"/>
    <xf numFmtId="0" fontId="37" fillId="10" borderId="14" xfId="19" applyFont="1" applyFill="1" applyBorder="1"/>
    <xf numFmtId="0" fontId="86" fillId="0" borderId="0" xfId="0" applyFont="1" applyAlignment="1">
      <alignment horizontal="left" vertical="center" readingOrder="1"/>
    </xf>
    <xf numFmtId="0" fontId="34" fillId="0" borderId="0" xfId="0" applyFont="1" applyAlignment="1">
      <alignment vertical="center"/>
    </xf>
    <xf numFmtId="0" fontId="36" fillId="6" borderId="1" xfId="9" applyFont="1" applyFill="1" applyBorder="1"/>
    <xf numFmtId="0" fontId="31" fillId="7" borderId="3" xfId="23" applyFill="1" applyBorder="1"/>
    <xf numFmtId="0" fontId="57" fillId="0" borderId="15" xfId="0" applyFont="1" applyBorder="1"/>
    <xf numFmtId="0" fontId="57" fillId="0" borderId="8" xfId="0" applyFont="1" applyBorder="1"/>
    <xf numFmtId="0" fontId="36" fillId="0" borderId="1" xfId="9" applyFont="1" applyBorder="1"/>
    <xf numFmtId="0" fontId="85" fillId="0" borderId="2" xfId="9" applyFont="1" applyBorder="1"/>
    <xf numFmtId="0" fontId="0" fillId="0" borderId="15" xfId="0" applyBorder="1"/>
    <xf numFmtId="0" fontId="0" fillId="0" borderId="15" xfId="0" applyBorder="1" applyAlignment="1">
      <alignment horizontal="center"/>
    </xf>
    <xf numFmtId="164" fontId="0" fillId="0" borderId="15" xfId="10" applyNumberFormat="1" applyFont="1" applyBorder="1"/>
    <xf numFmtId="0" fontId="0" fillId="0" borderId="8" xfId="0" applyBorder="1"/>
    <xf numFmtId="0" fontId="31" fillId="5" borderId="3" xfId="23" applyFill="1" applyBorder="1"/>
    <xf numFmtId="0" fontId="57" fillId="5" borderId="5" xfId="9" applyFont="1" applyFill="1" applyBorder="1"/>
    <xf numFmtId="0" fontId="57" fillId="5" borderId="4" xfId="9" applyFont="1" applyFill="1" applyBorder="1"/>
    <xf numFmtId="0" fontId="90" fillId="5" borderId="3" xfId="14" applyFont="1" applyFill="1" applyBorder="1" applyAlignment="1" applyProtection="1">
      <alignment horizontal="left"/>
      <protection locked="0"/>
    </xf>
    <xf numFmtId="0" fontId="90" fillId="5" borderId="5" xfId="14" applyFont="1" applyFill="1" applyBorder="1" applyAlignment="1" applyProtection="1">
      <alignment horizontal="center"/>
      <protection locked="0"/>
    </xf>
    <xf numFmtId="164" fontId="90" fillId="5" borderId="5" xfId="22" applyNumberFormat="1" applyFont="1" applyFill="1" applyBorder="1" applyAlignment="1" applyProtection="1">
      <alignment horizontal="center"/>
      <protection locked="0"/>
    </xf>
    <xf numFmtId="164" fontId="90" fillId="5" borderId="4" xfId="22" applyNumberFormat="1" applyFont="1" applyFill="1" applyBorder="1" applyAlignment="1" applyProtection="1">
      <alignment horizontal="center"/>
      <protection locked="0"/>
    </xf>
    <xf numFmtId="0" fontId="0" fillId="0" borderId="15" xfId="0" applyBorder="1" applyProtection="1">
      <protection locked="0"/>
    </xf>
    <xf numFmtId="0" fontId="0" fillId="0" borderId="8" xfId="0" applyBorder="1" applyProtection="1">
      <protection locked="0"/>
    </xf>
    <xf numFmtId="0" fontId="0" fillId="0" borderId="3" xfId="0" applyBorder="1" applyAlignment="1" applyProtection="1">
      <alignment horizontal="left"/>
      <protection locked="0"/>
    </xf>
    <xf numFmtId="0" fontId="0" fillId="0" borderId="5" xfId="0" applyBorder="1" applyProtection="1">
      <protection locked="0"/>
    </xf>
    <xf numFmtId="0" fontId="0" fillId="0" borderId="4" xfId="0" applyBorder="1" applyProtection="1">
      <protection locked="0"/>
    </xf>
    <xf numFmtId="0" fontId="0" fillId="5" borderId="1" xfId="0" applyFill="1" applyBorder="1" applyProtection="1">
      <protection locked="0"/>
    </xf>
    <xf numFmtId="0" fontId="0" fillId="5" borderId="0" xfId="0" applyFill="1" applyProtection="1">
      <protection locked="0"/>
    </xf>
    <xf numFmtId="0" fontId="0" fillId="5" borderId="2" xfId="0" applyFill="1" applyBorder="1" applyProtection="1">
      <protection locked="0"/>
    </xf>
    <xf numFmtId="0" fontId="30" fillId="0" borderId="0" xfId="0" applyFont="1"/>
    <xf numFmtId="0" fontId="57" fillId="10" borderId="29" xfId="0" applyFont="1" applyFill="1" applyBorder="1"/>
    <xf numFmtId="0" fontId="57" fillId="10" borderId="30" xfId="0" applyFont="1" applyFill="1" applyBorder="1"/>
    <xf numFmtId="0" fontId="0" fillId="10" borderId="30" xfId="0" applyFill="1" applyBorder="1"/>
    <xf numFmtId="0" fontId="0" fillId="10" borderId="33" xfId="0" applyFill="1" applyBorder="1"/>
    <xf numFmtId="0" fontId="27" fillId="0" borderId="0" xfId="0" applyFont="1"/>
    <xf numFmtId="0" fontId="27" fillId="0" borderId="0" xfId="16" applyFont="1"/>
    <xf numFmtId="0" fontId="26" fillId="0" borderId="0" xfId="19" applyFont="1"/>
    <xf numFmtId="0" fontId="26" fillId="0" borderId="0" xfId="16" applyFont="1"/>
    <xf numFmtId="0" fontId="23" fillId="0" borderId="0" xfId="16" applyFont="1" applyAlignment="1">
      <alignment horizontal="left"/>
    </xf>
    <xf numFmtId="164" fontId="57" fillId="0" borderId="0" xfId="6" applyNumberFormat="1" applyFont="1" applyProtection="1">
      <protection hidden="1"/>
    </xf>
    <xf numFmtId="0" fontId="97" fillId="11" borderId="28" xfId="9" applyFont="1" applyFill="1" applyBorder="1" applyAlignment="1" applyProtection="1">
      <alignment horizontal="center" vertical="center"/>
      <protection locked="0"/>
    </xf>
    <xf numFmtId="0" fontId="87" fillId="0" borderId="0" xfId="0" applyFont="1" applyAlignment="1">
      <alignment horizontal="center"/>
    </xf>
    <xf numFmtId="0" fontId="57" fillId="0" borderId="0" xfId="6" applyNumberFormat="1" applyFont="1" applyFill="1" applyBorder="1" applyProtection="1"/>
    <xf numFmtId="164" fontId="103" fillId="3" borderId="0" xfId="6" applyNumberFormat="1" applyFont="1" applyFill="1" applyBorder="1" applyAlignment="1" applyProtection="1">
      <alignment horizontal="right"/>
    </xf>
    <xf numFmtId="0" fontId="21" fillId="0" borderId="0" xfId="16" applyFont="1" applyAlignment="1">
      <alignment horizontal="left" indent="2"/>
    </xf>
    <xf numFmtId="0" fontId="86" fillId="0" borderId="0" xfId="0" applyFont="1" applyAlignment="1">
      <alignment horizontal="left"/>
    </xf>
    <xf numFmtId="0" fontId="22" fillId="0" borderId="0" xfId="0" applyFont="1"/>
    <xf numFmtId="0" fontId="24" fillId="0" borderId="0" xfId="0" applyFont="1" applyAlignment="1">
      <alignment horizontal="left"/>
    </xf>
    <xf numFmtId="0" fontId="21" fillId="0" borderId="0" xfId="16" quotePrefix="1" applyFont="1"/>
    <xf numFmtId="0" fontId="21" fillId="0" borderId="0" xfId="16" applyFont="1"/>
    <xf numFmtId="0" fontId="21" fillId="0" borderId="0" xfId="16" applyFont="1" applyAlignment="1">
      <alignment horizontal="left"/>
    </xf>
    <xf numFmtId="0" fontId="20" fillId="0" borderId="0" xfId="16" applyFont="1" applyAlignment="1">
      <alignment horizontal="left"/>
    </xf>
    <xf numFmtId="0" fontId="20" fillId="0" borderId="0" xfId="16" applyFont="1" applyAlignment="1">
      <alignment horizontal="left" indent="2"/>
    </xf>
    <xf numFmtId="0" fontId="20" fillId="0" borderId="0" xfId="16" applyFont="1" applyAlignment="1">
      <alignment horizontal="left" indent="4"/>
    </xf>
    <xf numFmtId="0" fontId="25" fillId="0" borderId="0" xfId="9" applyFont="1"/>
    <xf numFmtId="0" fontId="20" fillId="0" borderId="0" xfId="16" applyFont="1" applyAlignment="1">
      <alignment horizontal="left" indent="6"/>
    </xf>
    <xf numFmtId="0" fontId="19" fillId="0" borderId="0" xfId="0" applyFont="1" applyAlignment="1">
      <alignment horizontal="left"/>
    </xf>
    <xf numFmtId="0" fontId="113" fillId="0" borderId="0" xfId="0" applyFont="1" applyAlignment="1">
      <alignment horizontal="left" indent="4"/>
    </xf>
    <xf numFmtId="0" fontId="125" fillId="0" borderId="7" xfId="0" applyFont="1" applyBorder="1"/>
    <xf numFmtId="0" fontId="123" fillId="0" borderId="8" xfId="0" applyFont="1" applyBorder="1" applyAlignment="1">
      <alignment horizontal="left" vertical="center" indent="2"/>
    </xf>
    <xf numFmtId="0" fontId="57" fillId="0" borderId="1" xfId="0" applyFont="1" applyBorder="1"/>
    <xf numFmtId="0" fontId="57" fillId="0" borderId="2" xfId="0" applyFont="1" applyBorder="1"/>
    <xf numFmtId="0" fontId="57" fillId="0" borderId="1" xfId="0" applyFont="1" applyBorder="1" applyAlignment="1">
      <alignment horizontal="left"/>
    </xf>
    <xf numFmtId="0" fontId="57" fillId="0" borderId="1" xfId="0" applyFont="1" applyBorder="1" applyAlignment="1">
      <alignment horizontal="left" indent="1"/>
    </xf>
    <xf numFmtId="0" fontId="57" fillId="0" borderId="3" xfId="0" applyFont="1" applyBorder="1" applyAlignment="1">
      <alignment horizontal="left" indent="1"/>
    </xf>
    <xf numFmtId="0" fontId="0" fillId="0" borderId="5" xfId="0" applyBorder="1"/>
    <xf numFmtId="0" fontId="0" fillId="0" borderId="4" xfId="0" applyBorder="1"/>
    <xf numFmtId="164" fontId="88" fillId="0" borderId="0" xfId="6" applyNumberFormat="1" applyFont="1" applyProtection="1">
      <protection locked="0"/>
    </xf>
    <xf numFmtId="44" fontId="57" fillId="0" borderId="0" xfId="20" applyFont="1" applyProtection="1">
      <protection locked="0"/>
    </xf>
    <xf numFmtId="0" fontId="115" fillId="0" borderId="0" xfId="0" applyFont="1" applyAlignment="1">
      <alignment horizontal="left" indent="2"/>
    </xf>
    <xf numFmtId="8" fontId="42" fillId="0" borderId="0" xfId="16" applyNumberFormat="1" applyFont="1"/>
    <xf numFmtId="0" fontId="18" fillId="0" borderId="0" xfId="16" applyFont="1" applyAlignment="1">
      <alignment horizontal="left" indent="2"/>
    </xf>
    <xf numFmtId="0" fontId="17" fillId="0" borderId="0" xfId="9" applyFont="1"/>
    <xf numFmtId="0" fontId="17" fillId="0" borderId="0" xfId="0" applyFont="1"/>
    <xf numFmtId="0" fontId="17" fillId="0" borderId="0" xfId="0" applyFont="1" applyAlignment="1">
      <alignment horizontal="left" indent="2"/>
    </xf>
    <xf numFmtId="0" fontId="95" fillId="0" borderId="0" xfId="9" applyFont="1"/>
    <xf numFmtId="0" fontId="16" fillId="0" borderId="0" xfId="9" applyFont="1"/>
    <xf numFmtId="0" fontId="95" fillId="0" borderId="0" xfId="9" applyFont="1" applyAlignment="1">
      <alignment horizontal="center" vertical="center"/>
    </xf>
    <xf numFmtId="0" fontId="89" fillId="0" borderId="0" xfId="5" applyFont="1"/>
    <xf numFmtId="49" fontId="89" fillId="0" borderId="0" xfId="5" applyNumberFormat="1" applyFont="1"/>
    <xf numFmtId="0" fontId="127" fillId="0" borderId="0" xfId="25" applyFont="1"/>
    <xf numFmtId="0" fontId="127" fillId="0" borderId="0" xfId="25" applyFont="1" applyAlignment="1">
      <alignment horizontal="center"/>
    </xf>
    <xf numFmtId="43" fontId="88" fillId="0" borderId="0" xfId="10" applyFont="1"/>
    <xf numFmtId="9" fontId="57" fillId="0" borderId="0" xfId="3" applyNumberFormat="1" applyFont="1"/>
    <xf numFmtId="43" fontId="57" fillId="6" borderId="6" xfId="6" applyFont="1" applyFill="1" applyBorder="1" applyProtection="1">
      <protection locked="0"/>
    </xf>
    <xf numFmtId="164" fontId="88" fillId="0" borderId="0" xfId="6" applyNumberFormat="1" applyFont="1" applyFill="1" applyBorder="1" applyProtection="1">
      <protection locked="0"/>
    </xf>
    <xf numFmtId="0" fontId="15" fillId="5" borderId="6" xfId="0" applyFont="1" applyFill="1" applyBorder="1" applyProtection="1">
      <protection locked="0"/>
    </xf>
    <xf numFmtId="9" fontId="15" fillId="5" borderId="28" xfId="16" applyNumberFormat="1" applyFont="1" applyFill="1" applyBorder="1" applyProtection="1">
      <protection locked="0"/>
    </xf>
    <xf numFmtId="43" fontId="42" fillId="5" borderId="28" xfId="16" applyNumberFormat="1" applyFont="1" applyFill="1" applyBorder="1" applyProtection="1">
      <protection locked="0"/>
    </xf>
    <xf numFmtId="0" fontId="15" fillId="0" borderId="0" xfId="16" applyFont="1" applyAlignment="1">
      <alignment horizontal="left"/>
    </xf>
    <xf numFmtId="0" fontId="15" fillId="0" borderId="0" xfId="16" applyFont="1" applyAlignment="1">
      <alignment horizontal="left" indent="2"/>
    </xf>
    <xf numFmtId="0" fontId="15" fillId="0" borderId="0" xfId="16" applyFont="1"/>
    <xf numFmtId="43" fontId="95" fillId="0" borderId="0" xfId="6" applyFont="1" applyFill="1" applyBorder="1" applyProtection="1"/>
    <xf numFmtId="164" fontId="95" fillId="0" borderId="0" xfId="6" applyNumberFormat="1" applyFont="1" applyFill="1" applyBorder="1" applyProtection="1"/>
    <xf numFmtId="0" fontId="88" fillId="0" borderId="0" xfId="14" applyAlignment="1">
      <alignment horizontal="center"/>
    </xf>
    <xf numFmtId="0" fontId="14" fillId="0" borderId="0" xfId="5" applyFont="1"/>
    <xf numFmtId="0" fontId="14" fillId="0" borderId="0" xfId="14" applyFont="1"/>
    <xf numFmtId="0" fontId="14" fillId="0" borderId="0" xfId="9" applyFont="1"/>
    <xf numFmtId="49" fontId="14" fillId="0" borderId="0" xfId="14" applyNumberFormat="1" applyFont="1" applyAlignment="1">
      <alignment horizontal="right"/>
    </xf>
    <xf numFmtId="0" fontId="14" fillId="0" borderId="0" xfId="14" applyFont="1" applyAlignment="1">
      <alignment horizontal="right"/>
    </xf>
    <xf numFmtId="164" fontId="14" fillId="0" borderId="0" xfId="6" applyNumberFormat="1" applyFont="1" applyFill="1" applyBorder="1"/>
    <xf numFmtId="164" fontId="14" fillId="0" borderId="0" xfId="14" applyNumberFormat="1" applyFont="1"/>
    <xf numFmtId="164" fontId="14" fillId="0" borderId="0" xfId="5" applyNumberFormat="1" applyFont="1"/>
    <xf numFmtId="0" fontId="14" fillId="0" borderId="0" xfId="0" applyFont="1"/>
    <xf numFmtId="0" fontId="14" fillId="0" borderId="0" xfId="9" applyFont="1" applyAlignment="1">
      <alignment horizontal="center"/>
    </xf>
    <xf numFmtId="0" fontId="14" fillId="0" borderId="0" xfId="0" applyFont="1" applyAlignment="1">
      <alignment horizontal="center"/>
    </xf>
    <xf numFmtId="2" fontId="14" fillId="0" borderId="0" xfId="9" applyNumberFormat="1" applyFont="1"/>
    <xf numFmtId="164" fontId="14" fillId="0" borderId="0" xfId="9" quotePrefix="1" applyNumberFormat="1" applyFont="1"/>
    <xf numFmtId="166" fontId="14" fillId="0" borderId="0" xfId="8" applyNumberFormat="1" applyFont="1" applyFill="1" applyProtection="1"/>
    <xf numFmtId="43" fontId="14" fillId="0" borderId="0" xfId="9" applyNumberFormat="1" applyFont="1"/>
    <xf numFmtId="164" fontId="14" fillId="0" borderId="0" xfId="9" applyNumberFormat="1" applyFont="1"/>
    <xf numFmtId="9" fontId="14" fillId="0" borderId="0" xfId="8" applyFont="1" applyFill="1" applyProtection="1"/>
    <xf numFmtId="171" fontId="14" fillId="0" borderId="0" xfId="9" applyNumberFormat="1" applyFont="1"/>
    <xf numFmtId="164" fontId="14" fillId="0" borderId="0" xfId="6" applyNumberFormat="1" applyFont="1" applyFill="1" applyBorder="1" applyProtection="1">
      <protection locked="0"/>
    </xf>
    <xf numFmtId="9" fontId="14" fillId="0" borderId="0" xfId="9" applyNumberFormat="1" applyFont="1"/>
    <xf numFmtId="9" fontId="14" fillId="0" borderId="0" xfId="8" applyFont="1" applyFill="1" applyBorder="1" applyProtection="1">
      <protection locked="0"/>
    </xf>
    <xf numFmtId="44" fontId="14" fillId="0" borderId="0" xfId="7" applyFont="1" applyFill="1" applyBorder="1" applyProtection="1"/>
    <xf numFmtId="44" fontId="14" fillId="0" borderId="0" xfId="9" applyNumberFormat="1" applyFont="1"/>
    <xf numFmtId="8" fontId="14" fillId="0" borderId="0" xfId="9" applyNumberFormat="1" applyFont="1"/>
    <xf numFmtId="8" fontId="14" fillId="0" borderId="0" xfId="0" applyNumberFormat="1" applyFont="1"/>
    <xf numFmtId="9" fontId="14" fillId="0" borderId="0" xfId="0" applyNumberFormat="1" applyFont="1"/>
    <xf numFmtId="164" fontId="14" fillId="0" borderId="0" xfId="6" applyNumberFormat="1" applyFont="1"/>
    <xf numFmtId="171" fontId="14" fillId="0" borderId="0" xfId="0" applyNumberFormat="1" applyFont="1"/>
    <xf numFmtId="164" fontId="14" fillId="0" borderId="0" xfId="6" applyNumberFormat="1" applyFont="1" applyFill="1" applyBorder="1" applyProtection="1"/>
    <xf numFmtId="9" fontId="14" fillId="0" borderId="0" xfId="8" applyFont="1" applyFill="1" applyBorder="1" applyProtection="1"/>
    <xf numFmtId="43" fontId="14" fillId="0" borderId="0" xfId="0" applyNumberFormat="1" applyFont="1"/>
    <xf numFmtId="43" fontId="14" fillId="0" borderId="0" xfId="6" applyFont="1" applyFill="1" applyBorder="1" applyProtection="1"/>
    <xf numFmtId="9" fontId="14" fillId="0" borderId="0" xfId="8" applyFont="1"/>
    <xf numFmtId="164" fontId="14" fillId="0" borderId="0" xfId="0" applyNumberFormat="1" applyFont="1"/>
    <xf numFmtId="9" fontId="14" fillId="0" borderId="0" xfId="8" applyFont="1" applyProtection="1"/>
    <xf numFmtId="164" fontId="14" fillId="0" borderId="0" xfId="8" applyNumberFormat="1" applyFont="1" applyFill="1" applyBorder="1" applyProtection="1"/>
    <xf numFmtId="172" fontId="14" fillId="0" borderId="0" xfId="9" applyNumberFormat="1" applyFont="1"/>
    <xf numFmtId="3" fontId="14" fillId="0" borderId="0" xfId="9" applyNumberFormat="1" applyFont="1"/>
    <xf numFmtId="0" fontId="14" fillId="0" borderId="0" xfId="16" applyFont="1"/>
    <xf numFmtId="2" fontId="14" fillId="0" borderId="0" xfId="16" applyNumberFormat="1" applyFont="1"/>
    <xf numFmtId="0" fontId="14" fillId="0" borderId="0" xfId="5" applyFont="1" applyAlignment="1">
      <alignment horizontal="center"/>
    </xf>
    <xf numFmtId="166" fontId="14" fillId="0" borderId="0" xfId="16" applyNumberFormat="1" applyFont="1"/>
    <xf numFmtId="9" fontId="14" fillId="0" borderId="0" xfId="16" applyNumberFormat="1" applyFont="1"/>
    <xf numFmtId="10" fontId="14" fillId="0" borderId="0" xfId="16" applyNumberFormat="1" applyFont="1"/>
    <xf numFmtId="43" fontId="14" fillId="0" borderId="0" xfId="17" applyFont="1" applyFill="1" applyBorder="1" applyProtection="1">
      <protection locked="0"/>
    </xf>
    <xf numFmtId="164" fontId="14" fillId="0" borderId="0" xfId="17" applyNumberFormat="1" applyFont="1" applyFill="1" applyBorder="1" applyProtection="1">
      <protection locked="0"/>
    </xf>
    <xf numFmtId="0" fontId="14" fillId="0" borderId="0" xfId="16" applyFont="1" applyProtection="1">
      <protection locked="0"/>
    </xf>
    <xf numFmtId="164" fontId="14" fillId="0" borderId="0" xfId="16" applyNumberFormat="1" applyFont="1" applyProtection="1">
      <protection locked="0"/>
    </xf>
    <xf numFmtId="6" fontId="14" fillId="0" borderId="0" xfId="9" applyNumberFormat="1" applyFont="1"/>
    <xf numFmtId="6" fontId="14" fillId="0" borderId="0" xfId="16" applyNumberFormat="1" applyFont="1"/>
    <xf numFmtId="0" fontId="14" fillId="0" borderId="0" xfId="0" applyFont="1" applyAlignment="1">
      <alignment wrapText="1"/>
    </xf>
    <xf numFmtId="164" fontId="14" fillId="0" borderId="0" xfId="0" applyNumberFormat="1" applyFont="1" applyAlignment="1" applyProtection="1">
      <alignment horizontal="right"/>
      <protection locked="0"/>
    </xf>
    <xf numFmtId="169" fontId="14" fillId="0" borderId="0" xfId="6" applyNumberFormat="1" applyFont="1"/>
    <xf numFmtId="0" fontId="14" fillId="0" borderId="0" xfId="3" applyFont="1"/>
    <xf numFmtId="0" fontId="14" fillId="0" borderId="0" xfId="3" applyFont="1" applyAlignment="1">
      <alignment horizontal="center"/>
    </xf>
    <xf numFmtId="166" fontId="14" fillId="0" borderId="0" xfId="8" applyNumberFormat="1" applyFont="1" applyProtection="1"/>
    <xf numFmtId="9" fontId="14" fillId="0" borderId="0" xfId="3" applyNumberFormat="1" applyFont="1"/>
    <xf numFmtId="8" fontId="14" fillId="0" borderId="0" xfId="3" applyNumberFormat="1" applyFont="1"/>
    <xf numFmtId="167" fontId="14" fillId="0" borderId="0" xfId="9" applyNumberFormat="1" applyFont="1"/>
    <xf numFmtId="0" fontId="14" fillId="0" borderId="0" xfId="16" applyFont="1" applyAlignment="1">
      <alignment horizontal="center"/>
    </xf>
    <xf numFmtId="49" fontId="13" fillId="0" borderId="0" xfId="14" applyNumberFormat="1" applyFont="1" applyAlignment="1">
      <alignment horizontal="right"/>
    </xf>
    <xf numFmtId="0" fontId="12" fillId="0" borderId="0" xfId="5" applyFont="1"/>
    <xf numFmtId="0" fontId="12" fillId="0" borderId="0" xfId="14" applyFont="1"/>
    <xf numFmtId="0" fontId="12" fillId="0" borderId="0" xfId="0" applyFont="1" applyAlignment="1">
      <alignment horizontal="left" indent="2"/>
    </xf>
    <xf numFmtId="0" fontId="12" fillId="0" borderId="0" xfId="0" applyFont="1"/>
    <xf numFmtId="0" fontId="0" fillId="0" borderId="0" xfId="0" applyProtection="1">
      <protection hidden="1"/>
    </xf>
    <xf numFmtId="0" fontId="96" fillId="0" borderId="0" xfId="9" applyAlignment="1">
      <alignment horizontal="center"/>
    </xf>
    <xf numFmtId="0" fontId="11" fillId="0" borderId="0" xfId="9" applyFont="1" applyAlignment="1">
      <alignment horizontal="center"/>
    </xf>
    <xf numFmtId="173" fontId="57" fillId="0" borderId="28" xfId="7" applyNumberFormat="1" applyFont="1" applyBorder="1"/>
    <xf numFmtId="43" fontId="57" fillId="0" borderId="0" xfId="6" applyFont="1"/>
    <xf numFmtId="0" fontId="106" fillId="0" borderId="0" xfId="0" applyFont="1"/>
    <xf numFmtId="173" fontId="57" fillId="0" borderId="0" xfId="7" applyNumberFormat="1" applyFont="1" applyBorder="1"/>
    <xf numFmtId="0" fontId="12" fillId="0" borderId="0" xfId="16" applyFont="1"/>
    <xf numFmtId="0" fontId="12" fillId="0" borderId="0" xfId="16" applyFont="1" applyAlignment="1">
      <alignment horizontal="left" indent="2"/>
    </xf>
    <xf numFmtId="0" fontId="12" fillId="0" borderId="0" xfId="16" applyFont="1" applyAlignment="1">
      <alignment horizontal="left"/>
    </xf>
    <xf numFmtId="0" fontId="125" fillId="0" borderId="0" xfId="0" applyFont="1" applyAlignment="1">
      <alignment horizontal="left"/>
    </xf>
    <xf numFmtId="0" fontId="12" fillId="0" borderId="0" xfId="16" applyFont="1" applyAlignment="1">
      <alignment horizontal="left" indent="4"/>
    </xf>
    <xf numFmtId="0" fontId="120" fillId="0" borderId="0" xfId="16" applyFont="1"/>
    <xf numFmtId="0" fontId="10" fillId="0" borderId="0" xfId="0" applyFont="1" applyAlignment="1">
      <alignment horizontal="left"/>
    </xf>
    <xf numFmtId="0" fontId="10" fillId="0" borderId="0" xfId="16" quotePrefix="1" applyFont="1"/>
    <xf numFmtId="0" fontId="57" fillId="10" borderId="0" xfId="0" applyFont="1" applyFill="1" applyAlignment="1">
      <alignment horizontal="left" indent="1"/>
    </xf>
    <xf numFmtId="0" fontId="69" fillId="10" borderId="19" xfId="0" applyFont="1" applyFill="1" applyBorder="1"/>
    <xf numFmtId="0" fontId="69" fillId="10" borderId="0" xfId="0" applyFont="1" applyFill="1"/>
    <xf numFmtId="0" fontId="10" fillId="10" borderId="0" xfId="0" applyFont="1" applyFill="1"/>
    <xf numFmtId="0" fontId="57" fillId="10" borderId="13" xfId="0" applyFont="1" applyFill="1" applyBorder="1" applyAlignment="1">
      <alignment horizontal="left" indent="1"/>
    </xf>
    <xf numFmtId="0" fontId="65" fillId="0" borderId="0" xfId="0" applyFont="1"/>
    <xf numFmtId="166" fontId="57" fillId="0" borderId="0" xfId="8" applyNumberFormat="1" applyFont="1"/>
    <xf numFmtId="166" fontId="57" fillId="0" borderId="0" xfId="8" quotePrefix="1" applyNumberFormat="1" applyFont="1" applyAlignment="1">
      <alignment horizontal="right"/>
    </xf>
    <xf numFmtId="0" fontId="9" fillId="0" borderId="0" xfId="0" applyFont="1" applyAlignment="1">
      <alignment horizontal="left"/>
    </xf>
    <xf numFmtId="0" fontId="9" fillId="0" borderId="0" xfId="0" applyFont="1"/>
    <xf numFmtId="0" fontId="9" fillId="10" borderId="0" xfId="0" applyFont="1" applyFill="1"/>
    <xf numFmtId="0" fontId="9" fillId="0" borderId="0" xfId="0" applyFont="1" applyAlignment="1">
      <alignment horizontal="left" indent="2"/>
    </xf>
    <xf numFmtId="0" fontId="84" fillId="0" borderId="0" xfId="0" applyFont="1" applyAlignment="1">
      <alignment horizontal="left" indent="2"/>
    </xf>
    <xf numFmtId="0" fontId="8" fillId="0" borderId="0" xfId="16" applyFont="1"/>
    <xf numFmtId="0" fontId="42" fillId="10" borderId="10" xfId="16" applyFont="1" applyFill="1" applyBorder="1"/>
    <xf numFmtId="0" fontId="42" fillId="10" borderId="11" xfId="16" applyFont="1" applyFill="1" applyBorder="1"/>
    <xf numFmtId="0" fontId="42" fillId="10" borderId="19" xfId="16" applyFont="1" applyFill="1" applyBorder="1"/>
    <xf numFmtId="0" fontId="42" fillId="10" borderId="0" xfId="16" applyFont="1" applyFill="1"/>
    <xf numFmtId="0" fontId="42" fillId="10" borderId="24" xfId="16" applyFont="1" applyFill="1" applyBorder="1"/>
    <xf numFmtId="0" fontId="95" fillId="10" borderId="19" xfId="16" applyFont="1" applyFill="1" applyBorder="1"/>
    <xf numFmtId="0" fontId="8" fillId="10" borderId="0" xfId="16" applyFont="1" applyFill="1"/>
    <xf numFmtId="0" fontId="42" fillId="10" borderId="13" xfId="16" applyFont="1" applyFill="1" applyBorder="1"/>
    <xf numFmtId="0" fontId="42" fillId="10" borderId="14" xfId="16" applyFont="1" applyFill="1" applyBorder="1"/>
    <xf numFmtId="0" fontId="42" fillId="10" borderId="9" xfId="16" applyFont="1" applyFill="1" applyBorder="1"/>
    <xf numFmtId="0" fontId="42" fillId="10" borderId="10" xfId="16" applyFont="1" applyFill="1" applyBorder="1" applyAlignment="1">
      <alignment horizontal="right"/>
    </xf>
    <xf numFmtId="0" fontId="42" fillId="10" borderId="11" xfId="16" applyFont="1" applyFill="1" applyBorder="1" applyAlignment="1">
      <alignment horizontal="right"/>
    </xf>
    <xf numFmtId="0" fontId="42" fillId="10" borderId="12" xfId="16" applyFont="1" applyFill="1" applyBorder="1"/>
    <xf numFmtId="0" fontId="130" fillId="10" borderId="9" xfId="16" applyFont="1" applyFill="1" applyBorder="1"/>
    <xf numFmtId="0" fontId="95" fillId="10" borderId="10" xfId="16" applyFont="1" applyFill="1" applyBorder="1"/>
    <xf numFmtId="0" fontId="95" fillId="10" borderId="9" xfId="16" applyFont="1" applyFill="1" applyBorder="1"/>
    <xf numFmtId="9" fontId="42" fillId="10" borderId="0" xfId="8" applyFont="1" applyFill="1" applyBorder="1" applyProtection="1"/>
    <xf numFmtId="9" fontId="42" fillId="10" borderId="13" xfId="8" applyFont="1" applyFill="1" applyBorder="1" applyProtection="1"/>
    <xf numFmtId="9" fontId="115" fillId="10" borderId="0" xfId="8" applyFont="1" applyFill="1" applyBorder="1" applyProtection="1"/>
    <xf numFmtId="9" fontId="115" fillId="10" borderId="13" xfId="8" applyFont="1" applyFill="1" applyBorder="1" applyProtection="1"/>
    <xf numFmtId="1" fontId="42" fillId="10" borderId="24" xfId="16" applyNumberFormat="1" applyFont="1" applyFill="1" applyBorder="1"/>
    <xf numFmtId="1" fontId="42" fillId="10" borderId="14" xfId="16" applyNumberFormat="1" applyFont="1" applyFill="1" applyBorder="1"/>
    <xf numFmtId="9" fontId="131" fillId="6" borderId="36" xfId="16" applyNumberFormat="1" applyFont="1" applyFill="1" applyBorder="1"/>
    <xf numFmtId="9" fontId="131" fillId="6" borderId="37" xfId="16" applyNumberFormat="1" applyFont="1" applyFill="1" applyBorder="1"/>
    <xf numFmtId="0" fontId="10" fillId="0" borderId="0" xfId="16" applyFont="1"/>
    <xf numFmtId="1" fontId="42" fillId="3" borderId="24" xfId="16" applyNumberFormat="1" applyFont="1" applyFill="1" applyBorder="1"/>
    <xf numFmtId="0" fontId="8" fillId="10" borderId="24" xfId="16" applyFont="1" applyFill="1" applyBorder="1"/>
    <xf numFmtId="0" fontId="75" fillId="10" borderId="13" xfId="16" applyFont="1" applyFill="1" applyBorder="1"/>
    <xf numFmtId="0" fontId="75" fillId="10" borderId="14" xfId="16" applyFont="1" applyFill="1" applyBorder="1"/>
    <xf numFmtId="0" fontId="7" fillId="10" borderId="0" xfId="16" applyFont="1" applyFill="1"/>
    <xf numFmtId="0" fontId="7" fillId="0" borderId="0" xfId="16" applyFont="1" applyAlignment="1">
      <alignment horizontal="left"/>
    </xf>
    <xf numFmtId="9" fontId="131" fillId="0" borderId="0" xfId="16" applyNumberFormat="1" applyFont="1"/>
    <xf numFmtId="9" fontId="115" fillId="0" borderId="0" xfId="8" applyFont="1" applyFill="1" applyBorder="1" applyProtection="1"/>
    <xf numFmtId="0" fontId="42" fillId="10" borderId="0" xfId="16" applyFont="1" applyFill="1" applyAlignment="1">
      <alignment horizontal="right"/>
    </xf>
    <xf numFmtId="0" fontId="42" fillId="10" borderId="24" xfId="16" applyFont="1" applyFill="1" applyBorder="1" applyAlignment="1">
      <alignment horizontal="right"/>
    </xf>
    <xf numFmtId="0" fontId="42" fillId="0" borderId="19" xfId="16" applyFont="1" applyBorder="1"/>
    <xf numFmtId="9" fontId="84" fillId="9" borderId="36" xfId="16" applyNumberFormat="1" applyFont="1" applyFill="1" applyBorder="1"/>
    <xf numFmtId="9" fontId="84" fillId="9" borderId="38" xfId="16" applyNumberFormat="1" applyFont="1" applyFill="1" applyBorder="1"/>
    <xf numFmtId="0" fontId="8" fillId="0" borderId="0" xfId="16" applyFont="1" applyAlignment="1">
      <alignment horizontal="left"/>
    </xf>
    <xf numFmtId="0" fontId="7" fillId="0" borderId="0" xfId="16" applyFont="1" applyAlignment="1">
      <alignment horizontal="left" indent="2"/>
    </xf>
    <xf numFmtId="0" fontId="7" fillId="0" borderId="0" xfId="16" applyFont="1" applyAlignment="1">
      <alignment horizontal="left" indent="4"/>
    </xf>
    <xf numFmtId="0" fontId="29" fillId="0" borderId="0" xfId="16" applyFont="1" applyAlignment="1">
      <alignment horizontal="left" indent="4"/>
    </xf>
    <xf numFmtId="0" fontId="68" fillId="10" borderId="9" xfId="0" applyFont="1" applyFill="1" applyBorder="1"/>
    <xf numFmtId="0" fontId="67" fillId="10" borderId="10" xfId="0" applyFont="1" applyFill="1" applyBorder="1"/>
    <xf numFmtId="0" fontId="68" fillId="10" borderId="10" xfId="0" applyFont="1" applyFill="1" applyBorder="1"/>
    <xf numFmtId="0" fontId="7" fillId="0" borderId="0" xfId="0" applyFont="1" applyAlignment="1">
      <alignment horizontal="left" indent="2"/>
    </xf>
    <xf numFmtId="0" fontId="88" fillId="0" borderId="0" xfId="0" applyFont="1" applyAlignment="1">
      <alignment horizontal="left" indent="2"/>
    </xf>
    <xf numFmtId="0" fontId="7" fillId="0" borderId="0" xfId="9" applyFont="1"/>
    <xf numFmtId="0" fontId="36" fillId="0" borderId="0" xfId="0" applyFont="1" applyProtection="1">
      <protection locked="0"/>
    </xf>
    <xf numFmtId="0" fontId="7" fillId="0" borderId="0" xfId="0" applyFont="1"/>
    <xf numFmtId="1" fontId="36" fillId="5" borderId="6" xfId="0" applyNumberFormat="1" applyFont="1" applyFill="1" applyBorder="1" applyProtection="1">
      <protection locked="0"/>
    </xf>
    <xf numFmtId="0" fontId="0" fillId="2" borderId="0" xfId="0" applyFill="1" applyProtection="1">
      <protection locked="0"/>
    </xf>
    <xf numFmtId="0" fontId="7" fillId="0" borderId="0" xfId="16" applyFont="1"/>
    <xf numFmtId="43" fontId="57" fillId="0" borderId="0" xfId="0" applyNumberFormat="1" applyFont="1"/>
    <xf numFmtId="9" fontId="95" fillId="0" borderId="0" xfId="0" applyNumberFormat="1" applyFont="1" applyAlignment="1">
      <alignment horizontal="right"/>
    </xf>
    <xf numFmtId="164" fontId="67" fillId="0" borderId="0" xfId="6" applyNumberFormat="1" applyFont="1" applyAlignment="1" applyProtection="1">
      <alignment horizontal="right"/>
    </xf>
    <xf numFmtId="0" fontId="95" fillId="0" borderId="0" xfId="16" applyFont="1" applyAlignment="1">
      <alignment horizontal="right"/>
    </xf>
    <xf numFmtId="0" fontId="121" fillId="0" borderId="0" xfId="0" applyFont="1"/>
    <xf numFmtId="0" fontId="40" fillId="0" borderId="0" xfId="0" applyFont="1" applyAlignment="1">
      <alignment horizontal="left" indent="2"/>
    </xf>
    <xf numFmtId="43" fontId="57" fillId="0" borderId="6" xfId="0" applyNumberFormat="1" applyFont="1" applyBorder="1"/>
    <xf numFmtId="6" fontId="67" fillId="0" borderId="0" xfId="0" applyNumberFormat="1" applyFont="1" applyAlignment="1">
      <alignment horizontal="right"/>
    </xf>
    <xf numFmtId="16" fontId="11" fillId="0" borderId="0" xfId="9" applyNumberFormat="1" applyFont="1" applyAlignment="1">
      <alignment horizontal="center"/>
    </xf>
    <xf numFmtId="0" fontId="6" fillId="0" borderId="0" xfId="9" applyFont="1" applyAlignment="1">
      <alignment horizontal="center"/>
    </xf>
    <xf numFmtId="2" fontId="57" fillId="0" borderId="6" xfId="0" applyNumberFormat="1" applyFont="1" applyBorder="1"/>
    <xf numFmtId="8" fontId="57" fillId="0" borderId="0" xfId="7" applyNumberFormat="1" applyFont="1" applyFill="1" applyBorder="1" applyProtection="1">
      <protection locked="0"/>
    </xf>
    <xf numFmtId="43" fontId="57" fillId="0" borderId="0" xfId="6" applyFont="1" applyProtection="1"/>
    <xf numFmtId="9" fontId="36" fillId="0" borderId="0" xfId="0" applyNumberFormat="1" applyFont="1" applyProtection="1">
      <protection locked="0"/>
    </xf>
    <xf numFmtId="0" fontId="113" fillId="0" borderId="0" xfId="3" applyFont="1" applyAlignment="1">
      <alignment horizontal="left" indent="2"/>
    </xf>
    <xf numFmtId="43" fontId="14" fillId="0" borderId="0" xfId="6" applyFont="1"/>
    <xf numFmtId="174" fontId="57" fillId="0" borderId="0" xfId="6" applyNumberFormat="1" applyFont="1" applyFill="1" applyBorder="1" applyProtection="1"/>
    <xf numFmtId="0" fontId="5" fillId="0" borderId="0" xfId="16" applyFont="1" applyAlignment="1">
      <alignment horizontal="left" indent="2"/>
    </xf>
    <xf numFmtId="0" fontId="5" fillId="0" borderId="0" xfId="16" applyFont="1"/>
    <xf numFmtId="0" fontId="5" fillId="0" borderId="0" xfId="16" applyFont="1" applyAlignment="1">
      <alignment horizontal="left"/>
    </xf>
    <xf numFmtId="9" fontId="5" fillId="0" borderId="0" xfId="16" applyNumberFormat="1" applyFont="1"/>
    <xf numFmtId="8" fontId="0" fillId="0" borderId="0" xfId="0" applyNumberFormat="1"/>
    <xf numFmtId="0" fontId="5" fillId="0" borderId="0" xfId="0" applyFont="1"/>
    <xf numFmtId="43" fontId="57" fillId="0" borderId="0" xfId="6" applyFont="1" applyFill="1"/>
    <xf numFmtId="43" fontId="57" fillId="0" borderId="0" xfId="6" applyFont="1" applyFill="1" applyBorder="1"/>
    <xf numFmtId="43" fontId="57" fillId="0" borderId="6" xfId="6" applyFont="1" applyFill="1" applyBorder="1"/>
    <xf numFmtId="43" fontId="67" fillId="3" borderId="0" xfId="6" applyFont="1" applyFill="1" applyProtection="1"/>
    <xf numFmtId="164" fontId="57" fillId="0" borderId="6" xfId="0" applyNumberFormat="1" applyFont="1" applyBorder="1"/>
    <xf numFmtId="43" fontId="57" fillId="0" borderId="0" xfId="6" applyFont="1" applyFill="1" applyProtection="1"/>
    <xf numFmtId="6" fontId="57" fillId="0" borderId="0" xfId="18" applyNumberFormat="1" applyFont="1" applyProtection="1"/>
    <xf numFmtId="8" fontId="14" fillId="0" borderId="0" xfId="16" applyNumberFormat="1" applyFont="1"/>
    <xf numFmtId="0" fontId="5" fillId="0" borderId="0" xfId="9" applyFont="1"/>
    <xf numFmtId="175" fontId="86" fillId="3" borderId="24" xfId="7" applyNumberFormat="1" applyFont="1" applyFill="1" applyBorder="1"/>
    <xf numFmtId="175" fontId="86" fillId="3" borderId="14" xfId="7" applyNumberFormat="1" applyFont="1" applyFill="1" applyBorder="1"/>
    <xf numFmtId="9" fontId="88" fillId="0" borderId="0" xfId="14" applyNumberFormat="1"/>
    <xf numFmtId="0" fontId="4" fillId="0" borderId="0" xfId="9" applyFont="1"/>
    <xf numFmtId="164" fontId="88" fillId="5" borderId="28" xfId="6" applyNumberFormat="1" applyFont="1" applyFill="1" applyBorder="1" applyProtection="1">
      <protection locked="0"/>
    </xf>
    <xf numFmtId="0" fontId="5" fillId="0" borderId="0" xfId="16" applyFont="1" applyProtection="1">
      <protection locked="0"/>
    </xf>
    <xf numFmtId="9" fontId="63" fillId="5" borderId="28" xfId="8" applyFont="1" applyFill="1" applyBorder="1" applyProtection="1">
      <protection locked="0"/>
    </xf>
    <xf numFmtId="0" fontId="57" fillId="0" borderId="0" xfId="3" applyFont="1" applyProtection="1">
      <protection locked="0"/>
    </xf>
    <xf numFmtId="0" fontId="137" fillId="0" borderId="40" xfId="0" applyFont="1" applyBorder="1" applyAlignment="1">
      <alignment horizontal="center" vertical="center" wrapText="1"/>
    </xf>
    <xf numFmtId="0" fontId="138" fillId="0" borderId="41" xfId="0" applyFont="1" applyBorder="1" applyAlignment="1">
      <alignment wrapText="1"/>
    </xf>
    <xf numFmtId="0" fontId="57" fillId="0" borderId="0" xfId="0" applyFont="1" applyAlignment="1" applyProtection="1">
      <alignment horizontal="left" indent="2"/>
      <protection locked="0"/>
    </xf>
    <xf numFmtId="44" fontId="57" fillId="0" borderId="0" xfId="7" applyFont="1" applyFill="1" applyBorder="1" applyProtection="1">
      <protection locked="0"/>
    </xf>
    <xf numFmtId="44" fontId="57" fillId="0" borderId="0" xfId="7" applyFont="1" applyFill="1" applyProtection="1"/>
    <xf numFmtId="0" fontId="138" fillId="0" borderId="42" xfId="0" applyFont="1" applyBorder="1" applyAlignment="1">
      <alignment wrapText="1"/>
    </xf>
    <xf numFmtId="0" fontId="128" fillId="0" borderId="0" xfId="0" applyFont="1"/>
    <xf numFmtId="0" fontId="3" fillId="0" borderId="0" xfId="9" applyFont="1"/>
    <xf numFmtId="0" fontId="139" fillId="0" borderId="0" xfId="9" applyFont="1"/>
    <xf numFmtId="0" fontId="2" fillId="0" borderId="0" xfId="9" applyFont="1"/>
    <xf numFmtId="0" fontId="1" fillId="0" borderId="0" xfId="9" applyFont="1"/>
    <xf numFmtId="0" fontId="16" fillId="9" borderId="25" xfId="9" applyFont="1" applyFill="1" applyBorder="1" applyAlignment="1" applyProtection="1">
      <alignment horizontal="center"/>
      <protection locked="0"/>
    </xf>
    <xf numFmtId="0" fontId="16" fillId="9" borderId="26" xfId="9" applyFont="1" applyFill="1" applyBorder="1" applyAlignment="1" applyProtection="1">
      <alignment horizontal="center"/>
      <protection locked="0"/>
    </xf>
    <xf numFmtId="0" fontId="132" fillId="10" borderId="39" xfId="16" applyFont="1" applyFill="1" applyBorder="1" applyAlignment="1">
      <alignment horizontal="center" vertical="center"/>
    </xf>
    <xf numFmtId="0" fontId="132" fillId="10" borderId="39" xfId="16" quotePrefix="1" applyFont="1" applyFill="1" applyBorder="1" applyAlignment="1">
      <alignment horizontal="center" vertical="center"/>
    </xf>
    <xf numFmtId="0" fontId="130" fillId="10" borderId="10" xfId="16" applyFont="1" applyFill="1" applyBorder="1" applyAlignment="1">
      <alignment horizontal="center"/>
    </xf>
    <xf numFmtId="0" fontId="36" fillId="0" borderId="28" xfId="16" applyFont="1" applyBorder="1" applyAlignment="1">
      <alignment horizontal="left" vertical="center" wrapText="1"/>
    </xf>
    <xf numFmtId="0" fontId="42" fillId="0" borderId="28" xfId="16" applyFont="1" applyBorder="1" applyAlignment="1">
      <alignment horizontal="left" vertical="center" wrapText="1"/>
    </xf>
    <xf numFmtId="0" fontId="39" fillId="0" borderId="28" xfId="16" applyFont="1" applyBorder="1" applyAlignment="1">
      <alignment horizontal="left" vertical="center" wrapText="1"/>
    </xf>
    <xf numFmtId="0" fontId="43" fillId="0" borderId="28" xfId="16" applyFont="1" applyBorder="1" applyAlignment="1">
      <alignment horizontal="left" vertical="center" wrapText="1"/>
    </xf>
    <xf numFmtId="0" fontId="38" fillId="0" borderId="28" xfId="16" applyFont="1" applyBorder="1" applyAlignment="1">
      <alignment horizontal="left" vertical="center" wrapText="1"/>
    </xf>
    <xf numFmtId="0" fontId="41" fillId="0" borderId="28" xfId="16" applyFont="1" applyBorder="1" applyAlignment="1">
      <alignment horizontal="left" vertical="center" wrapText="1"/>
    </xf>
    <xf numFmtId="0" fontId="38" fillId="0" borderId="34" xfId="16" applyFont="1" applyBorder="1" applyAlignment="1">
      <alignment horizontal="left" vertical="center" wrapText="1"/>
    </xf>
    <xf numFmtId="0" fontId="42" fillId="0" borderId="34" xfId="16" applyFont="1" applyBorder="1" applyAlignment="1">
      <alignment horizontal="left" vertical="center" wrapText="1"/>
    </xf>
    <xf numFmtId="0" fontId="43" fillId="0" borderId="34" xfId="16" applyFont="1" applyBorder="1" applyAlignment="1">
      <alignment horizontal="left" vertical="center" wrapText="1"/>
    </xf>
    <xf numFmtId="0" fontId="36" fillId="0" borderId="34" xfId="16" applyFont="1" applyBorder="1" applyAlignment="1">
      <alignment horizontal="left" vertical="center" wrapText="1"/>
    </xf>
    <xf numFmtId="0" fontId="36" fillId="10" borderId="29" xfId="16" applyFont="1" applyFill="1" applyBorder="1" applyAlignment="1">
      <alignment horizontal="left" vertical="center" wrapText="1"/>
    </xf>
    <xf numFmtId="0" fontId="36" fillId="10" borderId="30" xfId="16" applyFont="1" applyFill="1" applyBorder="1" applyAlignment="1">
      <alignment horizontal="left" vertical="center" wrapText="1"/>
    </xf>
    <xf numFmtId="0" fontId="36" fillId="10" borderId="33" xfId="16" applyFont="1" applyFill="1" applyBorder="1" applyAlignment="1">
      <alignment horizontal="left" vertical="center" wrapText="1"/>
    </xf>
    <xf numFmtId="0" fontId="38" fillId="10" borderId="33" xfId="16" applyFont="1" applyFill="1" applyBorder="1" applyAlignment="1">
      <alignment horizontal="left" vertical="center" wrapText="1"/>
    </xf>
    <xf numFmtId="0" fontId="38" fillId="10" borderId="30" xfId="16" applyFont="1" applyFill="1" applyBorder="1" applyAlignment="1">
      <alignment horizontal="left" vertical="center" wrapText="1"/>
    </xf>
    <xf numFmtId="0" fontId="36" fillId="0" borderId="35" xfId="16" applyFont="1" applyBorder="1" applyAlignment="1">
      <alignment horizontal="left" vertical="center" wrapText="1"/>
    </xf>
    <xf numFmtId="0" fontId="42" fillId="0" borderId="35" xfId="16" applyFont="1" applyBorder="1" applyAlignment="1">
      <alignment horizontal="left" vertical="center" wrapText="1"/>
    </xf>
    <xf numFmtId="0" fontId="40" fillId="0" borderId="12" xfId="16" applyFont="1" applyBorder="1" applyAlignment="1">
      <alignment horizontal="left" vertical="center" wrapText="1"/>
    </xf>
    <xf numFmtId="0" fontId="41" fillId="0" borderId="14" xfId="16" applyFont="1" applyBorder="1" applyAlignment="1">
      <alignment horizontal="left" vertical="center" wrapText="1"/>
    </xf>
    <xf numFmtId="0" fontId="38" fillId="0" borderId="35" xfId="16" applyFont="1" applyBorder="1" applyAlignment="1">
      <alignment horizontal="left" vertical="center" wrapText="1"/>
    </xf>
    <xf numFmtId="0" fontId="46" fillId="0" borderId="35" xfId="16" applyBorder="1" applyAlignment="1">
      <alignment horizontal="left" vertical="center" wrapText="1"/>
    </xf>
    <xf numFmtId="0" fontId="95" fillId="0" borderId="0" xfId="16" applyFont="1" applyAlignment="1">
      <alignment horizontal="center"/>
    </xf>
    <xf numFmtId="0" fontId="95" fillId="0" borderId="13" xfId="16" applyFont="1" applyBorder="1" applyAlignment="1">
      <alignment horizontal="center"/>
    </xf>
    <xf numFmtId="0" fontId="12" fillId="0" borderId="28" xfId="16" quotePrefix="1" applyFont="1" applyBorder="1" applyAlignment="1">
      <alignment horizontal="left" vertical="center"/>
    </xf>
    <xf numFmtId="0" fontId="42" fillId="0" borderId="28" xfId="16" quotePrefix="1" applyFont="1" applyBorder="1" applyAlignment="1">
      <alignment horizontal="left" vertical="center"/>
    </xf>
    <xf numFmtId="0" fontId="63" fillId="3" borderId="9" xfId="0" applyFont="1" applyFill="1" applyBorder="1" applyAlignment="1">
      <alignment vertical="center" wrapText="1"/>
    </xf>
    <xf numFmtId="0" fontId="0" fillId="3" borderId="19" xfId="0" applyFill="1" applyBorder="1" applyAlignment="1">
      <alignment vertical="center" wrapText="1"/>
    </xf>
    <xf numFmtId="0" fontId="0" fillId="3" borderId="20" xfId="0" applyFill="1" applyBorder="1" applyAlignment="1">
      <alignment vertical="center" wrapText="1"/>
    </xf>
    <xf numFmtId="0" fontId="57" fillId="3" borderId="0" xfId="0" quotePrefix="1" applyFont="1" applyFill="1" applyAlignment="1">
      <alignment vertical="center" wrapText="1"/>
    </xf>
    <xf numFmtId="0" fontId="0" fillId="3" borderId="0" xfId="0" applyFill="1" applyAlignment="1">
      <alignment vertical="center" wrapText="1"/>
    </xf>
    <xf numFmtId="0" fontId="0" fillId="3" borderId="5" xfId="0" applyFill="1" applyBorder="1" applyAlignment="1">
      <alignment vertical="center" wrapText="1"/>
    </xf>
    <xf numFmtId="0" fontId="75" fillId="3" borderId="10" xfId="0" quotePrefix="1" applyFont="1" applyFill="1" applyBorder="1" applyAlignment="1">
      <alignment vertical="center" wrapText="1"/>
    </xf>
    <xf numFmtId="0" fontId="83" fillId="3" borderId="18" xfId="0" applyFont="1" applyFill="1" applyBorder="1" applyAlignment="1">
      <alignment vertical="center" wrapText="1"/>
    </xf>
    <xf numFmtId="0" fontId="83" fillId="3" borderId="0" xfId="0" applyFont="1" applyFill="1" applyAlignment="1">
      <alignment vertical="center" wrapText="1"/>
    </xf>
    <xf numFmtId="0" fontId="83" fillId="3" borderId="2" xfId="0" applyFont="1" applyFill="1" applyBorder="1" applyAlignment="1">
      <alignment vertical="center" wrapText="1"/>
    </xf>
    <xf numFmtId="0" fontId="83" fillId="3" borderId="5" xfId="0" applyFont="1" applyFill="1" applyBorder="1" applyAlignment="1">
      <alignment vertical="center" wrapText="1"/>
    </xf>
    <xf numFmtId="0" fontId="83" fillId="3" borderId="4" xfId="0" applyFont="1" applyFill="1" applyBorder="1" applyAlignment="1">
      <alignment vertical="center" wrapText="1"/>
    </xf>
    <xf numFmtId="0" fontId="57" fillId="3" borderId="21" xfId="0" applyFont="1" applyFill="1" applyBorder="1" applyAlignment="1">
      <alignment vertical="center" wrapText="1"/>
    </xf>
    <xf numFmtId="0" fontId="57" fillId="3" borderId="22" xfId="0" applyFont="1" applyFill="1" applyBorder="1" applyAlignment="1">
      <alignment vertical="center" wrapText="1"/>
    </xf>
    <xf numFmtId="0" fontId="57" fillId="3" borderId="23" xfId="0" applyFont="1" applyFill="1" applyBorder="1" applyAlignment="1">
      <alignment vertical="center" wrapText="1"/>
    </xf>
    <xf numFmtId="0" fontId="63" fillId="0" borderId="9" xfId="0" applyFont="1"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57" fillId="0" borderId="0" xfId="0" applyFont="1" applyAlignment="1">
      <alignment vertical="center" wrapText="1"/>
    </xf>
    <xf numFmtId="0" fontId="0" fillId="0" borderId="0" xfId="0" applyAlignment="1">
      <alignment vertical="center" wrapText="1"/>
    </xf>
    <xf numFmtId="0" fontId="0" fillId="0" borderId="5" xfId="0" applyBorder="1" applyAlignment="1">
      <alignment vertical="center" wrapText="1"/>
    </xf>
    <xf numFmtId="0" fontId="64" fillId="0" borderId="21" xfId="0" applyFont="1"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64" fillId="0" borderId="10" xfId="0" quotePrefix="1" applyFont="1" applyBorder="1" applyAlignment="1">
      <alignment vertical="center" wrapText="1"/>
    </xf>
    <xf numFmtId="0" fontId="0" fillId="0" borderId="18"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64" fillId="3" borderId="10" xfId="0" quotePrefix="1" applyFont="1" applyFill="1" applyBorder="1" applyAlignment="1">
      <alignment wrapText="1"/>
    </xf>
    <xf numFmtId="0" fontId="0" fillId="3" borderId="10" xfId="0" applyFill="1" applyBorder="1" applyAlignment="1">
      <alignment wrapText="1"/>
    </xf>
    <xf numFmtId="0" fontId="0" fillId="3" borderId="0" xfId="0" applyFill="1" applyAlignment="1">
      <alignment wrapText="1"/>
    </xf>
    <xf numFmtId="0" fontId="57" fillId="0" borderId="22" xfId="0" applyFont="1" applyBorder="1" applyAlignment="1">
      <alignment vertical="center" wrapText="1"/>
    </xf>
    <xf numFmtId="0" fontId="57" fillId="0" borderId="23" xfId="0" applyFont="1" applyBorder="1" applyAlignment="1">
      <alignment vertical="center" wrapText="1"/>
    </xf>
    <xf numFmtId="0" fontId="57" fillId="3" borderId="10" xfId="0" quotePrefix="1" applyFont="1" applyFill="1" applyBorder="1" applyAlignment="1">
      <alignment wrapText="1"/>
    </xf>
    <xf numFmtId="0" fontId="64" fillId="3" borderId="0" xfId="0" quotePrefix="1" applyFont="1" applyFill="1" applyAlignment="1">
      <alignment wrapText="1"/>
    </xf>
    <xf numFmtId="0" fontId="0" fillId="3" borderId="5" xfId="0" applyFill="1" applyBorder="1" applyAlignment="1">
      <alignment wrapText="1"/>
    </xf>
    <xf numFmtId="0" fontId="64" fillId="3" borderId="21" xfId="0" applyFont="1" applyFill="1" applyBorder="1" applyAlignment="1">
      <alignment vertical="center" wrapText="1"/>
    </xf>
    <xf numFmtId="0" fontId="0" fillId="3" borderId="22" xfId="0" applyFill="1" applyBorder="1" applyAlignment="1">
      <alignment vertical="center" wrapText="1"/>
    </xf>
    <xf numFmtId="0" fontId="0" fillId="3" borderId="23" xfId="0" applyFill="1" applyBorder="1" applyAlignment="1">
      <alignment vertical="center" wrapText="1"/>
    </xf>
    <xf numFmtId="0" fontId="64" fillId="0" borderId="7" xfId="0" applyFont="1" applyBorder="1" applyAlignment="1">
      <alignment vertical="center"/>
    </xf>
    <xf numFmtId="0" fontId="63" fillId="0" borderId="1" xfId="0" applyFont="1" applyBorder="1" applyAlignment="1">
      <alignment vertical="center"/>
    </xf>
    <xf numFmtId="0" fontId="64" fillId="3" borderId="10" xfId="0" applyFont="1" applyFill="1" applyBorder="1" applyAlignment="1">
      <alignment wrapText="1"/>
    </xf>
    <xf numFmtId="0" fontId="64" fillId="3" borderId="7" xfId="0" applyFont="1" applyFill="1" applyBorder="1" applyAlignment="1">
      <alignment vertical="center"/>
    </xf>
    <xf numFmtId="0" fontId="63" fillId="3" borderId="1" xfId="0" applyFont="1" applyFill="1" applyBorder="1" applyAlignment="1">
      <alignment vertical="center"/>
    </xf>
    <xf numFmtId="0" fontId="63" fillId="0" borderId="7" xfId="0" applyFont="1" applyBorder="1" applyAlignment="1">
      <alignment vertical="center"/>
    </xf>
    <xf numFmtId="0" fontId="64" fillId="0" borderId="10" xfId="0" applyFont="1" applyBorder="1" applyAlignment="1">
      <alignment vertical="center" wrapText="1"/>
    </xf>
    <xf numFmtId="0" fontId="0" fillId="0" borderId="10" xfId="0" applyBorder="1" applyAlignment="1">
      <alignment vertical="center" wrapText="1"/>
    </xf>
    <xf numFmtId="0" fontId="64" fillId="0" borderId="15" xfId="0" applyFont="1" applyBorder="1" applyAlignment="1">
      <alignment vertical="center" wrapText="1"/>
    </xf>
    <xf numFmtId="0" fontId="0" fillId="0" borderId="15" xfId="0" applyBorder="1" applyAlignment="1">
      <alignment vertical="center" wrapText="1"/>
    </xf>
    <xf numFmtId="0" fontId="0" fillId="0" borderId="13" xfId="0" applyBorder="1" applyAlignment="1">
      <alignment vertical="center" wrapText="1"/>
    </xf>
    <xf numFmtId="0" fontId="63" fillId="3" borderId="7" xfId="0" applyFont="1" applyFill="1" applyBorder="1" applyAlignment="1">
      <alignment vertical="center" wrapText="1"/>
    </xf>
    <xf numFmtId="0" fontId="0" fillId="3" borderId="1" xfId="0" applyFill="1" applyBorder="1" applyAlignment="1">
      <alignment vertical="center" wrapText="1"/>
    </xf>
    <xf numFmtId="0" fontId="64" fillId="3" borderId="9" xfId="0" applyFont="1" applyFill="1" applyBorder="1" applyAlignment="1">
      <alignment vertical="center"/>
    </xf>
    <xf numFmtId="0" fontId="0" fillId="3" borderId="19" xfId="0" applyFill="1" applyBorder="1" applyAlignment="1">
      <alignment vertical="center"/>
    </xf>
    <xf numFmtId="0" fontId="64" fillId="0" borderId="9" xfId="0" applyFont="1" applyBorder="1" applyAlignment="1">
      <alignment vertical="center"/>
    </xf>
    <xf numFmtId="0" fontId="0" fillId="0" borderId="19" xfId="0" applyBorder="1" applyAlignment="1">
      <alignment vertical="center"/>
    </xf>
    <xf numFmtId="0" fontId="63" fillId="0" borderId="21" xfId="0" applyFont="1" applyBorder="1" applyAlignment="1">
      <alignment vertical="center"/>
    </xf>
    <xf numFmtId="0" fontId="0" fillId="0" borderId="22" xfId="0" applyBorder="1" applyAlignment="1">
      <alignment vertical="center"/>
    </xf>
    <xf numFmtId="0" fontId="0" fillId="0" borderId="0" xfId="0" applyAlignment="1">
      <alignment horizontal="center"/>
    </xf>
    <xf numFmtId="0" fontId="63" fillId="0" borderId="9" xfId="0" applyFont="1" applyBorder="1" applyAlignment="1">
      <alignment vertical="center"/>
    </xf>
    <xf numFmtId="0" fontId="64" fillId="3" borderId="0" xfId="0" applyFont="1" applyFill="1" applyAlignment="1">
      <alignment wrapText="1"/>
    </xf>
    <xf numFmtId="0" fontId="0" fillId="3" borderId="18" xfId="0" applyFill="1" applyBorder="1" applyAlignment="1">
      <alignment wrapText="1"/>
    </xf>
    <xf numFmtId="0" fontId="0" fillId="3" borderId="2" xfId="0" applyFill="1" applyBorder="1" applyAlignment="1">
      <alignment wrapText="1"/>
    </xf>
    <xf numFmtId="0" fontId="0" fillId="3" borderId="4" xfId="0" applyFill="1" applyBorder="1" applyAlignment="1">
      <alignment wrapText="1"/>
    </xf>
    <xf numFmtId="0" fontId="63" fillId="3" borderId="9" xfId="0" applyFont="1" applyFill="1" applyBorder="1" applyAlignment="1">
      <alignment vertical="center"/>
    </xf>
    <xf numFmtId="0" fontId="64" fillId="0" borderId="0" xfId="0" applyFont="1" applyAlignment="1">
      <alignment vertical="center" wrapText="1"/>
    </xf>
    <xf numFmtId="0" fontId="64" fillId="3" borderId="0" xfId="0" applyFont="1" applyFill="1" applyAlignment="1">
      <alignment vertical="center" wrapText="1"/>
    </xf>
    <xf numFmtId="0" fontId="0" fillId="3" borderId="2" xfId="0" applyFill="1" applyBorder="1" applyAlignment="1">
      <alignment vertical="center" wrapText="1"/>
    </xf>
    <xf numFmtId="0" fontId="63" fillId="0" borderId="19" xfId="0" applyFont="1" applyBorder="1" applyAlignment="1">
      <alignment vertical="center"/>
    </xf>
    <xf numFmtId="0" fontId="57" fillId="0" borderId="10" xfId="0" quotePrefix="1" applyFont="1" applyBorder="1" applyAlignment="1">
      <alignment vertical="center" wrapText="1"/>
    </xf>
    <xf numFmtId="0" fontId="64" fillId="3" borderId="10" xfId="0" quotePrefix="1" applyFont="1" applyFill="1" applyBorder="1" applyAlignment="1">
      <alignment vertical="center" wrapText="1"/>
    </xf>
    <xf numFmtId="0" fontId="0" fillId="3" borderId="10" xfId="0" applyFill="1" applyBorder="1" applyAlignment="1">
      <alignment vertical="center" wrapText="1"/>
    </xf>
    <xf numFmtId="164" fontId="57" fillId="0" borderId="0" xfId="6" applyNumberFormat="1" applyFont="1" applyAlignment="1" applyProtection="1">
      <alignment horizontal="center"/>
      <protection locked="0"/>
    </xf>
    <xf numFmtId="164" fontId="63" fillId="0" borderId="0" xfId="6" applyNumberFormat="1" applyFont="1" applyAlignment="1" applyProtection="1">
      <alignment horizontal="center"/>
      <protection locked="0"/>
    </xf>
    <xf numFmtId="9" fontId="57" fillId="6" borderId="25" xfId="8" applyFont="1" applyFill="1" applyBorder="1" applyAlignment="1" applyProtection="1">
      <alignment horizontal="center"/>
      <protection locked="0"/>
    </xf>
    <xf numFmtId="9" fontId="57" fillId="6" borderId="27" xfId="8" applyFont="1" applyFill="1" applyBorder="1" applyAlignment="1" applyProtection="1">
      <alignment horizontal="center"/>
      <protection locked="0"/>
    </xf>
    <xf numFmtId="9" fontId="57" fillId="6" borderId="26" xfId="8" applyFont="1" applyFill="1" applyBorder="1" applyAlignment="1" applyProtection="1">
      <alignment horizontal="center"/>
      <protection locked="0"/>
    </xf>
    <xf numFmtId="9" fontId="57" fillId="6" borderId="25" xfId="0" applyNumberFormat="1" applyFont="1" applyFill="1" applyBorder="1" applyAlignment="1" applyProtection="1">
      <alignment horizontal="center"/>
      <protection locked="0"/>
    </xf>
    <xf numFmtId="9" fontId="57" fillId="6" borderId="27" xfId="0" applyNumberFormat="1" applyFont="1" applyFill="1" applyBorder="1" applyAlignment="1" applyProtection="1">
      <alignment horizontal="center"/>
      <protection locked="0"/>
    </xf>
    <xf numFmtId="9" fontId="57" fillId="6" borderId="26" xfId="0" applyNumberFormat="1" applyFont="1" applyFill="1" applyBorder="1" applyAlignment="1" applyProtection="1">
      <alignment horizontal="center"/>
      <protection locked="0"/>
    </xf>
    <xf numFmtId="0" fontId="67" fillId="0" borderId="0" xfId="0" applyFont="1" applyAlignment="1">
      <alignment horizontal="center" vertical="center" wrapText="1"/>
    </xf>
    <xf numFmtId="0" fontId="67" fillId="0" borderId="0" xfId="3" applyFont="1" applyAlignment="1">
      <alignment horizontal="center"/>
    </xf>
    <xf numFmtId="0" fontId="67" fillId="0" borderId="7" xfId="3" applyFont="1" applyBorder="1" applyAlignment="1">
      <alignment horizontal="center"/>
    </xf>
    <xf numFmtId="0" fontId="67" fillId="0" borderId="15" xfId="3" applyFont="1" applyBorder="1" applyAlignment="1">
      <alignment horizontal="center"/>
    </xf>
    <xf numFmtId="0" fontId="67" fillId="0" borderId="8" xfId="3" applyFont="1" applyBorder="1" applyAlignment="1">
      <alignment horizontal="center"/>
    </xf>
    <xf numFmtId="0" fontId="63" fillId="5" borderId="25" xfId="3" applyFill="1" applyBorder="1" applyAlignment="1" applyProtection="1">
      <alignment horizontal="center"/>
      <protection locked="0"/>
    </xf>
    <xf numFmtId="0" fontId="63" fillId="5" borderId="26" xfId="3" applyFill="1" applyBorder="1" applyAlignment="1" applyProtection="1">
      <alignment horizontal="center"/>
      <protection locked="0"/>
    </xf>
    <xf numFmtId="164" fontId="67" fillId="0" borderId="7" xfId="6" applyNumberFormat="1" applyFont="1" applyBorder="1" applyAlignment="1" applyProtection="1">
      <alignment horizontal="center"/>
    </xf>
    <xf numFmtId="164" fontId="67" fillId="0" borderId="15" xfId="6" applyNumberFormat="1" applyFont="1" applyBorder="1" applyAlignment="1" applyProtection="1">
      <alignment horizontal="center"/>
    </xf>
    <xf numFmtId="164" fontId="67" fillId="0" borderId="8" xfId="6" applyNumberFormat="1" applyFont="1" applyBorder="1" applyAlignment="1" applyProtection="1">
      <alignment horizontal="center"/>
    </xf>
    <xf numFmtId="0" fontId="88" fillId="5" borderId="28" xfId="6" applyNumberFormat="1" applyFont="1" applyFill="1" applyBorder="1" applyProtection="1">
      <protection locked="0"/>
    </xf>
  </cellXfs>
  <cellStyles count="26">
    <cellStyle name="Comma" xfId="6" builtinId="3"/>
    <cellStyle name="Comma 2" xfId="10" xr:uid="{3BF36CCD-8F02-6349-86B7-AB3E1CE4E4B6}"/>
    <cellStyle name="Comma 2 2" xfId="22" xr:uid="{938FFCC0-4597-274A-939E-15C146C6E13F}"/>
    <cellStyle name="Comma 3" xfId="17" xr:uid="{C0B8FDB2-5E71-1040-BEA5-E7563727D5F7}"/>
    <cellStyle name="Comma 4" xfId="21" xr:uid="{52E98575-403F-6F4B-B945-9ED3713C67BE}"/>
    <cellStyle name="Currency" xfId="7" builtinId="4"/>
    <cellStyle name="Currency 2" xfId="1" xr:uid="{00000000-0005-0000-0000-000000000000}"/>
    <cellStyle name="Currency 3" xfId="12" xr:uid="{E4AA7057-2606-A347-BE9A-5B882626A4A4}"/>
    <cellStyle name="Currency 4" xfId="20" xr:uid="{0E4F0475-A16E-6A44-8E38-0E834E242C4B}"/>
    <cellStyle name="Normal" xfId="0" builtinId="0"/>
    <cellStyle name="Normal 10" xfId="24" xr:uid="{44DEAF0A-54B4-844D-B563-5E36DAA9001E}"/>
    <cellStyle name="Normal 2" xfId="2" xr:uid="{00000000-0005-0000-0000-000003000000}"/>
    <cellStyle name="Normal 2 2" xfId="25" xr:uid="{5D81E89D-1AF3-EE40-B857-99A0D979782E}"/>
    <cellStyle name="Normal 3" xfId="3" xr:uid="{00000000-0005-0000-0000-000004000000}"/>
    <cellStyle name="Normal 4" xfId="5" xr:uid="{DF5E39D2-6465-5647-B633-AD3CA4D6C7C4}"/>
    <cellStyle name="Normal 5" xfId="9" xr:uid="{F8C30A66-18F3-F54F-BF63-48232A72CBEA}"/>
    <cellStyle name="Normal 5 2" xfId="19" xr:uid="{5AF847AD-091B-B44B-A488-805C15D38192}"/>
    <cellStyle name="Normal 6" xfId="13" xr:uid="{7EDF4925-C015-6A4A-88DC-5893D8CF2D0D}"/>
    <cellStyle name="Normal 6 2" xfId="23" xr:uid="{7A4B4949-428B-47D2-BD11-F98421A78469}"/>
    <cellStyle name="Normal 7" xfId="14" xr:uid="{5A3A5084-D026-3B41-9EC6-BD078FECCE30}"/>
    <cellStyle name="Normal 8" xfId="15" xr:uid="{53B5B016-C7F9-CA44-B68D-1DCE9C1FFD33}"/>
    <cellStyle name="Normal 9" xfId="16" xr:uid="{5AE429B0-D34C-2849-AA29-3D37ADEAECEC}"/>
    <cellStyle name="Percent" xfId="8" builtinId="5"/>
    <cellStyle name="Percent 2" xfId="4" xr:uid="{00000000-0005-0000-0000-000005000000}"/>
    <cellStyle name="Percent 3" xfId="11" xr:uid="{C256FDE9-1498-3A48-A654-3A09DBEA3A6B}"/>
    <cellStyle name="Percent 4" xfId="18" xr:uid="{A11245EB-C12C-4D46-B0E2-95AFA5AB7FDA}"/>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66FF"/>
      <color rgb="FFFFFD78"/>
      <color rgb="FFCC0099"/>
      <color rgb="FFFFFD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1A9168-35D4-A141-9B9E-203E1B3B818D}" type="doc">
      <dgm:prSet loTypeId="urn:microsoft.com/office/officeart/2005/8/layout/pyramid1" loCatId="" qsTypeId="urn:microsoft.com/office/officeart/2005/8/quickstyle/simple1" qsCatId="simple" csTypeId="urn:microsoft.com/office/officeart/2005/8/colors/accent1_2" csCatId="accent1" phldr="1"/>
      <dgm:spPr/>
      <dgm:t>
        <a:bodyPr/>
        <a:lstStyle/>
        <a:p>
          <a:endParaRPr lang="en-US"/>
        </a:p>
      </dgm:t>
    </dgm:pt>
    <dgm:pt modelId="{80903677-4F65-AC43-B04B-302A922D81D1}">
      <dgm:prSet phldrT="[Text]"/>
      <dgm:spPr>
        <a:solidFill>
          <a:schemeClr val="accent1">
            <a:hueOff val="0"/>
            <a:satOff val="0"/>
            <a:lumOff val="0"/>
            <a:alpha val="20000"/>
          </a:schemeClr>
        </a:solidFill>
      </dgm:spPr>
      <dgm:t>
        <a:bodyPr/>
        <a:lstStyle/>
        <a:p>
          <a:r>
            <a:rPr lang="en-US"/>
            <a:t>Valuation</a:t>
          </a:r>
        </a:p>
      </dgm:t>
    </dgm:pt>
    <dgm:pt modelId="{D7CDD9D8-51DE-AF43-A21E-458BD02A5F1D}" type="parTrans" cxnId="{DAA59F80-DFE9-DB4B-90E9-0434255D64AD}">
      <dgm:prSet/>
      <dgm:spPr/>
      <dgm:t>
        <a:bodyPr/>
        <a:lstStyle/>
        <a:p>
          <a:endParaRPr lang="en-US"/>
        </a:p>
      </dgm:t>
    </dgm:pt>
    <dgm:pt modelId="{90F4C51D-E7E3-E24C-9A05-F8609B8BA2FB}" type="sibTrans" cxnId="{DAA59F80-DFE9-DB4B-90E9-0434255D64AD}">
      <dgm:prSet/>
      <dgm:spPr/>
      <dgm:t>
        <a:bodyPr/>
        <a:lstStyle/>
        <a:p>
          <a:endParaRPr lang="en-US"/>
        </a:p>
      </dgm:t>
    </dgm:pt>
    <dgm:pt modelId="{F7E89061-F7E7-0D47-8D76-DB301AFAA556}">
      <dgm:prSet phldrT="[Text]"/>
      <dgm:spPr>
        <a:solidFill>
          <a:schemeClr val="accent1">
            <a:hueOff val="0"/>
            <a:satOff val="0"/>
            <a:lumOff val="0"/>
            <a:alpha val="80000"/>
          </a:schemeClr>
        </a:solidFill>
      </dgm:spPr>
      <dgm:t>
        <a:bodyPr/>
        <a:lstStyle/>
        <a:p>
          <a:r>
            <a:rPr lang="en-US"/>
            <a:t>Data Analysis</a:t>
          </a:r>
        </a:p>
      </dgm:t>
    </dgm:pt>
    <dgm:pt modelId="{93E2E571-931A-6545-AD67-089954B525D2}" type="parTrans" cxnId="{C4DE12B0-CFC6-5C45-8CF8-A6178E2576EB}">
      <dgm:prSet/>
      <dgm:spPr/>
      <dgm:t>
        <a:bodyPr/>
        <a:lstStyle/>
        <a:p>
          <a:endParaRPr lang="en-US"/>
        </a:p>
      </dgm:t>
    </dgm:pt>
    <dgm:pt modelId="{3343EDA9-704A-AF4A-9D64-633D9157D000}" type="sibTrans" cxnId="{C4DE12B0-CFC6-5C45-8CF8-A6178E2576EB}">
      <dgm:prSet/>
      <dgm:spPr/>
      <dgm:t>
        <a:bodyPr/>
        <a:lstStyle/>
        <a:p>
          <a:endParaRPr lang="en-US"/>
        </a:p>
      </dgm:t>
    </dgm:pt>
    <dgm:pt modelId="{5B794D7F-4FC3-0949-A2C5-14A0ADD39D3F}">
      <dgm:prSet phldrT="[Text]"/>
      <dgm:spPr/>
      <dgm:t>
        <a:bodyPr/>
        <a:lstStyle/>
        <a:p>
          <a:r>
            <a:rPr lang="en-US"/>
            <a:t>Data Integrity</a:t>
          </a:r>
        </a:p>
      </dgm:t>
    </dgm:pt>
    <dgm:pt modelId="{536CCAA5-BED3-D843-8264-51C3B204EEE2}" type="parTrans" cxnId="{0DB9EB29-2252-1A45-B6BE-8243D5E09906}">
      <dgm:prSet/>
      <dgm:spPr/>
      <dgm:t>
        <a:bodyPr/>
        <a:lstStyle/>
        <a:p>
          <a:endParaRPr lang="en-US"/>
        </a:p>
      </dgm:t>
    </dgm:pt>
    <dgm:pt modelId="{4F38A9C6-6376-7D4F-9817-0F87E3E5D410}" type="sibTrans" cxnId="{0DB9EB29-2252-1A45-B6BE-8243D5E09906}">
      <dgm:prSet/>
      <dgm:spPr/>
      <dgm:t>
        <a:bodyPr/>
        <a:lstStyle/>
        <a:p>
          <a:endParaRPr lang="en-US"/>
        </a:p>
      </dgm:t>
    </dgm:pt>
    <dgm:pt modelId="{4C1F6BFA-BC7A-5C40-B8FA-7CC60C7BC552}">
      <dgm:prSet/>
      <dgm:spPr>
        <a:solidFill>
          <a:srgbClr val="FF0000"/>
        </a:solidFill>
      </dgm:spPr>
      <dgm:t>
        <a:bodyPr/>
        <a:lstStyle/>
        <a:p>
          <a:r>
            <a:rPr lang="en-US"/>
            <a:t>Modeling</a:t>
          </a:r>
        </a:p>
      </dgm:t>
    </dgm:pt>
    <dgm:pt modelId="{8144F9A1-C384-704E-93A3-3A7AC3151A44}" type="parTrans" cxnId="{054D6AB4-4BFE-5C4B-AE37-11793FE4DEF3}">
      <dgm:prSet/>
      <dgm:spPr/>
      <dgm:t>
        <a:bodyPr/>
        <a:lstStyle/>
        <a:p>
          <a:endParaRPr lang="en-US"/>
        </a:p>
      </dgm:t>
    </dgm:pt>
    <dgm:pt modelId="{6F6E9A21-B201-1C45-9D92-1FDACF31FBA3}" type="sibTrans" cxnId="{054D6AB4-4BFE-5C4B-AE37-11793FE4DEF3}">
      <dgm:prSet/>
      <dgm:spPr/>
      <dgm:t>
        <a:bodyPr/>
        <a:lstStyle/>
        <a:p>
          <a:endParaRPr lang="en-US"/>
        </a:p>
      </dgm:t>
    </dgm:pt>
    <dgm:pt modelId="{2099800A-6D9F-5E4E-A6F1-5121542D6637}">
      <dgm:prSet/>
      <dgm:spPr>
        <a:solidFill>
          <a:schemeClr val="accent1">
            <a:hueOff val="0"/>
            <a:satOff val="0"/>
            <a:lumOff val="0"/>
            <a:alpha val="65000"/>
          </a:schemeClr>
        </a:solidFill>
      </dgm:spPr>
      <dgm:t>
        <a:bodyPr/>
        <a:lstStyle/>
        <a:p>
          <a:r>
            <a:rPr lang="en-US"/>
            <a:t>Financial Statement Analysis</a:t>
          </a:r>
        </a:p>
      </dgm:t>
    </dgm:pt>
    <dgm:pt modelId="{117C41EA-5C9F-E740-BA3F-C8E9A9F55348}" type="parTrans" cxnId="{47929EAC-1730-0E48-895E-5656D5BD04C7}">
      <dgm:prSet/>
      <dgm:spPr/>
      <dgm:t>
        <a:bodyPr/>
        <a:lstStyle/>
        <a:p>
          <a:endParaRPr lang="en-US"/>
        </a:p>
      </dgm:t>
    </dgm:pt>
    <dgm:pt modelId="{7093D110-0792-8441-801F-1C56C91EC9FA}" type="sibTrans" cxnId="{47929EAC-1730-0E48-895E-5656D5BD04C7}">
      <dgm:prSet/>
      <dgm:spPr/>
      <dgm:t>
        <a:bodyPr/>
        <a:lstStyle/>
        <a:p>
          <a:endParaRPr lang="en-US"/>
        </a:p>
      </dgm:t>
    </dgm:pt>
    <dgm:pt modelId="{B1B91F12-B529-B848-AAB2-8CF048F755A8}">
      <dgm:prSet/>
      <dgm:spPr>
        <a:solidFill>
          <a:schemeClr val="accent1">
            <a:hueOff val="0"/>
            <a:satOff val="0"/>
            <a:lumOff val="0"/>
            <a:alpha val="35000"/>
          </a:schemeClr>
        </a:solidFill>
      </dgm:spPr>
      <dgm:t>
        <a:bodyPr/>
        <a:lstStyle/>
        <a:p>
          <a:r>
            <a:rPr lang="en-US"/>
            <a:t>Forecasting</a:t>
          </a:r>
        </a:p>
      </dgm:t>
    </dgm:pt>
    <dgm:pt modelId="{56AE7078-91C4-3344-906B-D7AEC6F7E922}" type="parTrans" cxnId="{A094F99C-4B02-5D40-98F3-EB1E995D66B4}">
      <dgm:prSet/>
      <dgm:spPr/>
      <dgm:t>
        <a:bodyPr/>
        <a:lstStyle/>
        <a:p>
          <a:endParaRPr lang="en-US"/>
        </a:p>
      </dgm:t>
    </dgm:pt>
    <dgm:pt modelId="{02FE1D89-FBD5-6846-94ED-7836F66B3D8B}" type="sibTrans" cxnId="{A094F99C-4B02-5D40-98F3-EB1E995D66B4}">
      <dgm:prSet/>
      <dgm:spPr/>
      <dgm:t>
        <a:bodyPr/>
        <a:lstStyle/>
        <a:p>
          <a:endParaRPr lang="en-US"/>
        </a:p>
      </dgm:t>
    </dgm:pt>
    <dgm:pt modelId="{886E6823-9F49-465D-91FB-676EED3DD5D2}">
      <dgm:prSet phldrT="[Text]"/>
      <dgm:spPr>
        <a:solidFill>
          <a:schemeClr val="accent1">
            <a:hueOff val="0"/>
            <a:satOff val="0"/>
            <a:lumOff val="0"/>
            <a:alpha val="20000"/>
          </a:schemeClr>
        </a:solidFill>
      </dgm:spPr>
      <dgm:t>
        <a:bodyPr/>
        <a:lstStyle/>
        <a:p>
          <a:r>
            <a:rPr lang="en-US"/>
            <a:t>Risk</a:t>
          </a:r>
        </a:p>
      </dgm:t>
    </dgm:pt>
    <dgm:pt modelId="{14E55A6A-C0D1-4DBE-A1B6-989C30D86C8E}" type="parTrans" cxnId="{27083877-D659-4AFE-9B22-5F21D75C7BF8}">
      <dgm:prSet/>
      <dgm:spPr/>
      <dgm:t>
        <a:bodyPr/>
        <a:lstStyle/>
        <a:p>
          <a:endParaRPr lang="en-US"/>
        </a:p>
      </dgm:t>
    </dgm:pt>
    <dgm:pt modelId="{520CAD6F-6FE9-40A0-AEAD-4F10C9F0CBB8}" type="sibTrans" cxnId="{27083877-D659-4AFE-9B22-5F21D75C7BF8}">
      <dgm:prSet/>
      <dgm:spPr/>
      <dgm:t>
        <a:bodyPr/>
        <a:lstStyle/>
        <a:p>
          <a:endParaRPr lang="en-US"/>
        </a:p>
      </dgm:t>
    </dgm:pt>
    <dgm:pt modelId="{0117D844-EE8B-DE43-9190-83204D1079F7}" type="pres">
      <dgm:prSet presAssocID="{0C1A9168-35D4-A141-9B9E-203E1B3B818D}" presName="Name0" presStyleCnt="0">
        <dgm:presLayoutVars>
          <dgm:dir/>
          <dgm:animLvl val="lvl"/>
          <dgm:resizeHandles val="exact"/>
        </dgm:presLayoutVars>
      </dgm:prSet>
      <dgm:spPr/>
    </dgm:pt>
    <dgm:pt modelId="{11BE3D3D-EBAC-4118-8618-85B70D1FAC5B}" type="pres">
      <dgm:prSet presAssocID="{886E6823-9F49-465D-91FB-676EED3DD5D2}" presName="Name8" presStyleCnt="0"/>
      <dgm:spPr/>
    </dgm:pt>
    <dgm:pt modelId="{F103A0A8-7332-4D76-82EB-437A2811E53D}" type="pres">
      <dgm:prSet presAssocID="{886E6823-9F49-465D-91FB-676EED3DD5D2}" presName="level" presStyleLbl="node1" presStyleIdx="0" presStyleCnt="7">
        <dgm:presLayoutVars>
          <dgm:chMax val="1"/>
          <dgm:bulletEnabled val="1"/>
        </dgm:presLayoutVars>
      </dgm:prSet>
      <dgm:spPr/>
    </dgm:pt>
    <dgm:pt modelId="{2D9DE92B-D099-4B7B-93B6-DF6ECBFAD8DB}" type="pres">
      <dgm:prSet presAssocID="{886E6823-9F49-465D-91FB-676EED3DD5D2}" presName="levelTx" presStyleLbl="revTx" presStyleIdx="0" presStyleCnt="0">
        <dgm:presLayoutVars>
          <dgm:chMax val="1"/>
          <dgm:bulletEnabled val="1"/>
        </dgm:presLayoutVars>
      </dgm:prSet>
      <dgm:spPr/>
    </dgm:pt>
    <dgm:pt modelId="{3A17AAEC-92BA-E44E-A5C0-9703C8D45AF9}" type="pres">
      <dgm:prSet presAssocID="{80903677-4F65-AC43-B04B-302A922D81D1}" presName="Name8" presStyleCnt="0"/>
      <dgm:spPr/>
    </dgm:pt>
    <dgm:pt modelId="{1F5C1AED-CC50-FE42-83F0-79BE8A3224AC}" type="pres">
      <dgm:prSet presAssocID="{80903677-4F65-AC43-B04B-302A922D81D1}" presName="level" presStyleLbl="node1" presStyleIdx="1" presStyleCnt="7" custScaleX="92710">
        <dgm:presLayoutVars>
          <dgm:chMax val="1"/>
          <dgm:bulletEnabled val="1"/>
        </dgm:presLayoutVars>
      </dgm:prSet>
      <dgm:spPr/>
    </dgm:pt>
    <dgm:pt modelId="{E2ABE91B-CB94-404C-B34C-41D59EBDAC02}" type="pres">
      <dgm:prSet presAssocID="{80903677-4F65-AC43-B04B-302A922D81D1}" presName="levelTx" presStyleLbl="revTx" presStyleIdx="0" presStyleCnt="0">
        <dgm:presLayoutVars>
          <dgm:chMax val="1"/>
          <dgm:bulletEnabled val="1"/>
        </dgm:presLayoutVars>
      </dgm:prSet>
      <dgm:spPr/>
    </dgm:pt>
    <dgm:pt modelId="{B511E404-3FD6-EE4E-BCEE-299A69DB72AD}" type="pres">
      <dgm:prSet presAssocID="{B1B91F12-B529-B848-AAB2-8CF048F755A8}" presName="Name8" presStyleCnt="0"/>
      <dgm:spPr/>
    </dgm:pt>
    <dgm:pt modelId="{BE0A81C7-B8CE-9547-B2F6-2378E967A931}" type="pres">
      <dgm:prSet presAssocID="{B1B91F12-B529-B848-AAB2-8CF048F755A8}" presName="level" presStyleLbl="node1" presStyleIdx="2" presStyleCnt="7">
        <dgm:presLayoutVars>
          <dgm:chMax val="1"/>
          <dgm:bulletEnabled val="1"/>
        </dgm:presLayoutVars>
      </dgm:prSet>
      <dgm:spPr/>
    </dgm:pt>
    <dgm:pt modelId="{0CF606A3-8E62-7F4A-8559-993011DA2AC7}" type="pres">
      <dgm:prSet presAssocID="{B1B91F12-B529-B848-AAB2-8CF048F755A8}" presName="levelTx" presStyleLbl="revTx" presStyleIdx="0" presStyleCnt="0">
        <dgm:presLayoutVars>
          <dgm:chMax val="1"/>
          <dgm:bulletEnabled val="1"/>
        </dgm:presLayoutVars>
      </dgm:prSet>
      <dgm:spPr/>
    </dgm:pt>
    <dgm:pt modelId="{390B368D-25C9-D544-93EC-0E71E913AEBF}" type="pres">
      <dgm:prSet presAssocID="{4C1F6BFA-BC7A-5C40-B8FA-7CC60C7BC552}" presName="Name8" presStyleCnt="0"/>
      <dgm:spPr/>
    </dgm:pt>
    <dgm:pt modelId="{CE84B292-AF04-E341-854B-FB70DF922EA7}" type="pres">
      <dgm:prSet presAssocID="{4C1F6BFA-BC7A-5C40-B8FA-7CC60C7BC552}" presName="level" presStyleLbl="node1" presStyleIdx="3" presStyleCnt="7">
        <dgm:presLayoutVars>
          <dgm:chMax val="1"/>
          <dgm:bulletEnabled val="1"/>
        </dgm:presLayoutVars>
      </dgm:prSet>
      <dgm:spPr/>
    </dgm:pt>
    <dgm:pt modelId="{09029306-63AA-714E-8560-3D1506DC9917}" type="pres">
      <dgm:prSet presAssocID="{4C1F6BFA-BC7A-5C40-B8FA-7CC60C7BC552}" presName="levelTx" presStyleLbl="revTx" presStyleIdx="0" presStyleCnt="0">
        <dgm:presLayoutVars>
          <dgm:chMax val="1"/>
          <dgm:bulletEnabled val="1"/>
        </dgm:presLayoutVars>
      </dgm:prSet>
      <dgm:spPr/>
    </dgm:pt>
    <dgm:pt modelId="{C51FEC50-5310-9445-9BE5-050AC60BF7DD}" type="pres">
      <dgm:prSet presAssocID="{2099800A-6D9F-5E4E-A6F1-5121542D6637}" presName="Name8" presStyleCnt="0"/>
      <dgm:spPr/>
    </dgm:pt>
    <dgm:pt modelId="{154BECE2-091D-5A4D-B89D-D1DCAFC57B9D}" type="pres">
      <dgm:prSet presAssocID="{2099800A-6D9F-5E4E-A6F1-5121542D6637}" presName="level" presStyleLbl="node1" presStyleIdx="4" presStyleCnt="7">
        <dgm:presLayoutVars>
          <dgm:chMax val="1"/>
          <dgm:bulletEnabled val="1"/>
        </dgm:presLayoutVars>
      </dgm:prSet>
      <dgm:spPr/>
    </dgm:pt>
    <dgm:pt modelId="{7011DE01-3BC0-1E43-AF02-447CE3F90D37}" type="pres">
      <dgm:prSet presAssocID="{2099800A-6D9F-5E4E-A6F1-5121542D6637}" presName="levelTx" presStyleLbl="revTx" presStyleIdx="0" presStyleCnt="0">
        <dgm:presLayoutVars>
          <dgm:chMax val="1"/>
          <dgm:bulletEnabled val="1"/>
        </dgm:presLayoutVars>
      </dgm:prSet>
      <dgm:spPr/>
    </dgm:pt>
    <dgm:pt modelId="{3C0AC700-152C-9E4D-AEF7-D1473835B22F}" type="pres">
      <dgm:prSet presAssocID="{F7E89061-F7E7-0D47-8D76-DB301AFAA556}" presName="Name8" presStyleCnt="0"/>
      <dgm:spPr/>
    </dgm:pt>
    <dgm:pt modelId="{7BCEBDE1-3130-5747-BF14-B8C37C2BC613}" type="pres">
      <dgm:prSet presAssocID="{F7E89061-F7E7-0D47-8D76-DB301AFAA556}" presName="level" presStyleLbl="node1" presStyleIdx="5" presStyleCnt="7">
        <dgm:presLayoutVars>
          <dgm:chMax val="1"/>
          <dgm:bulletEnabled val="1"/>
        </dgm:presLayoutVars>
      </dgm:prSet>
      <dgm:spPr/>
    </dgm:pt>
    <dgm:pt modelId="{58B271A1-C15B-2648-B172-D486D913E9BC}" type="pres">
      <dgm:prSet presAssocID="{F7E89061-F7E7-0D47-8D76-DB301AFAA556}" presName="levelTx" presStyleLbl="revTx" presStyleIdx="0" presStyleCnt="0">
        <dgm:presLayoutVars>
          <dgm:chMax val="1"/>
          <dgm:bulletEnabled val="1"/>
        </dgm:presLayoutVars>
      </dgm:prSet>
      <dgm:spPr/>
    </dgm:pt>
    <dgm:pt modelId="{8DF5546C-139B-4448-B1A8-CB509F9C14D5}" type="pres">
      <dgm:prSet presAssocID="{5B794D7F-4FC3-0949-A2C5-14A0ADD39D3F}" presName="Name8" presStyleCnt="0"/>
      <dgm:spPr/>
    </dgm:pt>
    <dgm:pt modelId="{F72DE65E-5BE6-814C-ADD8-6B1CEE956A0C}" type="pres">
      <dgm:prSet presAssocID="{5B794D7F-4FC3-0949-A2C5-14A0ADD39D3F}" presName="level" presStyleLbl="node1" presStyleIdx="6" presStyleCnt="7">
        <dgm:presLayoutVars>
          <dgm:chMax val="1"/>
          <dgm:bulletEnabled val="1"/>
        </dgm:presLayoutVars>
      </dgm:prSet>
      <dgm:spPr/>
    </dgm:pt>
    <dgm:pt modelId="{FFA76BB2-7F40-D646-B2DB-00918190E133}" type="pres">
      <dgm:prSet presAssocID="{5B794D7F-4FC3-0949-A2C5-14A0ADD39D3F}" presName="levelTx" presStyleLbl="revTx" presStyleIdx="0" presStyleCnt="0">
        <dgm:presLayoutVars>
          <dgm:chMax val="1"/>
          <dgm:bulletEnabled val="1"/>
        </dgm:presLayoutVars>
      </dgm:prSet>
      <dgm:spPr/>
    </dgm:pt>
  </dgm:ptLst>
  <dgm:cxnLst>
    <dgm:cxn modelId="{AB319908-2D3F-4F88-88CC-729B536A21F9}" type="presOf" srcId="{886E6823-9F49-465D-91FB-676EED3DD5D2}" destId="{F103A0A8-7332-4D76-82EB-437A2811E53D}" srcOrd="0" destOrd="0" presId="urn:microsoft.com/office/officeart/2005/8/layout/pyramid1"/>
    <dgm:cxn modelId="{6D3F460C-55A5-1E44-B7EA-6921E898267F}" type="presOf" srcId="{F7E89061-F7E7-0D47-8D76-DB301AFAA556}" destId="{58B271A1-C15B-2648-B172-D486D913E9BC}" srcOrd="1" destOrd="0" presId="urn:microsoft.com/office/officeart/2005/8/layout/pyramid1"/>
    <dgm:cxn modelId="{9B6B2421-C66E-D14F-95CE-690EE28F1454}" type="presOf" srcId="{B1B91F12-B529-B848-AAB2-8CF048F755A8}" destId="{BE0A81C7-B8CE-9547-B2F6-2378E967A931}" srcOrd="0" destOrd="0" presId="urn:microsoft.com/office/officeart/2005/8/layout/pyramid1"/>
    <dgm:cxn modelId="{F268AB22-F513-534C-AACA-6238798342E0}" type="presOf" srcId="{F7E89061-F7E7-0D47-8D76-DB301AFAA556}" destId="{7BCEBDE1-3130-5747-BF14-B8C37C2BC613}" srcOrd="0" destOrd="0" presId="urn:microsoft.com/office/officeart/2005/8/layout/pyramid1"/>
    <dgm:cxn modelId="{58EA1C24-75EE-4644-A2C6-BA76759B1AAA}" type="presOf" srcId="{2099800A-6D9F-5E4E-A6F1-5121542D6637}" destId="{7011DE01-3BC0-1E43-AF02-447CE3F90D37}" srcOrd="1" destOrd="0" presId="urn:microsoft.com/office/officeart/2005/8/layout/pyramid1"/>
    <dgm:cxn modelId="{0DB9EB29-2252-1A45-B6BE-8243D5E09906}" srcId="{0C1A9168-35D4-A141-9B9E-203E1B3B818D}" destId="{5B794D7F-4FC3-0949-A2C5-14A0ADD39D3F}" srcOrd="6" destOrd="0" parTransId="{536CCAA5-BED3-D843-8264-51C3B204EEE2}" sibTransId="{4F38A9C6-6376-7D4F-9817-0F87E3E5D410}"/>
    <dgm:cxn modelId="{FF73552B-4D84-4029-92A9-2ECD45DF59DA}" type="presOf" srcId="{886E6823-9F49-465D-91FB-676EED3DD5D2}" destId="{2D9DE92B-D099-4B7B-93B6-DF6ECBFAD8DB}" srcOrd="1" destOrd="0" presId="urn:microsoft.com/office/officeart/2005/8/layout/pyramid1"/>
    <dgm:cxn modelId="{55F7662D-9481-FD45-9431-FB43D2315DAC}" type="presOf" srcId="{2099800A-6D9F-5E4E-A6F1-5121542D6637}" destId="{154BECE2-091D-5A4D-B89D-D1DCAFC57B9D}" srcOrd="0" destOrd="0" presId="urn:microsoft.com/office/officeart/2005/8/layout/pyramid1"/>
    <dgm:cxn modelId="{0DC47F5D-74B4-0E4D-90AE-F4082561AB02}" type="presOf" srcId="{4C1F6BFA-BC7A-5C40-B8FA-7CC60C7BC552}" destId="{CE84B292-AF04-E341-854B-FB70DF922EA7}" srcOrd="0" destOrd="0" presId="urn:microsoft.com/office/officeart/2005/8/layout/pyramid1"/>
    <dgm:cxn modelId="{B93F8B6C-666D-4141-9C11-4D07B60C0C5F}" type="presOf" srcId="{80903677-4F65-AC43-B04B-302A922D81D1}" destId="{E2ABE91B-CB94-404C-B34C-41D59EBDAC02}" srcOrd="1" destOrd="0" presId="urn:microsoft.com/office/officeart/2005/8/layout/pyramid1"/>
    <dgm:cxn modelId="{34281A73-0AA4-584D-BC44-C231E25B6AB0}" type="presOf" srcId="{80903677-4F65-AC43-B04B-302A922D81D1}" destId="{1F5C1AED-CC50-FE42-83F0-79BE8A3224AC}" srcOrd="0" destOrd="0" presId="urn:microsoft.com/office/officeart/2005/8/layout/pyramid1"/>
    <dgm:cxn modelId="{27083877-D659-4AFE-9B22-5F21D75C7BF8}" srcId="{0C1A9168-35D4-A141-9B9E-203E1B3B818D}" destId="{886E6823-9F49-465D-91FB-676EED3DD5D2}" srcOrd="0" destOrd="0" parTransId="{14E55A6A-C0D1-4DBE-A1B6-989C30D86C8E}" sibTransId="{520CAD6F-6FE9-40A0-AEAD-4F10C9F0CBB8}"/>
    <dgm:cxn modelId="{DAA59F80-DFE9-DB4B-90E9-0434255D64AD}" srcId="{0C1A9168-35D4-A141-9B9E-203E1B3B818D}" destId="{80903677-4F65-AC43-B04B-302A922D81D1}" srcOrd="1" destOrd="0" parTransId="{D7CDD9D8-51DE-AF43-A21E-458BD02A5F1D}" sibTransId="{90F4C51D-E7E3-E24C-9A05-F8609B8BA2FB}"/>
    <dgm:cxn modelId="{47656685-2DDC-AF4B-BC33-8AACE4DA2FB6}" type="presOf" srcId="{5B794D7F-4FC3-0949-A2C5-14A0ADD39D3F}" destId="{F72DE65E-5BE6-814C-ADD8-6B1CEE956A0C}" srcOrd="0" destOrd="0" presId="urn:microsoft.com/office/officeart/2005/8/layout/pyramid1"/>
    <dgm:cxn modelId="{3FBBB388-AACE-4B40-8F12-A36DDCB2942E}" type="presOf" srcId="{5B794D7F-4FC3-0949-A2C5-14A0ADD39D3F}" destId="{FFA76BB2-7F40-D646-B2DB-00918190E133}" srcOrd="1" destOrd="0" presId="urn:microsoft.com/office/officeart/2005/8/layout/pyramid1"/>
    <dgm:cxn modelId="{A094F99C-4B02-5D40-98F3-EB1E995D66B4}" srcId="{0C1A9168-35D4-A141-9B9E-203E1B3B818D}" destId="{B1B91F12-B529-B848-AAB2-8CF048F755A8}" srcOrd="2" destOrd="0" parTransId="{56AE7078-91C4-3344-906B-D7AEC6F7E922}" sibTransId="{02FE1D89-FBD5-6846-94ED-7836F66B3D8B}"/>
    <dgm:cxn modelId="{14F0D9A4-D10C-9043-A659-5DA737975F4E}" type="presOf" srcId="{0C1A9168-35D4-A141-9B9E-203E1B3B818D}" destId="{0117D844-EE8B-DE43-9190-83204D1079F7}" srcOrd="0" destOrd="0" presId="urn:microsoft.com/office/officeart/2005/8/layout/pyramid1"/>
    <dgm:cxn modelId="{47929EAC-1730-0E48-895E-5656D5BD04C7}" srcId="{0C1A9168-35D4-A141-9B9E-203E1B3B818D}" destId="{2099800A-6D9F-5E4E-A6F1-5121542D6637}" srcOrd="4" destOrd="0" parTransId="{117C41EA-5C9F-E740-BA3F-C8E9A9F55348}" sibTransId="{7093D110-0792-8441-801F-1C56C91EC9FA}"/>
    <dgm:cxn modelId="{C4DE12B0-CFC6-5C45-8CF8-A6178E2576EB}" srcId="{0C1A9168-35D4-A141-9B9E-203E1B3B818D}" destId="{F7E89061-F7E7-0D47-8D76-DB301AFAA556}" srcOrd="5" destOrd="0" parTransId="{93E2E571-931A-6545-AD67-089954B525D2}" sibTransId="{3343EDA9-704A-AF4A-9D64-633D9157D000}"/>
    <dgm:cxn modelId="{054D6AB4-4BFE-5C4B-AE37-11793FE4DEF3}" srcId="{0C1A9168-35D4-A141-9B9E-203E1B3B818D}" destId="{4C1F6BFA-BC7A-5C40-B8FA-7CC60C7BC552}" srcOrd="3" destOrd="0" parTransId="{8144F9A1-C384-704E-93A3-3A7AC3151A44}" sibTransId="{6F6E9A21-B201-1C45-9D92-1FDACF31FBA3}"/>
    <dgm:cxn modelId="{80B202BE-C4AD-5745-9FAA-8B42588E440A}" type="presOf" srcId="{4C1F6BFA-BC7A-5C40-B8FA-7CC60C7BC552}" destId="{09029306-63AA-714E-8560-3D1506DC9917}" srcOrd="1" destOrd="0" presId="urn:microsoft.com/office/officeart/2005/8/layout/pyramid1"/>
    <dgm:cxn modelId="{5B5BB2E3-CB0E-0E40-A714-B35D971964D8}" type="presOf" srcId="{B1B91F12-B529-B848-AAB2-8CF048F755A8}" destId="{0CF606A3-8E62-7F4A-8559-993011DA2AC7}" srcOrd="1" destOrd="0" presId="urn:microsoft.com/office/officeart/2005/8/layout/pyramid1"/>
    <dgm:cxn modelId="{700E630E-14CE-4049-913E-7FCAB010DE3C}" type="presParOf" srcId="{0117D844-EE8B-DE43-9190-83204D1079F7}" destId="{11BE3D3D-EBAC-4118-8618-85B70D1FAC5B}" srcOrd="0" destOrd="0" presId="urn:microsoft.com/office/officeart/2005/8/layout/pyramid1"/>
    <dgm:cxn modelId="{A5C8C8E2-0EC2-4B6A-8C4F-925589425D07}" type="presParOf" srcId="{11BE3D3D-EBAC-4118-8618-85B70D1FAC5B}" destId="{F103A0A8-7332-4D76-82EB-437A2811E53D}" srcOrd="0" destOrd="0" presId="urn:microsoft.com/office/officeart/2005/8/layout/pyramid1"/>
    <dgm:cxn modelId="{B7E50986-07F2-44A5-8A4C-6C0AE17E4930}" type="presParOf" srcId="{11BE3D3D-EBAC-4118-8618-85B70D1FAC5B}" destId="{2D9DE92B-D099-4B7B-93B6-DF6ECBFAD8DB}" srcOrd="1" destOrd="0" presId="urn:microsoft.com/office/officeart/2005/8/layout/pyramid1"/>
    <dgm:cxn modelId="{A6E95679-1F63-3F46-8B21-EBA63D222AF0}" type="presParOf" srcId="{0117D844-EE8B-DE43-9190-83204D1079F7}" destId="{3A17AAEC-92BA-E44E-A5C0-9703C8D45AF9}" srcOrd="1" destOrd="0" presId="urn:microsoft.com/office/officeart/2005/8/layout/pyramid1"/>
    <dgm:cxn modelId="{6A903208-E034-A64D-B88F-A36C32B8A169}" type="presParOf" srcId="{3A17AAEC-92BA-E44E-A5C0-9703C8D45AF9}" destId="{1F5C1AED-CC50-FE42-83F0-79BE8A3224AC}" srcOrd="0" destOrd="0" presId="urn:microsoft.com/office/officeart/2005/8/layout/pyramid1"/>
    <dgm:cxn modelId="{E1902F88-D15F-9641-9E8E-985E3B2E362F}" type="presParOf" srcId="{3A17AAEC-92BA-E44E-A5C0-9703C8D45AF9}" destId="{E2ABE91B-CB94-404C-B34C-41D59EBDAC02}" srcOrd="1" destOrd="0" presId="urn:microsoft.com/office/officeart/2005/8/layout/pyramid1"/>
    <dgm:cxn modelId="{99637D40-1B10-8F44-9A30-4A17C925275A}" type="presParOf" srcId="{0117D844-EE8B-DE43-9190-83204D1079F7}" destId="{B511E404-3FD6-EE4E-BCEE-299A69DB72AD}" srcOrd="2" destOrd="0" presId="urn:microsoft.com/office/officeart/2005/8/layout/pyramid1"/>
    <dgm:cxn modelId="{4EAE3F51-181E-1646-824F-B0C1783737F5}" type="presParOf" srcId="{B511E404-3FD6-EE4E-BCEE-299A69DB72AD}" destId="{BE0A81C7-B8CE-9547-B2F6-2378E967A931}" srcOrd="0" destOrd="0" presId="urn:microsoft.com/office/officeart/2005/8/layout/pyramid1"/>
    <dgm:cxn modelId="{8912878D-4220-CC4D-92B4-3772EC4B6F10}" type="presParOf" srcId="{B511E404-3FD6-EE4E-BCEE-299A69DB72AD}" destId="{0CF606A3-8E62-7F4A-8559-993011DA2AC7}" srcOrd="1" destOrd="0" presId="urn:microsoft.com/office/officeart/2005/8/layout/pyramid1"/>
    <dgm:cxn modelId="{563AAF9E-3BA0-D740-AD7C-B76B73F034DF}" type="presParOf" srcId="{0117D844-EE8B-DE43-9190-83204D1079F7}" destId="{390B368D-25C9-D544-93EC-0E71E913AEBF}" srcOrd="3" destOrd="0" presId="urn:microsoft.com/office/officeart/2005/8/layout/pyramid1"/>
    <dgm:cxn modelId="{8E6CF59B-B9E7-A14E-ADDC-A02617AD652E}" type="presParOf" srcId="{390B368D-25C9-D544-93EC-0E71E913AEBF}" destId="{CE84B292-AF04-E341-854B-FB70DF922EA7}" srcOrd="0" destOrd="0" presId="urn:microsoft.com/office/officeart/2005/8/layout/pyramid1"/>
    <dgm:cxn modelId="{33275AAF-5515-3F49-980B-96BB62067E97}" type="presParOf" srcId="{390B368D-25C9-D544-93EC-0E71E913AEBF}" destId="{09029306-63AA-714E-8560-3D1506DC9917}" srcOrd="1" destOrd="0" presId="urn:microsoft.com/office/officeart/2005/8/layout/pyramid1"/>
    <dgm:cxn modelId="{D814CA0D-09AE-CF4E-93F9-AC84398AB452}" type="presParOf" srcId="{0117D844-EE8B-DE43-9190-83204D1079F7}" destId="{C51FEC50-5310-9445-9BE5-050AC60BF7DD}" srcOrd="4" destOrd="0" presId="urn:microsoft.com/office/officeart/2005/8/layout/pyramid1"/>
    <dgm:cxn modelId="{F168FC43-A671-184E-ACF2-FC155C03BB15}" type="presParOf" srcId="{C51FEC50-5310-9445-9BE5-050AC60BF7DD}" destId="{154BECE2-091D-5A4D-B89D-D1DCAFC57B9D}" srcOrd="0" destOrd="0" presId="urn:microsoft.com/office/officeart/2005/8/layout/pyramid1"/>
    <dgm:cxn modelId="{6C3B2055-044D-074E-997D-5C13BC5909A5}" type="presParOf" srcId="{C51FEC50-5310-9445-9BE5-050AC60BF7DD}" destId="{7011DE01-3BC0-1E43-AF02-447CE3F90D37}" srcOrd="1" destOrd="0" presId="urn:microsoft.com/office/officeart/2005/8/layout/pyramid1"/>
    <dgm:cxn modelId="{453936B5-71F7-2F46-8B18-8857F2D9EA7D}" type="presParOf" srcId="{0117D844-EE8B-DE43-9190-83204D1079F7}" destId="{3C0AC700-152C-9E4D-AEF7-D1473835B22F}" srcOrd="5" destOrd="0" presId="urn:microsoft.com/office/officeart/2005/8/layout/pyramid1"/>
    <dgm:cxn modelId="{E65C34AB-589D-C545-8292-22AC85D7DABA}" type="presParOf" srcId="{3C0AC700-152C-9E4D-AEF7-D1473835B22F}" destId="{7BCEBDE1-3130-5747-BF14-B8C37C2BC613}" srcOrd="0" destOrd="0" presId="urn:microsoft.com/office/officeart/2005/8/layout/pyramid1"/>
    <dgm:cxn modelId="{273CD03C-B3BB-FC47-B8B4-B142EAF76F01}" type="presParOf" srcId="{3C0AC700-152C-9E4D-AEF7-D1473835B22F}" destId="{58B271A1-C15B-2648-B172-D486D913E9BC}" srcOrd="1" destOrd="0" presId="urn:microsoft.com/office/officeart/2005/8/layout/pyramid1"/>
    <dgm:cxn modelId="{3664CAA4-E652-3840-B153-27D7824C7F54}" type="presParOf" srcId="{0117D844-EE8B-DE43-9190-83204D1079F7}" destId="{8DF5546C-139B-4448-B1A8-CB509F9C14D5}" srcOrd="6" destOrd="0" presId="urn:microsoft.com/office/officeart/2005/8/layout/pyramid1"/>
    <dgm:cxn modelId="{D7C4DC59-814A-0C42-9E3F-0CE6EBAF8E14}" type="presParOf" srcId="{8DF5546C-139B-4448-B1A8-CB509F9C14D5}" destId="{F72DE65E-5BE6-814C-ADD8-6B1CEE956A0C}" srcOrd="0" destOrd="0" presId="urn:microsoft.com/office/officeart/2005/8/layout/pyramid1"/>
    <dgm:cxn modelId="{2967A3A8-A43F-C346-9380-9390E5C08A80}" type="presParOf" srcId="{8DF5546C-139B-4448-B1A8-CB509F9C14D5}" destId="{FFA76BB2-7F40-D646-B2DB-00918190E133}" srcOrd="1" destOrd="0" presId="urn:microsoft.com/office/officeart/2005/8/layout/pyramid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103A0A8-7332-4D76-82EB-437A2811E53D}">
      <dsp:nvSpPr>
        <dsp:cNvPr id="0" name=""/>
        <dsp:cNvSpPr/>
      </dsp:nvSpPr>
      <dsp:spPr>
        <a:xfrm>
          <a:off x="1769382" y="0"/>
          <a:ext cx="589794" cy="405190"/>
        </a:xfrm>
        <a:prstGeom prst="trapezoid">
          <a:avLst>
            <a:gd name="adj" fmla="val 72780"/>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Risk</a:t>
          </a:r>
        </a:p>
      </dsp:txBody>
      <dsp:txXfrm>
        <a:off x="1769382" y="0"/>
        <a:ext cx="589794" cy="405190"/>
      </dsp:txXfrm>
    </dsp:sp>
    <dsp:sp modelId="{1F5C1AED-CC50-FE42-83F0-79BE8A3224AC}">
      <dsp:nvSpPr>
        <dsp:cNvPr id="0" name=""/>
        <dsp:cNvSpPr/>
      </dsp:nvSpPr>
      <dsp:spPr>
        <a:xfrm>
          <a:off x="1517481" y="405190"/>
          <a:ext cx="1093596" cy="405190"/>
        </a:xfrm>
        <a:prstGeom prst="trapezoid">
          <a:avLst>
            <a:gd name="adj" fmla="val 72780"/>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Valuation</a:t>
          </a:r>
        </a:p>
      </dsp:txBody>
      <dsp:txXfrm>
        <a:off x="1708860" y="405190"/>
        <a:ext cx="710837" cy="405190"/>
      </dsp:txXfrm>
    </dsp:sp>
    <dsp:sp modelId="{BE0A81C7-B8CE-9547-B2F6-2378E967A931}">
      <dsp:nvSpPr>
        <dsp:cNvPr id="0" name=""/>
        <dsp:cNvSpPr/>
      </dsp:nvSpPr>
      <dsp:spPr>
        <a:xfrm>
          <a:off x="1179588" y="810381"/>
          <a:ext cx="1769382" cy="405190"/>
        </a:xfrm>
        <a:prstGeom prst="trapezoid">
          <a:avLst>
            <a:gd name="adj" fmla="val 72780"/>
          </a:avLst>
        </a:prstGeom>
        <a:solidFill>
          <a:schemeClr val="accent1">
            <a:hueOff val="0"/>
            <a:satOff val="0"/>
            <a:lumOff val="0"/>
            <a:alpha val="3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Forecasting</a:t>
          </a:r>
        </a:p>
      </dsp:txBody>
      <dsp:txXfrm>
        <a:off x="1489230" y="810381"/>
        <a:ext cx="1150098" cy="405190"/>
      </dsp:txXfrm>
    </dsp:sp>
    <dsp:sp modelId="{CE84B292-AF04-E341-854B-FB70DF922EA7}">
      <dsp:nvSpPr>
        <dsp:cNvPr id="0" name=""/>
        <dsp:cNvSpPr/>
      </dsp:nvSpPr>
      <dsp:spPr>
        <a:xfrm>
          <a:off x="884691" y="1215571"/>
          <a:ext cx="2359176" cy="405190"/>
        </a:xfrm>
        <a:prstGeom prst="trapezoid">
          <a:avLst>
            <a:gd name="adj" fmla="val 72780"/>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Modeling</a:t>
          </a:r>
        </a:p>
      </dsp:txBody>
      <dsp:txXfrm>
        <a:off x="1297547" y="1215571"/>
        <a:ext cx="1533464" cy="405190"/>
      </dsp:txXfrm>
    </dsp:sp>
    <dsp:sp modelId="{154BECE2-091D-5A4D-B89D-D1DCAFC57B9D}">
      <dsp:nvSpPr>
        <dsp:cNvPr id="0" name=""/>
        <dsp:cNvSpPr/>
      </dsp:nvSpPr>
      <dsp:spPr>
        <a:xfrm>
          <a:off x="589794" y="1620762"/>
          <a:ext cx="2948970" cy="405190"/>
        </a:xfrm>
        <a:prstGeom prst="trapezoid">
          <a:avLst>
            <a:gd name="adj" fmla="val 72780"/>
          </a:avLst>
        </a:prstGeom>
        <a:solidFill>
          <a:schemeClr val="accent1">
            <a:hueOff val="0"/>
            <a:satOff val="0"/>
            <a:lumOff val="0"/>
            <a:alpha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Financial Statement Analysis</a:t>
          </a:r>
        </a:p>
      </dsp:txBody>
      <dsp:txXfrm>
        <a:off x="1105864" y="1620762"/>
        <a:ext cx="1916830" cy="405190"/>
      </dsp:txXfrm>
    </dsp:sp>
    <dsp:sp modelId="{7BCEBDE1-3130-5747-BF14-B8C37C2BC613}">
      <dsp:nvSpPr>
        <dsp:cNvPr id="0" name=""/>
        <dsp:cNvSpPr/>
      </dsp:nvSpPr>
      <dsp:spPr>
        <a:xfrm>
          <a:off x="294897" y="2025952"/>
          <a:ext cx="3538764" cy="405190"/>
        </a:xfrm>
        <a:prstGeom prst="trapezoid">
          <a:avLst>
            <a:gd name="adj" fmla="val 72780"/>
          </a:avLst>
        </a:prstGeom>
        <a:solidFill>
          <a:schemeClr val="accent1">
            <a:hueOff val="0"/>
            <a:satOff val="0"/>
            <a:lumOff val="0"/>
            <a:alpha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Analysis</a:t>
          </a:r>
        </a:p>
      </dsp:txBody>
      <dsp:txXfrm>
        <a:off x="914180" y="2025952"/>
        <a:ext cx="2300197" cy="405190"/>
      </dsp:txXfrm>
    </dsp:sp>
    <dsp:sp modelId="{F72DE65E-5BE6-814C-ADD8-6B1CEE956A0C}">
      <dsp:nvSpPr>
        <dsp:cNvPr id="0" name=""/>
        <dsp:cNvSpPr/>
      </dsp:nvSpPr>
      <dsp:spPr>
        <a:xfrm>
          <a:off x="0" y="2431143"/>
          <a:ext cx="4128559" cy="405190"/>
        </a:xfrm>
        <a:prstGeom prst="trapezoid">
          <a:avLst>
            <a:gd name="adj" fmla="val 7278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Integrity</a:t>
          </a:r>
        </a:p>
      </dsp:txBody>
      <dsp:txXfrm>
        <a:off x="722497" y="2431143"/>
        <a:ext cx="2683563" cy="405190"/>
      </dsp:txXfrm>
    </dsp:sp>
  </dsp:spTree>
</dsp:drawing>
</file>

<file path=xl/diagrams/layout1.xml><?xml version="1.0" encoding="utf-8"?>
<dgm:layoutDef xmlns:dgm="http://schemas.openxmlformats.org/drawingml/2006/diagram" xmlns:a="http://schemas.openxmlformats.org/drawingml/2006/main" uniqueId="urn:microsoft.com/office/officeart/2005/8/layout/pyramid1">
  <dgm:title val=""/>
  <dgm:desc val=""/>
  <dgm:catLst>
    <dgm:cat type="pyramid" pri="1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pyra">
          <dgm:param type="linDir" val="fromB"/>
          <dgm:param type="txDir" val="fromT"/>
          <dgm:param type="pyraAcctPos" val="aft"/>
          <dgm:param type="pyraAcctTxMar" val="step"/>
          <dgm:param type="pyraAcctBkgdNode" val="acctBkgd"/>
          <dgm:param type="pyraAcctTxNode" val="acctTx"/>
          <dgm:param type="pyraLvlNode" val="level"/>
        </dgm:alg>
      </dgm:if>
      <dgm:else name="Name3">
        <dgm:alg type="pyra">
          <dgm:param type="linDir" val="fromB"/>
          <dgm:param type="txDir" val="fromT"/>
          <dgm:param type="pyraAcctPos" val="bef"/>
          <dgm:param type="pyraAcctTxMar" val="step"/>
          <dgm:param type="pyraAcctBkgdNode" val="acctBkgd"/>
          <dgm:param type="pyraAcctTxNode" val="acctTx"/>
          <dgm:param type="pyraLvlNode" val="level"/>
        </dgm:alg>
      </dgm:else>
    </dgm:choose>
    <dgm:shape xmlns:r="http://schemas.openxmlformats.org/officeDocument/2006/relationships" r:blip="">
      <dgm:adjLst/>
    </dgm:shape>
    <dgm:presOf/>
    <dgm:choose name="Name4">
      <dgm:if name="Name5" axis="root des" ptType="all node" func="maxDepth" op="gte" val="2">
        <dgm:constrLst>
          <dgm:constr type="primFontSz" for="des" forName="levelTx" op="equ"/>
          <dgm:constr type="secFontSz" for="des" forName="acctTx" op="equ"/>
          <dgm:constr type="pyraAcctRatio" val="0.32"/>
        </dgm:constrLst>
      </dgm:if>
      <dgm:else name="Name6">
        <dgm:constrLst>
          <dgm:constr type="primFontSz" for="des" forName="levelTx" op="equ"/>
          <dgm:constr type="secFontSz" for="des" forName="acctTx" op="equ"/>
          <dgm:constr type="pyraAcctRatio"/>
        </dgm:constrLst>
      </dgm:else>
    </dgm:choose>
    <dgm:ruleLst/>
    <dgm:forEach name="Name7" axis="ch" ptType="node">
      <dgm:layoutNode name="Name8">
        <dgm:alg type="composite">
          <dgm:param type="horzAlign" val="none"/>
        </dgm:alg>
        <dgm:shape xmlns:r="http://schemas.openxmlformats.org/officeDocument/2006/relationships" r:blip="">
          <dgm:adjLst/>
        </dgm:shape>
        <dgm:presOf/>
        <dgm:choose name="Name9">
          <dgm:if name="Name10" axis="self" ptType="node" func="pos" op="equ" val="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dgm:constr type="h" for="ch" forName="levelTx" refType="h" refFor="ch" refForName="level"/>
            </dgm:constrLst>
          </dgm:if>
          <dgm:else name="Name1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fact="0.65"/>
              <dgm:constr type="h" for="ch" forName="levelTx" refType="h" refFor="ch" refForName="level"/>
            </dgm:constrLst>
          </dgm:else>
        </dgm:choose>
        <dgm:ruleLst/>
        <dgm:choose name="Name12">
          <dgm:if name="Name13" axis="ch" ptType="node" func="cnt" op="gte" val="1">
            <dgm:layoutNode name="acctBkgd" styleLbl="alignAcc1">
              <dgm:alg type="sp"/>
              <dgm:shape xmlns:r="http://schemas.openxmlformats.org/officeDocument/2006/relationships" type="nonIsoscelesTrapezoid" r:blip="">
                <dgm:adjLst/>
              </dgm:shape>
              <dgm:presOf axis="des" ptType="node"/>
              <dgm:constrLst/>
              <dgm:ruleLst/>
            </dgm:layoutNode>
            <dgm:layoutNode name="acctTx" styleLbl="alignAcc1">
              <dgm:varLst>
                <dgm:bulletEnabled val="1"/>
              </dgm:varLst>
              <dgm:alg type="tx">
                <dgm:param type="stBulletLvl" val="1"/>
                <dgm:param type="txAnchorVertCh" val="mid"/>
              </dgm:alg>
              <dgm:shape xmlns:r="http://schemas.openxmlformats.org/officeDocument/2006/relationships" type="nonIsoscelesTrapezoid" r:blip="" hideGeom="1">
                <dgm:adjLst/>
              </dgm:shape>
              <dgm:presOf axis="des" ptType="node"/>
              <dgm:constrLst>
                <dgm:constr type="secFontSz" val="65"/>
                <dgm:constr type="primFontSz" refType="secFontSz"/>
                <dgm:constr type="tMarg" refType="secFontSz" fact="0.3"/>
                <dgm:constr type="bMarg" refType="secFontSz" fact="0.3"/>
                <dgm:constr type="lMarg" refType="secFontSz" fact="0.3"/>
                <dgm:constr type="rMarg" refType="secFontSz" fact="0.3"/>
              </dgm:constrLst>
              <dgm:ruleLst>
                <dgm:rule type="secFontSz" val="5" fact="NaN" max="NaN"/>
              </dgm:ruleLst>
            </dgm:layoutNode>
          </dgm:if>
          <dgm:else name="Name14"/>
        </dgm:choose>
        <dgm:layoutNode name="level">
          <dgm:varLst>
            <dgm:chMax val="1"/>
            <dgm:bulletEnabled val="1"/>
          </dgm:varLst>
          <dgm:alg type="sp"/>
          <dgm:shape xmlns:r="http://schemas.openxmlformats.org/officeDocument/2006/relationships" type="trapezoid" r:blip="">
            <dgm:adjLst/>
          </dgm:shape>
          <dgm:presOf axis="self"/>
          <dgm:constrLst>
            <dgm:constr type="h" val="500"/>
            <dgm:constr type="w" val="1"/>
          </dgm:constrLst>
          <dgm:ruleLst/>
        </dgm:layoutNode>
        <dgm:layoutNode name="levelTx" styleLbl="revTx">
          <dgm:varLst>
            <dgm:chMax val="1"/>
            <dgm:bulletEnabled val="1"/>
          </dgm:varLst>
          <dgm:alg type="tx"/>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 type="primFontSz" val="65"/>
          </dgm:constrLst>
          <dgm:ruleLst>
            <dgm:rule type="primFontSz" val="5" fact="NaN" max="NaN"/>
          </dgm:ruleLst>
        </dgm:layoutNode>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148165</xdr:colOff>
      <xdr:row>15</xdr:row>
      <xdr:rowOff>16932</xdr:rowOff>
    </xdr:from>
    <xdr:to>
      <xdr:col>5</xdr:col>
      <xdr:colOff>838199</xdr:colOff>
      <xdr:row>15</xdr:row>
      <xdr:rowOff>2853266</xdr:rowOff>
    </xdr:to>
    <xdr:grpSp>
      <xdr:nvGrpSpPr>
        <xdr:cNvPr id="2" name="Group 1">
          <a:extLst>
            <a:ext uri="{FF2B5EF4-FFF2-40B4-BE49-F238E27FC236}">
              <a16:creationId xmlns:a16="http://schemas.microsoft.com/office/drawing/2014/main" id="{F72919AE-141C-2E4B-9A72-77B2CDB403FD}"/>
            </a:ext>
          </a:extLst>
        </xdr:cNvPr>
        <xdr:cNvGrpSpPr/>
      </xdr:nvGrpSpPr>
      <xdr:grpSpPr>
        <a:xfrm>
          <a:off x="1148290" y="2836332"/>
          <a:ext cx="4128559" cy="2836334"/>
          <a:chOff x="1044814" y="6117840"/>
          <a:chExt cx="4308720" cy="2548142"/>
        </a:xfrm>
      </xdr:grpSpPr>
      <xdr:graphicFrame macro="">
        <xdr:nvGraphicFramePr>
          <xdr:cNvPr id="3" name="Diagram 2">
            <a:extLst>
              <a:ext uri="{FF2B5EF4-FFF2-40B4-BE49-F238E27FC236}">
                <a16:creationId xmlns:a16="http://schemas.microsoft.com/office/drawing/2014/main" id="{886F9E8F-4270-1B4A-9504-62818CBC7731}"/>
              </a:ext>
            </a:extLst>
          </xdr:cNvPr>
          <xdr:cNvGraphicFramePr/>
        </xdr:nvGraphicFramePr>
        <xdr:xfrm>
          <a:off x="1044814" y="6117840"/>
          <a:ext cx="4308720" cy="2548142"/>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sp macro="" textlink="">
        <xdr:nvSpPr>
          <xdr:cNvPr id="4" name="Up-Down Arrow 2">
            <a:extLst>
              <a:ext uri="{FF2B5EF4-FFF2-40B4-BE49-F238E27FC236}">
                <a16:creationId xmlns:a16="http://schemas.microsoft.com/office/drawing/2014/main" id="{F174657B-2BB5-D343-80F6-AED30CE8541A}"/>
              </a:ext>
            </a:extLst>
          </xdr:cNvPr>
          <xdr:cNvSpPr/>
        </xdr:nvSpPr>
        <xdr:spPr>
          <a:xfrm rot="10800000">
            <a:off x="4555063" y="6121400"/>
            <a:ext cx="419097" cy="2501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vert="vert" rtlCol="0" anchor="ctr" anchorCtr="0">
            <a:noAutofit/>
          </a:bodyPr>
          <a:lstStyle/>
          <a:p>
            <a:pPr algn="ctr"/>
            <a:r>
              <a:rPr lang="en-US" sz="1200"/>
              <a:t>Strategy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164</xdr:row>
      <xdr:rowOff>25399</xdr:rowOff>
    </xdr:from>
    <xdr:to>
      <xdr:col>3</xdr:col>
      <xdr:colOff>555456</xdr:colOff>
      <xdr:row>164</xdr:row>
      <xdr:rowOff>1496786</xdr:rowOff>
    </xdr:to>
    <xdr:pic>
      <xdr:nvPicPr>
        <xdr:cNvPr id="2" name="Picture 1">
          <a:extLst>
            <a:ext uri="{FF2B5EF4-FFF2-40B4-BE49-F238E27FC236}">
              <a16:creationId xmlns:a16="http://schemas.microsoft.com/office/drawing/2014/main" id="{2347F61D-EF52-544C-B01D-BB7CDD211E7E}"/>
            </a:ext>
          </a:extLst>
        </xdr:cNvPr>
        <xdr:cNvPicPr>
          <a:picLocks noChangeAspect="1"/>
        </xdr:cNvPicPr>
      </xdr:nvPicPr>
      <xdr:blipFill>
        <a:blip xmlns:r="http://schemas.openxmlformats.org/officeDocument/2006/relationships" r:embed="rId1"/>
        <a:stretch>
          <a:fillRect/>
        </a:stretch>
      </xdr:blipFill>
      <xdr:spPr>
        <a:xfrm>
          <a:off x="838200" y="22549756"/>
          <a:ext cx="2193757" cy="1471387"/>
        </a:xfrm>
        <a:prstGeom prst="rect">
          <a:avLst/>
        </a:prstGeom>
      </xdr:spPr>
    </xdr:pic>
    <xdr:clientData/>
  </xdr:twoCellAnchor>
  <xdr:twoCellAnchor>
    <xdr:from>
      <xdr:col>1</xdr:col>
      <xdr:colOff>25401</xdr:colOff>
      <xdr:row>159</xdr:row>
      <xdr:rowOff>12701</xdr:rowOff>
    </xdr:from>
    <xdr:to>
      <xdr:col>10</xdr:col>
      <xdr:colOff>124663</xdr:colOff>
      <xdr:row>160</xdr:row>
      <xdr:rowOff>2438712</xdr:rowOff>
    </xdr:to>
    <xdr:grpSp>
      <xdr:nvGrpSpPr>
        <xdr:cNvPr id="3" name="Group 2">
          <a:extLst>
            <a:ext uri="{FF2B5EF4-FFF2-40B4-BE49-F238E27FC236}">
              <a16:creationId xmlns:a16="http://schemas.microsoft.com/office/drawing/2014/main" id="{BEB1FBEE-8C62-9946-A3B9-1DD779AF11BE}"/>
            </a:ext>
          </a:extLst>
        </xdr:cNvPr>
        <xdr:cNvGrpSpPr/>
      </xdr:nvGrpSpPr>
      <xdr:grpSpPr>
        <a:xfrm>
          <a:off x="856153" y="26890389"/>
          <a:ext cx="7576029" cy="2590729"/>
          <a:chOff x="850900" y="2260600"/>
          <a:chExt cx="7937500" cy="3500559"/>
        </a:xfrm>
      </xdr:grpSpPr>
      <xdr:pic>
        <xdr:nvPicPr>
          <xdr:cNvPr id="4" name="Picture 3">
            <a:extLst>
              <a:ext uri="{FF2B5EF4-FFF2-40B4-BE49-F238E27FC236}">
                <a16:creationId xmlns:a16="http://schemas.microsoft.com/office/drawing/2014/main" id="{B97182A3-7149-FB4E-BA51-76920FF79EC5}"/>
              </a:ext>
            </a:extLst>
          </xdr:cNvPr>
          <xdr:cNvPicPr>
            <a:picLocks noChangeAspect="1"/>
          </xdr:cNvPicPr>
        </xdr:nvPicPr>
        <xdr:blipFill>
          <a:blip xmlns:r="http://schemas.openxmlformats.org/officeDocument/2006/relationships" r:embed="rId2"/>
          <a:stretch>
            <a:fillRect/>
          </a:stretch>
        </xdr:blipFill>
        <xdr:spPr>
          <a:xfrm>
            <a:off x="850900" y="2451100"/>
            <a:ext cx="7937500" cy="3310059"/>
          </a:xfrm>
          <a:prstGeom prst="rect">
            <a:avLst/>
          </a:prstGeom>
        </xdr:spPr>
      </xdr:pic>
      <xdr:sp macro="" textlink="">
        <xdr:nvSpPr>
          <xdr:cNvPr id="5" name="Donut 4">
            <a:extLst>
              <a:ext uri="{FF2B5EF4-FFF2-40B4-BE49-F238E27FC236}">
                <a16:creationId xmlns:a16="http://schemas.microsoft.com/office/drawing/2014/main" id="{2AE00DB8-CE9A-6946-AF20-754B335046D8}"/>
              </a:ext>
            </a:extLst>
          </xdr:cNvPr>
          <xdr:cNvSpPr/>
        </xdr:nvSpPr>
        <xdr:spPr>
          <a:xfrm>
            <a:off x="5829300" y="3187700"/>
            <a:ext cx="1295400" cy="6223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6" name="Donut 5">
            <a:extLst>
              <a:ext uri="{FF2B5EF4-FFF2-40B4-BE49-F238E27FC236}">
                <a16:creationId xmlns:a16="http://schemas.microsoft.com/office/drawing/2014/main" id="{C42DBBF3-6321-9F4D-B731-C664FBFD1760}"/>
              </a:ext>
            </a:extLst>
          </xdr:cNvPr>
          <xdr:cNvSpPr/>
        </xdr:nvSpPr>
        <xdr:spPr>
          <a:xfrm>
            <a:off x="5715000" y="2260600"/>
            <a:ext cx="9652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7" name="Donut 6">
            <a:extLst>
              <a:ext uri="{FF2B5EF4-FFF2-40B4-BE49-F238E27FC236}">
                <a16:creationId xmlns:a16="http://schemas.microsoft.com/office/drawing/2014/main" id="{1C2391C0-27BB-0544-AA20-F9D6C065A17F}"/>
              </a:ext>
            </a:extLst>
          </xdr:cNvPr>
          <xdr:cNvSpPr/>
        </xdr:nvSpPr>
        <xdr:spPr>
          <a:xfrm>
            <a:off x="1295400" y="2832100"/>
            <a:ext cx="5334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1</xdr:col>
      <xdr:colOff>12700</xdr:colOff>
      <xdr:row>171</xdr:row>
      <xdr:rowOff>25400</xdr:rowOff>
    </xdr:from>
    <xdr:to>
      <xdr:col>4</xdr:col>
      <xdr:colOff>172357</xdr:colOff>
      <xdr:row>171</xdr:row>
      <xdr:rowOff>879559</xdr:rowOff>
    </xdr:to>
    <xdr:pic>
      <xdr:nvPicPr>
        <xdr:cNvPr id="8" name="Picture 7" descr="Window group on the View tab">
          <a:extLst>
            <a:ext uri="{FF2B5EF4-FFF2-40B4-BE49-F238E27FC236}">
              <a16:creationId xmlns:a16="http://schemas.microsoft.com/office/drawing/2014/main" id="{53D5D052-F24F-EB44-8E7C-001E6A1D17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 y="25162329"/>
          <a:ext cx="2636157" cy="854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23375</xdr:colOff>
      <xdr:row>244</xdr:row>
      <xdr:rowOff>38958</xdr:rowOff>
    </xdr:from>
    <xdr:to>
      <xdr:col>5</xdr:col>
      <xdr:colOff>62331</xdr:colOff>
      <xdr:row>244</xdr:row>
      <xdr:rowOff>2290675</xdr:rowOff>
    </xdr:to>
    <xdr:pic>
      <xdr:nvPicPr>
        <xdr:cNvPr id="9" name="Picture 8">
          <a:extLst>
            <a:ext uri="{FF2B5EF4-FFF2-40B4-BE49-F238E27FC236}">
              <a16:creationId xmlns:a16="http://schemas.microsoft.com/office/drawing/2014/main" id="{5A5E8383-817A-2C4D-A4D0-1ED239E604F1}"/>
            </a:ext>
          </a:extLst>
        </xdr:cNvPr>
        <xdr:cNvPicPr>
          <a:picLocks noChangeAspect="1"/>
        </xdr:cNvPicPr>
      </xdr:nvPicPr>
      <xdr:blipFill>
        <a:blip xmlns:r="http://schemas.openxmlformats.org/officeDocument/2006/relationships" r:embed="rId4"/>
        <a:stretch>
          <a:fillRect/>
        </a:stretch>
      </xdr:blipFill>
      <xdr:spPr>
        <a:xfrm>
          <a:off x="849265" y="46203068"/>
          <a:ext cx="3342515" cy="2251717"/>
        </a:xfrm>
        <a:prstGeom prst="rect">
          <a:avLst/>
        </a:prstGeom>
      </xdr:spPr>
    </xdr:pic>
    <xdr:clientData/>
  </xdr:twoCellAnchor>
  <xdr:oneCellAnchor>
    <xdr:from>
      <xdr:col>1</xdr:col>
      <xdr:colOff>18678</xdr:colOff>
      <xdr:row>102</xdr:row>
      <xdr:rowOff>28015</xdr:rowOff>
    </xdr:from>
    <xdr:ext cx="4175684" cy="2111454"/>
    <xdr:pic>
      <xdr:nvPicPr>
        <xdr:cNvPr id="10" name="Picture 9">
          <a:extLst>
            <a:ext uri="{FF2B5EF4-FFF2-40B4-BE49-F238E27FC236}">
              <a16:creationId xmlns:a16="http://schemas.microsoft.com/office/drawing/2014/main" id="{DF3E1212-EA3D-664B-97B1-E8CAED46F946}"/>
            </a:ext>
          </a:extLst>
        </xdr:cNvPr>
        <xdr:cNvPicPr>
          <a:picLocks noChangeAspect="1"/>
        </xdr:cNvPicPr>
      </xdr:nvPicPr>
      <xdr:blipFill>
        <a:blip xmlns:r="http://schemas.openxmlformats.org/officeDocument/2006/relationships" r:embed="rId5"/>
        <a:stretch>
          <a:fillRect/>
        </a:stretch>
      </xdr:blipFill>
      <xdr:spPr>
        <a:xfrm>
          <a:off x="869578" y="22265715"/>
          <a:ext cx="4175684" cy="211145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A8A45-C8B6-C544-BCB3-77DDCE39B6E8}">
  <sheetPr published="0"/>
  <dimension ref="A1:O153"/>
  <sheetViews>
    <sheetView workbookViewId="0">
      <selection activeCell="C9" sqref="C9"/>
    </sheetView>
  </sheetViews>
  <sheetFormatPr defaultColWidth="10.625" defaultRowHeight="15.75"/>
  <cols>
    <col min="1" max="14" width="10.625" style="3"/>
    <col min="15" max="15" width="14.625" hidden="1" customWidth="1"/>
    <col min="16" max="16384" width="10.625" style="3"/>
  </cols>
  <sheetData>
    <row r="1" spans="1:15" customFormat="1" ht="18.75">
      <c r="A1" s="145" t="s">
        <v>1141</v>
      </c>
      <c r="H1" s="1" t="s">
        <v>54</v>
      </c>
      <c r="O1" s="948" t="s">
        <v>1602</v>
      </c>
    </row>
    <row r="2" spans="1:15" customFormat="1" ht="16.5">
      <c r="A2" s="2" t="s">
        <v>757</v>
      </c>
      <c r="O2" s="949">
        <v>23386917</v>
      </c>
    </row>
    <row r="3" spans="1:15" ht="16.5">
      <c r="A3" s="2" t="s">
        <v>1146</v>
      </c>
      <c r="O3" s="953">
        <v>23398311</v>
      </c>
    </row>
    <row r="4" spans="1:15" ht="16.5">
      <c r="A4" s="2" t="str">
        <f ca="1">"Sheet: "&amp;MID(CELL("filename",A1),FIND("]",CELL("filename",A1))+1,255)</f>
        <v>Sheet: ENTER SFAM ID</v>
      </c>
      <c r="O4" s="949">
        <v>23499762</v>
      </c>
    </row>
    <row r="5" spans="1:15" ht="16.5">
      <c r="O5" s="953">
        <v>23561055</v>
      </c>
    </row>
    <row r="6" spans="1:15" ht="16.5">
      <c r="B6" s="738" t="s">
        <v>1285</v>
      </c>
      <c r="O6" s="949">
        <v>23578911</v>
      </c>
    </row>
    <row r="7" spans="1:15" ht="17.25" thickBot="1">
      <c r="O7" s="953">
        <v>23595697</v>
      </c>
    </row>
    <row r="8" spans="1:15" s="742" customFormat="1" ht="15" customHeight="1" thickBot="1">
      <c r="C8" s="959">
        <v>23472093</v>
      </c>
      <c r="D8" s="960"/>
      <c r="O8" s="949">
        <v>23631138</v>
      </c>
    </row>
    <row r="9" spans="1:15" customFormat="1" ht="16.5">
      <c r="O9" s="953">
        <v>23651997</v>
      </c>
    </row>
    <row r="10" spans="1:15" customFormat="1" ht="16.5">
      <c r="B10" s="739" t="s">
        <v>1286</v>
      </c>
      <c r="O10" s="949">
        <v>23673254</v>
      </c>
    </row>
    <row r="11" spans="1:15" customFormat="1" ht="16.5">
      <c r="B11" s="740" t="s">
        <v>1287</v>
      </c>
      <c r="O11" s="953">
        <v>23703427</v>
      </c>
    </row>
    <row r="12" spans="1:15" customFormat="1" ht="16.5">
      <c r="B12" s="824" t="s">
        <v>1305</v>
      </c>
      <c r="O12" s="949">
        <v>23707250</v>
      </c>
    </row>
    <row r="13" spans="1:15" ht="16.5">
      <c r="O13" s="953">
        <v>23714667</v>
      </c>
    </row>
    <row r="14" spans="1:15" ht="16.5">
      <c r="O14" s="949">
        <v>23729012</v>
      </c>
    </row>
    <row r="15" spans="1:15" ht="16.5">
      <c r="B15" s="954"/>
      <c r="O15" s="953">
        <v>23733415</v>
      </c>
    </row>
    <row r="16" spans="1:15" ht="16.5">
      <c r="A16" s="827"/>
      <c r="B16" s="825"/>
      <c r="O16" s="949">
        <v>23734109</v>
      </c>
    </row>
    <row r="17" spans="1:15" ht="16.5">
      <c r="A17" s="827"/>
      <c r="B17" s="825"/>
      <c r="O17" s="953">
        <v>23751880</v>
      </c>
    </row>
    <row r="18" spans="1:15" ht="16.5">
      <c r="A18" s="827"/>
      <c r="B18" s="825"/>
      <c r="O18" s="949">
        <v>23754600</v>
      </c>
    </row>
    <row r="19" spans="1:15" ht="16.5">
      <c r="A19" s="827"/>
      <c r="B19" s="825"/>
      <c r="O19" s="953">
        <v>23759318</v>
      </c>
    </row>
    <row r="20" spans="1:15" ht="16.5">
      <c r="A20" s="827"/>
      <c r="B20" s="904"/>
      <c r="O20" s="949">
        <v>23759547</v>
      </c>
    </row>
    <row r="21" spans="1:15" ht="16.5">
      <c r="A21" s="827"/>
      <c r="B21" s="904"/>
      <c r="O21" s="953">
        <v>23762016</v>
      </c>
    </row>
    <row r="22" spans="1:15" ht="16.5">
      <c r="A22" s="827"/>
      <c r="B22" s="904"/>
      <c r="O22" s="949">
        <v>23769067</v>
      </c>
    </row>
    <row r="23" spans="1:15" ht="16.5">
      <c r="A23" s="827"/>
      <c r="B23" s="825"/>
      <c r="O23" s="953">
        <v>23780261</v>
      </c>
    </row>
    <row r="24" spans="1:15" ht="16.5">
      <c r="A24" s="916"/>
      <c r="B24" s="825"/>
      <c r="O24" s="949">
        <v>23782731</v>
      </c>
    </row>
    <row r="25" spans="1:15" ht="16.5">
      <c r="A25" s="916"/>
      <c r="B25" s="825"/>
      <c r="O25" s="953">
        <v>23803510</v>
      </c>
    </row>
    <row r="26" spans="1:15" ht="16.5">
      <c r="A26" s="917"/>
      <c r="B26" s="825"/>
      <c r="O26" s="949">
        <v>23812569</v>
      </c>
    </row>
    <row r="27" spans="1:15" ht="16.5">
      <c r="A27" s="916"/>
      <c r="B27" s="930"/>
      <c r="O27" s="953">
        <v>23813514</v>
      </c>
    </row>
    <row r="28" spans="1:15" ht="16.5">
      <c r="A28" s="828"/>
      <c r="B28" s="826"/>
      <c r="O28" s="949">
        <v>23822928</v>
      </c>
    </row>
    <row r="29" spans="1:15" ht="16.5">
      <c r="A29" s="827"/>
      <c r="B29" s="826"/>
      <c r="O29" s="953">
        <v>23823074</v>
      </c>
    </row>
    <row r="30" spans="1:15" ht="16.5">
      <c r="A30" s="827"/>
      <c r="B30" s="826"/>
      <c r="O30" s="949">
        <v>23835203</v>
      </c>
    </row>
    <row r="31" spans="1:15" ht="16.5">
      <c r="O31" s="953">
        <v>23842324</v>
      </c>
    </row>
    <row r="32" spans="1:15" ht="16.5">
      <c r="B32" s="943"/>
      <c r="O32" s="949">
        <v>23842561</v>
      </c>
    </row>
    <row r="33" spans="2:15" ht="16.5">
      <c r="B33" s="955"/>
      <c r="O33" s="953">
        <v>23843592</v>
      </c>
    </row>
    <row r="34" spans="2:15" ht="16.5">
      <c r="O34" s="949">
        <v>23844654</v>
      </c>
    </row>
    <row r="35" spans="2:15" ht="16.5">
      <c r="B35" s="624"/>
      <c r="O35" s="953">
        <v>23849560</v>
      </c>
    </row>
    <row r="36" spans="2:15" ht="16.5">
      <c r="O36" s="949">
        <v>23854470</v>
      </c>
    </row>
    <row r="37" spans="2:15" ht="16.5">
      <c r="B37" s="956"/>
      <c r="O37" s="953">
        <v>23871811</v>
      </c>
    </row>
    <row r="38" spans="2:15" ht="16.5">
      <c r="O38" s="949">
        <v>23872216</v>
      </c>
    </row>
    <row r="39" spans="2:15" ht="16.5">
      <c r="O39" s="953">
        <v>23874624</v>
      </c>
    </row>
    <row r="40" spans="2:15" ht="16.5">
      <c r="B40" s="957"/>
      <c r="O40" s="949">
        <v>23904427</v>
      </c>
    </row>
    <row r="41" spans="2:15" ht="16.5">
      <c r="O41" s="953">
        <v>23910253</v>
      </c>
    </row>
    <row r="42" spans="2:15" ht="16.5">
      <c r="B42" s="958"/>
      <c r="O42" s="949">
        <v>23917572</v>
      </c>
    </row>
    <row r="43" spans="2:15" ht="16.5">
      <c r="O43" s="953">
        <v>23918564</v>
      </c>
    </row>
    <row r="44" spans="2:15" ht="16.5">
      <c r="O44" s="949">
        <v>23920254</v>
      </c>
    </row>
    <row r="45" spans="2:15" ht="16.5">
      <c r="O45" s="953">
        <v>23924225</v>
      </c>
    </row>
    <row r="46" spans="2:15" ht="16.5">
      <c r="O46" s="949">
        <v>23925431</v>
      </c>
    </row>
    <row r="47" spans="2:15" ht="16.5">
      <c r="O47" s="953">
        <v>23928585</v>
      </c>
    </row>
    <row r="48" spans="2:15" ht="16.5">
      <c r="O48" s="949">
        <v>23929207</v>
      </c>
    </row>
    <row r="49" spans="15:15" ht="16.5">
      <c r="O49" s="953">
        <v>23929374</v>
      </c>
    </row>
    <row r="50" spans="15:15" ht="16.5">
      <c r="O50" s="949">
        <v>23934028</v>
      </c>
    </row>
    <row r="51" spans="15:15" ht="16.5">
      <c r="O51" s="953">
        <v>23934076</v>
      </c>
    </row>
    <row r="52" spans="15:15" ht="16.5">
      <c r="O52" s="949">
        <v>23934886</v>
      </c>
    </row>
    <row r="53" spans="15:15" ht="16.5">
      <c r="O53" s="953">
        <v>23935265</v>
      </c>
    </row>
    <row r="54" spans="15:15" ht="16.5">
      <c r="O54" s="949">
        <v>23937225</v>
      </c>
    </row>
    <row r="55" spans="15:15" ht="16.5">
      <c r="O55" s="953">
        <v>23943074</v>
      </c>
    </row>
    <row r="56" spans="15:15" ht="16.5">
      <c r="O56" s="949">
        <v>23945002</v>
      </c>
    </row>
    <row r="57" spans="15:15" ht="16.5">
      <c r="O57" s="953">
        <v>23946436</v>
      </c>
    </row>
    <row r="58" spans="15:15" ht="16.5">
      <c r="O58" s="949">
        <v>23950552</v>
      </c>
    </row>
    <row r="59" spans="15:15" ht="16.5">
      <c r="O59" s="953">
        <v>23969016</v>
      </c>
    </row>
    <row r="60" spans="15:15" ht="16.5">
      <c r="O60" s="949">
        <v>23978619</v>
      </c>
    </row>
    <row r="61" spans="15:15" ht="16.5">
      <c r="O61" s="953">
        <v>23992972</v>
      </c>
    </row>
    <row r="62" spans="15:15" ht="16.5">
      <c r="O62" s="949">
        <v>24007125</v>
      </c>
    </row>
    <row r="63" spans="15:15" ht="16.5">
      <c r="O63" s="953">
        <v>24017730</v>
      </c>
    </row>
    <row r="64" spans="15:15" ht="16.5">
      <c r="O64" s="949">
        <v>24035492</v>
      </c>
    </row>
    <row r="65" spans="15:15" ht="16.5">
      <c r="O65" s="953">
        <v>24038632</v>
      </c>
    </row>
    <row r="66" spans="15:15" ht="16.5">
      <c r="O66" s="949">
        <v>24043620</v>
      </c>
    </row>
    <row r="67" spans="15:15" ht="16.5">
      <c r="O67" s="953">
        <v>24044430</v>
      </c>
    </row>
    <row r="68" spans="15:15" ht="16.5">
      <c r="O68" s="949">
        <v>24055922</v>
      </c>
    </row>
    <row r="69" spans="15:15" ht="16.5">
      <c r="O69" s="953">
        <v>24056685</v>
      </c>
    </row>
    <row r="70" spans="15:15" ht="16.5">
      <c r="O70" s="949">
        <v>24056718</v>
      </c>
    </row>
    <row r="71" spans="15:15" ht="16.5">
      <c r="O71" s="953">
        <v>24057041</v>
      </c>
    </row>
    <row r="72" spans="15:15" ht="16.5">
      <c r="O72" s="949">
        <v>24065594</v>
      </c>
    </row>
    <row r="73" spans="15:15" ht="16.5">
      <c r="O73" s="953">
        <v>24066585</v>
      </c>
    </row>
    <row r="74" spans="15:15" ht="16.5">
      <c r="O74" s="949">
        <v>24073336</v>
      </c>
    </row>
    <row r="75" spans="15:15" ht="16.5">
      <c r="O75" s="953">
        <v>24084828</v>
      </c>
    </row>
    <row r="76" spans="15:15" ht="16.5">
      <c r="O76" s="949">
        <v>24091997</v>
      </c>
    </row>
    <row r="77" spans="15:15" ht="16.5">
      <c r="O77" s="953">
        <v>24149799</v>
      </c>
    </row>
    <row r="78" spans="15:15" ht="16.5">
      <c r="O78" s="949">
        <v>24170844</v>
      </c>
    </row>
    <row r="79" spans="15:15" ht="16.5">
      <c r="O79" s="953">
        <v>24199537</v>
      </c>
    </row>
    <row r="80" spans="15:15" ht="16.5">
      <c r="O80" s="949">
        <v>24229486</v>
      </c>
    </row>
    <row r="81" spans="15:15" ht="16.5">
      <c r="O81" s="953">
        <v>23283973</v>
      </c>
    </row>
    <row r="82" spans="15:15" ht="16.5">
      <c r="O82" s="949">
        <v>23472093</v>
      </c>
    </row>
    <row r="83" spans="15:15" ht="16.5">
      <c r="O83" s="953">
        <v>23491006</v>
      </c>
    </row>
    <row r="84" spans="15:15" ht="16.5">
      <c r="O84" s="949">
        <v>23540820</v>
      </c>
    </row>
    <row r="85" spans="15:15" ht="16.5">
      <c r="O85" s="953">
        <v>23634974</v>
      </c>
    </row>
    <row r="86" spans="15:15" ht="16.5">
      <c r="O86" s="949">
        <v>23668396</v>
      </c>
    </row>
    <row r="87" spans="15:15" ht="16.5">
      <c r="O87" s="953">
        <v>23726275</v>
      </c>
    </row>
    <row r="88" spans="15:15" ht="16.5">
      <c r="O88" s="949">
        <v>23727926</v>
      </c>
    </row>
    <row r="89" spans="15:15" ht="16.5">
      <c r="O89" s="953">
        <v>23730625</v>
      </c>
    </row>
    <row r="90" spans="15:15" ht="16.5">
      <c r="O90" s="949">
        <v>23758005</v>
      </c>
    </row>
    <row r="91" spans="15:15" ht="16.5">
      <c r="O91" s="953">
        <v>23760329</v>
      </c>
    </row>
    <row r="92" spans="15:15" ht="16.5">
      <c r="O92" s="949">
        <v>23762170</v>
      </c>
    </row>
    <row r="93" spans="15:15" ht="16.5">
      <c r="O93" s="953">
        <v>23817802</v>
      </c>
    </row>
    <row r="94" spans="15:15" ht="16.5">
      <c r="O94" s="949">
        <v>23826503</v>
      </c>
    </row>
    <row r="95" spans="15:15" ht="16.5">
      <c r="O95" s="953">
        <v>23840398</v>
      </c>
    </row>
    <row r="96" spans="15:15" ht="16.5">
      <c r="O96" s="949">
        <v>23843931</v>
      </c>
    </row>
    <row r="97" spans="15:15" ht="16.5">
      <c r="O97" s="953">
        <v>23852100</v>
      </c>
    </row>
    <row r="98" spans="15:15" ht="16.5">
      <c r="O98" s="949">
        <v>23855360</v>
      </c>
    </row>
    <row r="99" spans="15:15" ht="16.5">
      <c r="O99" s="953">
        <v>23883670</v>
      </c>
    </row>
    <row r="100" spans="15:15" ht="16.5">
      <c r="O100" s="949">
        <v>23893492</v>
      </c>
    </row>
    <row r="101" spans="15:15" ht="16.5">
      <c r="O101" s="953">
        <v>23916948</v>
      </c>
    </row>
    <row r="102" spans="15:15" ht="16.5">
      <c r="O102" s="949">
        <v>23917413</v>
      </c>
    </row>
    <row r="103" spans="15:15" ht="16.5">
      <c r="O103" s="953">
        <v>23919528</v>
      </c>
    </row>
    <row r="104" spans="15:15" ht="16.5">
      <c r="O104" s="949">
        <v>23933973</v>
      </c>
    </row>
    <row r="105" spans="15:15" ht="16.5">
      <c r="O105" s="953">
        <v>23949119</v>
      </c>
    </row>
    <row r="106" spans="15:15" ht="16.5">
      <c r="O106" s="949">
        <v>23951150</v>
      </c>
    </row>
    <row r="107" spans="15:15" ht="16.5">
      <c r="O107" s="953">
        <v>23953830</v>
      </c>
    </row>
    <row r="108" spans="15:15" ht="16.5">
      <c r="O108" s="949">
        <v>23958314</v>
      </c>
    </row>
    <row r="109" spans="15:15" ht="16.5">
      <c r="O109" s="953">
        <v>23959926</v>
      </c>
    </row>
    <row r="110" spans="15:15" ht="16.5">
      <c r="O110" s="949">
        <v>23965249</v>
      </c>
    </row>
    <row r="111" spans="15:15" ht="16.5">
      <c r="O111" s="953">
        <v>23966589</v>
      </c>
    </row>
    <row r="112" spans="15:15" ht="16.5">
      <c r="O112" s="949">
        <v>23969552</v>
      </c>
    </row>
    <row r="113" spans="15:15" ht="16.5">
      <c r="O113" s="953">
        <v>23987538</v>
      </c>
    </row>
    <row r="114" spans="15:15" ht="16.5">
      <c r="O114" s="949">
        <v>23989118</v>
      </c>
    </row>
    <row r="115" spans="15:15" ht="16.5">
      <c r="O115" s="953">
        <v>23995422</v>
      </c>
    </row>
    <row r="116" spans="15:15" ht="16.5">
      <c r="O116" s="949">
        <v>24012108</v>
      </c>
    </row>
    <row r="117" spans="15:15" ht="16.5">
      <c r="O117" s="953">
        <v>24015492</v>
      </c>
    </row>
    <row r="118" spans="15:15" ht="16.5">
      <c r="O118" s="949">
        <v>24019568</v>
      </c>
    </row>
    <row r="119" spans="15:15" ht="16.5">
      <c r="O119" s="953">
        <v>24021299</v>
      </c>
    </row>
    <row r="120" spans="15:15" ht="16.5">
      <c r="O120" s="949">
        <v>24021610</v>
      </c>
    </row>
    <row r="121" spans="15:15" ht="16.5">
      <c r="O121" s="953">
        <v>24031555</v>
      </c>
    </row>
    <row r="122" spans="15:15" ht="16.5">
      <c r="O122" s="949">
        <v>24032488</v>
      </c>
    </row>
    <row r="123" spans="15:15" ht="16.5">
      <c r="O123" s="953">
        <v>24034035</v>
      </c>
    </row>
    <row r="124" spans="15:15" ht="16.5">
      <c r="O124" s="949">
        <v>24035284</v>
      </c>
    </row>
    <row r="125" spans="15:15" ht="16.5">
      <c r="O125" s="953">
        <v>24039073</v>
      </c>
    </row>
    <row r="126" spans="15:15" ht="16.5">
      <c r="O126" s="949">
        <v>24044179</v>
      </c>
    </row>
    <row r="127" spans="15:15" ht="16.5">
      <c r="O127" s="953">
        <v>24048551</v>
      </c>
    </row>
    <row r="128" spans="15:15" ht="16.5">
      <c r="O128" s="949">
        <v>24053114</v>
      </c>
    </row>
    <row r="129" spans="15:15" ht="16.5">
      <c r="O129" s="953">
        <v>24054671</v>
      </c>
    </row>
    <row r="130" spans="15:15" ht="16.5">
      <c r="O130" s="949">
        <v>24056130</v>
      </c>
    </row>
    <row r="131" spans="15:15" ht="16.5">
      <c r="O131" s="953">
        <v>24058674</v>
      </c>
    </row>
    <row r="132" spans="15:15" ht="16.5">
      <c r="O132" s="949">
        <v>24059614</v>
      </c>
    </row>
    <row r="133" spans="15:15" ht="16.5">
      <c r="O133" s="953">
        <v>24060140</v>
      </c>
    </row>
    <row r="134" spans="15:15" ht="16.5">
      <c r="O134" s="949">
        <v>24068785</v>
      </c>
    </row>
    <row r="135" spans="15:15" ht="16.5">
      <c r="O135" s="953">
        <v>24072692</v>
      </c>
    </row>
    <row r="136" spans="15:15" ht="16.5">
      <c r="O136" s="949">
        <v>24073048</v>
      </c>
    </row>
    <row r="137" spans="15:15" ht="16.5">
      <c r="O137" s="953">
        <v>24083570</v>
      </c>
    </row>
    <row r="138" spans="15:15" ht="16.5">
      <c r="O138" s="949">
        <v>24090248</v>
      </c>
    </row>
    <row r="139" spans="15:15" ht="16.5">
      <c r="O139" s="953">
        <v>24095586</v>
      </c>
    </row>
    <row r="140" spans="15:15" ht="16.5">
      <c r="O140" s="949">
        <v>24097689</v>
      </c>
    </row>
    <row r="141" spans="15:15" ht="16.5">
      <c r="O141" s="953">
        <v>24108864</v>
      </c>
    </row>
    <row r="142" spans="15:15" ht="16.5">
      <c r="O142" s="949">
        <v>24180181</v>
      </c>
    </row>
    <row r="143" spans="15:15" ht="16.5">
      <c r="O143" s="953">
        <v>24188977</v>
      </c>
    </row>
    <row r="144" spans="15:15" ht="16.5">
      <c r="O144" s="949">
        <v>24189948</v>
      </c>
    </row>
    <row r="145" spans="15:15" ht="16.5">
      <c r="O145" s="953">
        <v>24263766</v>
      </c>
    </row>
    <row r="146" spans="15:15" ht="16.5">
      <c r="O146" s="949">
        <v>23187403</v>
      </c>
    </row>
    <row r="147" spans="15:15" ht="16.5">
      <c r="O147" s="953">
        <v>23776655</v>
      </c>
    </row>
    <row r="148" spans="15:15" ht="16.5">
      <c r="O148" s="949">
        <v>24040249</v>
      </c>
    </row>
    <row r="149" spans="15:15" ht="16.5">
      <c r="O149" s="953">
        <v>24050078</v>
      </c>
    </row>
    <row r="150" spans="15:15" ht="16.5">
      <c r="O150" s="949">
        <v>24051863</v>
      </c>
    </row>
    <row r="151" spans="15:15" ht="16.5">
      <c r="O151" s="953">
        <v>24075344</v>
      </c>
    </row>
    <row r="152" spans="15:15" ht="16.5">
      <c r="O152" s="949">
        <v>24113675</v>
      </c>
    </row>
    <row r="153" spans="15:15" ht="16.5">
      <c r="O153" s="953">
        <v>24216229</v>
      </c>
    </row>
  </sheetData>
  <sheetProtection algorithmName="SHA-512" hashValue="dGmMm6aNw1rK2IuNCC1UcHrmdyg26zeYOzm+QSMha7hKVPJ57ChidXa/OtixIsW3fDX5Ozd8KVcactlHaXdOzQ==" saltValue="l7Y/GwDAyjchEUqx/jkPZQ==" spinCount="100000" sheet="1" objects="1" scenarios="1"/>
  <mergeCells count="1">
    <mergeCell ref="C8:D8"/>
  </mergeCells>
  <dataValidations count="1">
    <dataValidation type="list" errorStyle="warning" showDropDown="1" showInputMessage="1" showErrorMessage="1" errorTitle="Invalid SFAM ID" error="Your entry is not included in our list of enrolled SFAM IDs. Please validate that the value you have entered is your correct SFAM ID (Employee Number)." promptTitle="Enter your SFAM ID" prompt="For CUNY this is your Employee ID" sqref="C8:D8" xr:uid="{D02A027D-9589-4644-BF56-78808F7D6485}">
      <formula1>$O:$O</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2A359-A911-F34F-A8B0-82D9A42E2F04}">
  <dimension ref="A1:AR461"/>
  <sheetViews>
    <sheetView topLeftCell="A425" zoomScaleNormal="100" workbookViewId="0">
      <selection activeCell="A461" sqref="A461:XFD461"/>
    </sheetView>
  </sheetViews>
  <sheetFormatPr defaultColWidth="11" defaultRowHeight="15.75"/>
  <cols>
    <col min="1" max="1" width="13.125" bestFit="1" customWidth="1"/>
    <col min="5" max="5" width="12.125" bestFit="1" customWidth="1"/>
    <col min="6" max="6" width="11.5" customWidth="1"/>
    <col min="7" max="7" width="12" customWidth="1"/>
    <col min="24" max="53" width="11" customWidth="1"/>
  </cols>
  <sheetData>
    <row r="1" spans="1:33" ht="18.75">
      <c r="A1" s="149" t="s">
        <v>1141</v>
      </c>
      <c r="H1" s="1" t="s">
        <v>54</v>
      </c>
    </row>
    <row r="2" spans="1:33">
      <c r="A2" s="2" t="s">
        <v>757</v>
      </c>
      <c r="H2" s="1"/>
    </row>
    <row r="3" spans="1:33">
      <c r="A3" s="2" t="s">
        <v>1146</v>
      </c>
    </row>
    <row r="4" spans="1:33">
      <c r="A4" s="2" t="str">
        <f ca="1">"Sheet: "&amp;MID(CELL("filename",A1),FIND("]",CELL("filename",A1))+1,255)</f>
        <v>Sheet: INTRO Modeling</v>
      </c>
    </row>
    <row r="5" spans="1:33" s="2" customFormat="1" ht="14.1" customHeight="1" thickBot="1"/>
    <row r="6" spans="1:33" s="153" customFormat="1">
      <c r="A6" s="150" t="s">
        <v>462</v>
      </c>
      <c r="B6" s="151"/>
      <c r="C6" s="151"/>
      <c r="D6" s="151"/>
      <c r="E6" s="151"/>
      <c r="F6" s="151"/>
      <c r="G6" s="151"/>
      <c r="H6" s="151"/>
      <c r="I6" s="151"/>
      <c r="J6" s="151"/>
      <c r="K6" s="152"/>
      <c r="M6"/>
      <c r="N6"/>
      <c r="O6"/>
      <c r="P6"/>
      <c r="Q6"/>
      <c r="R6"/>
      <c r="S6"/>
      <c r="T6"/>
      <c r="U6"/>
      <c r="V6"/>
      <c r="W6"/>
      <c r="X6"/>
      <c r="Y6"/>
      <c r="Z6"/>
      <c r="AA6"/>
      <c r="AB6"/>
      <c r="AC6"/>
      <c r="AD6"/>
      <c r="AE6"/>
      <c r="AF6"/>
      <c r="AG6"/>
    </row>
    <row r="7" spans="1:33" s="3" customFormat="1">
      <c r="A7" s="154" t="str">
        <f>"The tutorial through Row "&amp;ROW(A379)-2&amp;" is a tutorial that will not contribute to your grade."</f>
        <v>The tutorial through Row 377 is a tutorial that will not contribute to your grade.</v>
      </c>
      <c r="K7" s="155"/>
    </row>
    <row r="8" spans="1:33" s="3" customFormat="1" ht="16.5" thickBot="1">
      <c r="A8" s="156" t="str">
        <f>"The Homework starting in Row "&amp;ROW(A379)&amp;" is Required."</f>
        <v>The Homework starting in Row 379 is Required.</v>
      </c>
      <c r="B8" s="157"/>
      <c r="C8" s="157"/>
      <c r="D8" s="157"/>
      <c r="E8" s="157"/>
      <c r="F8" s="157"/>
      <c r="G8" s="157"/>
      <c r="H8" s="157"/>
      <c r="I8" s="157"/>
      <c r="J8" s="157"/>
      <c r="K8" s="158"/>
    </row>
    <row r="9" spans="1:33" s="2" customFormat="1" ht="14.1" customHeight="1"/>
    <row r="10" spans="1:33" ht="14.1" customHeight="1">
      <c r="A10" s="39" t="s">
        <v>1333</v>
      </c>
    </row>
    <row r="11" spans="1:33" s="160" customFormat="1" ht="14.1" customHeight="1">
      <c r="A11" s="2" t="s">
        <v>1091</v>
      </c>
    </row>
    <row r="12" spans="1:33" s="160" customFormat="1" ht="14.1" customHeight="1">
      <c r="A12" s="695" t="s">
        <v>1177</v>
      </c>
    </row>
    <row r="13" spans="1:33" s="160" customFormat="1" ht="14.1" customHeight="1">
      <c r="A13" s="700" t="s">
        <v>1186</v>
      </c>
    </row>
    <row r="14" spans="1:33" ht="14.1" customHeight="1">
      <c r="B14" s="2"/>
      <c r="C14" s="2"/>
    </row>
    <row r="15" spans="1:33" ht="14.1" customHeight="1">
      <c r="A15" s="161"/>
      <c r="B15" s="2" t="s">
        <v>1178</v>
      </c>
      <c r="C15" s="2"/>
    </row>
    <row r="16" spans="1:33" ht="225.95" customHeight="1">
      <c r="A16" s="161"/>
      <c r="B16" s="696"/>
      <c r="C16" s="697"/>
      <c r="D16" s="698"/>
      <c r="E16" s="698"/>
      <c r="F16" s="699"/>
    </row>
    <row r="17" spans="1:16" ht="14.1" customHeight="1">
      <c r="A17" s="159"/>
      <c r="B17" s="1" t="s">
        <v>537</v>
      </c>
      <c r="C17" s="2"/>
    </row>
    <row r="18" spans="1:16" ht="14.1" customHeight="1">
      <c r="A18" s="159"/>
      <c r="B18" s="2"/>
      <c r="C18" s="2"/>
    </row>
    <row r="19" spans="1:16">
      <c r="A19" s="18" t="s">
        <v>206</v>
      </c>
      <c r="N19" s="2"/>
      <c r="O19" s="2"/>
      <c r="P19" s="2"/>
    </row>
    <row r="20" spans="1:16">
      <c r="A20" s="2" t="s">
        <v>55</v>
      </c>
      <c r="L20" s="836"/>
      <c r="M20" s="2"/>
      <c r="N20" s="2"/>
      <c r="O20" s="2"/>
      <c r="P20" s="2"/>
    </row>
    <row r="21" spans="1:16">
      <c r="A21" s="2" t="s">
        <v>172</v>
      </c>
    </row>
    <row r="22" spans="1:16">
      <c r="A22" s="168" t="s">
        <v>725</v>
      </c>
    </row>
    <row r="23" spans="1:16">
      <c r="A23" s="2" t="s">
        <v>170</v>
      </c>
    </row>
    <row r="24" spans="1:16">
      <c r="A24" s="2" t="s">
        <v>171</v>
      </c>
    </row>
    <row r="26" spans="1:16">
      <c r="A26" s="18" t="s">
        <v>1491</v>
      </c>
    </row>
    <row r="27" spans="1:16">
      <c r="A27" s="2" t="s">
        <v>331</v>
      </c>
      <c r="B27" s="2"/>
      <c r="C27" s="2"/>
    </row>
    <row r="28" spans="1:16">
      <c r="A28" s="2" t="s">
        <v>332</v>
      </c>
      <c r="B28" s="2"/>
      <c r="C28" s="2"/>
    </row>
    <row r="29" spans="1:16">
      <c r="A29" s="2" t="s">
        <v>475</v>
      </c>
      <c r="B29" s="2"/>
      <c r="C29" s="2"/>
    </row>
    <row r="30" spans="1:16">
      <c r="A30" s="19" t="s">
        <v>476</v>
      </c>
      <c r="B30" s="2"/>
      <c r="C30" s="2"/>
    </row>
    <row r="31" spans="1:16">
      <c r="A31" s="80" t="s">
        <v>527</v>
      </c>
      <c r="B31" s="2"/>
      <c r="C31" s="2"/>
    </row>
    <row r="32" spans="1:16">
      <c r="A32" s="2" t="s">
        <v>192</v>
      </c>
      <c r="B32" s="2"/>
      <c r="C32" s="2"/>
    </row>
    <row r="33" spans="1:10">
      <c r="A33" s="19" t="s">
        <v>185</v>
      </c>
      <c r="B33" s="2"/>
      <c r="C33" s="2"/>
    </row>
    <row r="34" spans="1:10">
      <c r="A34" s="19" t="s">
        <v>198</v>
      </c>
      <c r="B34" s="2"/>
      <c r="C34" s="2"/>
    </row>
    <row r="35" spans="1:10">
      <c r="A35" s="2" t="s">
        <v>189</v>
      </c>
      <c r="B35" s="2"/>
      <c r="C35" s="2"/>
    </row>
    <row r="36" spans="1:10">
      <c r="A36" s="19" t="s">
        <v>218</v>
      </c>
      <c r="B36" s="2"/>
      <c r="C36" s="2"/>
    </row>
    <row r="37" spans="1:10">
      <c r="A37" s="19" t="s">
        <v>216</v>
      </c>
      <c r="B37" s="2"/>
      <c r="C37" s="2"/>
    </row>
    <row r="38" spans="1:10">
      <c r="A38" s="19" t="s">
        <v>190</v>
      </c>
      <c r="B38" s="2"/>
      <c r="C38" s="2"/>
    </row>
    <row r="39" spans="1:10">
      <c r="A39" s="19" t="s">
        <v>204</v>
      </c>
      <c r="B39" s="2"/>
      <c r="C39" s="2"/>
    </row>
    <row r="40" spans="1:10">
      <c r="A40" s="163" t="s">
        <v>203</v>
      </c>
      <c r="B40" s="2"/>
      <c r="C40" s="2"/>
    </row>
    <row r="41" spans="1:10">
      <c r="A41" s="2"/>
      <c r="B41" s="2"/>
      <c r="C41" s="2"/>
    </row>
    <row r="42" spans="1:10">
      <c r="A42" s="2"/>
      <c r="B42" s="2" t="s">
        <v>375</v>
      </c>
      <c r="C42" s="2"/>
    </row>
    <row r="43" spans="1:10">
      <c r="A43" s="2"/>
      <c r="B43" s="634" t="s">
        <v>377</v>
      </c>
      <c r="C43" s="635" t="s">
        <v>387</v>
      </c>
      <c r="D43" s="635"/>
      <c r="E43" s="636"/>
      <c r="F43" s="636"/>
      <c r="G43" s="636"/>
      <c r="H43" s="636"/>
      <c r="I43" s="636"/>
      <c r="J43" s="637"/>
    </row>
    <row r="44" spans="1:10">
      <c r="A44" s="2"/>
      <c r="B44" s="638" t="s">
        <v>376</v>
      </c>
      <c r="C44" s="631" t="s">
        <v>388</v>
      </c>
      <c r="D44" s="631"/>
      <c r="E44" s="632"/>
      <c r="F44" s="632"/>
      <c r="G44" s="632"/>
      <c r="H44" s="632"/>
      <c r="I44" s="632"/>
      <c r="J44" s="639"/>
    </row>
    <row r="45" spans="1:10">
      <c r="A45" s="2"/>
      <c r="B45" s="638" t="s">
        <v>337</v>
      </c>
      <c r="C45" s="631" t="s">
        <v>186</v>
      </c>
      <c r="D45" s="631"/>
      <c r="E45" s="632"/>
      <c r="F45" s="632"/>
      <c r="G45" s="632"/>
      <c r="H45" s="632"/>
      <c r="I45" s="632"/>
      <c r="J45" s="639"/>
    </row>
    <row r="46" spans="1:10">
      <c r="A46" s="2"/>
      <c r="B46" s="638" t="s">
        <v>378</v>
      </c>
      <c r="C46" s="631" t="s">
        <v>202</v>
      </c>
      <c r="D46" s="631"/>
      <c r="E46" s="632"/>
      <c r="F46" s="632"/>
      <c r="G46" s="632"/>
      <c r="H46" s="632"/>
      <c r="I46" s="632"/>
      <c r="J46" s="639"/>
    </row>
    <row r="47" spans="1:10">
      <c r="A47" s="2"/>
      <c r="B47" s="638"/>
      <c r="C47" s="631" t="s">
        <v>604</v>
      </c>
      <c r="D47" s="631"/>
      <c r="E47" s="632"/>
      <c r="F47" s="632"/>
      <c r="G47" s="632"/>
      <c r="H47" s="632"/>
      <c r="I47" s="632"/>
      <c r="J47" s="639"/>
    </row>
    <row r="48" spans="1:10">
      <c r="A48" s="2"/>
      <c r="B48" s="638"/>
      <c r="C48" s="631"/>
      <c r="D48" s="631"/>
      <c r="E48" s="632"/>
      <c r="F48" s="632"/>
      <c r="G48" s="632"/>
      <c r="H48" s="632"/>
      <c r="I48" s="632"/>
      <c r="J48" s="639"/>
    </row>
    <row r="49" spans="1:10">
      <c r="A49" s="2"/>
      <c r="B49" s="638" t="s">
        <v>382</v>
      </c>
      <c r="C49" s="631" t="s">
        <v>205</v>
      </c>
      <c r="D49" s="631"/>
      <c r="E49" s="632"/>
      <c r="F49" s="632"/>
      <c r="G49" s="632"/>
      <c r="H49" s="632"/>
      <c r="I49" s="632"/>
      <c r="J49" s="639"/>
    </row>
    <row r="50" spans="1:10">
      <c r="A50" s="2"/>
      <c r="B50" s="638" t="s">
        <v>383</v>
      </c>
      <c r="C50" s="631" t="s">
        <v>385</v>
      </c>
      <c r="D50" s="631"/>
      <c r="E50" s="632"/>
      <c r="F50" s="632"/>
      <c r="G50" s="632"/>
      <c r="H50" s="632"/>
      <c r="I50" s="632"/>
      <c r="J50" s="639"/>
    </row>
    <row r="51" spans="1:10">
      <c r="A51" s="2"/>
      <c r="B51" s="638" t="s">
        <v>333</v>
      </c>
      <c r="C51" s="633" t="s">
        <v>386</v>
      </c>
      <c r="D51" s="631"/>
      <c r="E51" s="632"/>
      <c r="F51" s="632"/>
      <c r="G51" s="632"/>
      <c r="H51" s="632"/>
      <c r="I51" s="632"/>
      <c r="J51" s="639"/>
    </row>
    <row r="52" spans="1:10">
      <c r="A52" s="2"/>
      <c r="B52" s="640"/>
      <c r="C52" s="631" t="s">
        <v>389</v>
      </c>
      <c r="D52" s="631"/>
      <c r="E52" s="632"/>
      <c r="F52" s="632"/>
      <c r="G52" s="632"/>
      <c r="H52" s="632"/>
      <c r="I52" s="632"/>
      <c r="J52" s="639"/>
    </row>
    <row r="53" spans="1:10">
      <c r="A53" s="2"/>
      <c r="B53" s="640"/>
      <c r="C53" s="631" t="s">
        <v>334</v>
      </c>
      <c r="D53" s="631"/>
      <c r="E53" s="632"/>
      <c r="F53" s="632"/>
      <c r="G53" s="632"/>
      <c r="H53" s="632"/>
      <c r="I53" s="632"/>
      <c r="J53" s="639"/>
    </row>
    <row r="54" spans="1:10">
      <c r="A54" s="2"/>
      <c r="B54" s="640"/>
      <c r="C54" s="631" t="s">
        <v>335</v>
      </c>
      <c r="D54" s="631"/>
      <c r="E54" s="632"/>
      <c r="F54" s="632"/>
      <c r="G54" s="632"/>
      <c r="H54" s="632"/>
      <c r="I54" s="632"/>
      <c r="J54" s="639"/>
    </row>
    <row r="55" spans="1:10">
      <c r="A55" s="2"/>
      <c r="B55" s="640"/>
      <c r="C55" s="631"/>
      <c r="D55" s="631"/>
      <c r="E55" s="632"/>
      <c r="F55" s="632"/>
      <c r="G55" s="632"/>
      <c r="H55" s="632"/>
      <c r="I55" s="632"/>
      <c r="J55" s="639"/>
    </row>
    <row r="56" spans="1:10">
      <c r="A56" s="2"/>
      <c r="B56" s="638" t="s">
        <v>384</v>
      </c>
      <c r="C56" s="631" t="s">
        <v>336</v>
      </c>
      <c r="D56" s="631"/>
      <c r="E56" s="632"/>
      <c r="F56" s="632"/>
      <c r="G56" s="632"/>
      <c r="H56" s="632"/>
      <c r="I56" s="632"/>
      <c r="J56" s="639"/>
    </row>
    <row r="57" spans="1:10">
      <c r="A57" s="2"/>
      <c r="B57" s="638" t="s">
        <v>383</v>
      </c>
      <c r="C57" s="631" t="s">
        <v>187</v>
      </c>
      <c r="D57" s="631"/>
      <c r="E57" s="632"/>
      <c r="F57" s="632"/>
      <c r="G57" s="632"/>
      <c r="H57" s="632"/>
      <c r="I57" s="632"/>
      <c r="J57" s="639"/>
    </row>
    <row r="58" spans="1:10">
      <c r="A58" s="2"/>
      <c r="B58" s="641" t="s">
        <v>333</v>
      </c>
      <c r="C58" s="631" t="s">
        <v>330</v>
      </c>
      <c r="D58" s="631"/>
      <c r="E58" s="632"/>
      <c r="F58" s="632"/>
      <c r="G58" s="632"/>
      <c r="H58" s="632"/>
      <c r="I58" s="632"/>
      <c r="J58" s="639"/>
    </row>
    <row r="59" spans="1:10">
      <c r="A59" s="2"/>
      <c r="B59" s="642"/>
      <c r="C59" s="643" t="s">
        <v>188</v>
      </c>
      <c r="D59" s="643"/>
      <c r="E59" s="644"/>
      <c r="F59" s="644"/>
      <c r="G59" s="644"/>
      <c r="H59" s="644"/>
      <c r="I59" s="644"/>
      <c r="J59" s="645"/>
    </row>
    <row r="60" spans="1:10">
      <c r="A60" s="2"/>
      <c r="B60" s="1" t="s">
        <v>537</v>
      </c>
      <c r="C60" s="2"/>
      <c r="J60" s="162"/>
    </row>
    <row r="61" spans="1:10">
      <c r="A61" s="2"/>
      <c r="B61" s="2"/>
      <c r="C61" s="2"/>
    </row>
    <row r="62" spans="1:10">
      <c r="A62" s="18" t="s">
        <v>1334</v>
      </c>
      <c r="B62" s="2"/>
      <c r="C62" s="2"/>
    </row>
    <row r="63" spans="1:10">
      <c r="A63" s="173" t="s">
        <v>804</v>
      </c>
      <c r="B63" s="2"/>
      <c r="C63" s="2"/>
    </row>
    <row r="64" spans="1:10">
      <c r="A64" s="2" t="s">
        <v>201</v>
      </c>
      <c r="B64" s="2"/>
      <c r="C64" s="2"/>
    </row>
    <row r="65" spans="1:3">
      <c r="A65" s="2"/>
      <c r="B65" s="2"/>
      <c r="C65" s="2"/>
    </row>
    <row r="66" spans="1:3">
      <c r="A66" s="19" t="s">
        <v>173</v>
      </c>
      <c r="B66" s="2"/>
      <c r="C66" s="2"/>
    </row>
    <row r="67" spans="1:3">
      <c r="A67" s="80" t="s">
        <v>96</v>
      </c>
      <c r="B67" s="2"/>
      <c r="C67" s="2"/>
    </row>
    <row r="68" spans="1:3">
      <c r="A68" s="80" t="s">
        <v>69</v>
      </c>
      <c r="B68" s="2"/>
      <c r="C68" s="2"/>
    </row>
    <row r="69" spans="1:3">
      <c r="A69" s="19"/>
      <c r="B69" s="2"/>
      <c r="C69" s="2"/>
    </row>
    <row r="70" spans="1:3">
      <c r="A70" s="19" t="s">
        <v>70</v>
      </c>
      <c r="B70" s="2"/>
      <c r="C70" s="2"/>
    </row>
    <row r="71" spans="1:3">
      <c r="A71" s="80" t="s">
        <v>207</v>
      </c>
      <c r="B71" s="2"/>
      <c r="C71" s="2"/>
    </row>
    <row r="72" spans="1:3">
      <c r="A72" s="80" t="s">
        <v>208</v>
      </c>
      <c r="B72" s="2"/>
      <c r="C72" s="2"/>
    </row>
    <row r="73" spans="1:3">
      <c r="A73" s="163" t="s">
        <v>71</v>
      </c>
      <c r="B73" s="2"/>
      <c r="C73" s="2"/>
    </row>
    <row r="74" spans="1:3">
      <c r="A74" s="163" t="s">
        <v>72</v>
      </c>
      <c r="B74" s="2"/>
      <c r="C74" s="2"/>
    </row>
    <row r="75" spans="1:3">
      <c r="A75" s="2"/>
      <c r="B75" s="2"/>
      <c r="C75" s="2"/>
    </row>
    <row r="76" spans="1:3">
      <c r="A76" s="2" t="s">
        <v>180</v>
      </c>
      <c r="B76" s="2"/>
      <c r="C76" s="2"/>
    </row>
    <row r="77" spans="1:3">
      <c r="A77" s="167" t="s">
        <v>209</v>
      </c>
      <c r="B77" s="2"/>
      <c r="C77" s="2"/>
    </row>
    <row r="78" spans="1:3">
      <c r="A78" s="80" t="s">
        <v>87</v>
      </c>
      <c r="B78" s="2"/>
      <c r="C78" s="2"/>
    </row>
    <row r="79" spans="1:3">
      <c r="A79" s="2"/>
      <c r="B79" s="2"/>
      <c r="C79" s="2"/>
    </row>
    <row r="80" spans="1:3">
      <c r="A80" s="19" t="s">
        <v>210</v>
      </c>
      <c r="B80" s="2"/>
      <c r="C80" s="2"/>
    </row>
    <row r="81" spans="1:3">
      <c r="A81" s="80" t="s">
        <v>1179</v>
      </c>
      <c r="B81" s="2"/>
      <c r="C81" s="2"/>
    </row>
    <row r="82" spans="1:3">
      <c r="A82" s="163" t="s">
        <v>73</v>
      </c>
      <c r="B82" s="2"/>
      <c r="C82" s="2"/>
    </row>
    <row r="83" spans="1:3">
      <c r="A83" s="80" t="s">
        <v>169</v>
      </c>
      <c r="B83" s="2"/>
      <c r="C83" s="2"/>
    </row>
    <row r="84" spans="1:3">
      <c r="A84" s="2"/>
      <c r="B84" s="2"/>
      <c r="C84" s="2"/>
    </row>
    <row r="85" spans="1:3">
      <c r="A85" s="2"/>
      <c r="B85" s="2" t="s">
        <v>91</v>
      </c>
      <c r="C85" s="2"/>
    </row>
    <row r="86" spans="1:3">
      <c r="A86" s="2"/>
      <c r="B86" s="2"/>
      <c r="C86" s="2"/>
    </row>
    <row r="87" spans="1:3">
      <c r="A87" s="19" t="s">
        <v>174</v>
      </c>
      <c r="B87" s="2"/>
      <c r="C87" s="2"/>
    </row>
    <row r="88" spans="1:3">
      <c r="A88" s="80" t="s">
        <v>74</v>
      </c>
      <c r="B88" s="2"/>
      <c r="C88" s="2"/>
    </row>
    <row r="89" spans="1:3">
      <c r="A89" s="80"/>
      <c r="B89" s="2"/>
      <c r="C89" s="2"/>
    </row>
    <row r="90" spans="1:3">
      <c r="A90" s="68" t="s">
        <v>1088</v>
      </c>
      <c r="B90" s="2"/>
      <c r="C90" s="2"/>
    </row>
    <row r="91" spans="1:3">
      <c r="A91" s="19" t="s">
        <v>379</v>
      </c>
      <c r="B91" s="2"/>
      <c r="C91" s="2"/>
    </row>
    <row r="92" spans="1:3">
      <c r="A92" s="19" t="s">
        <v>380</v>
      </c>
      <c r="B92" s="2"/>
      <c r="C92" s="2"/>
    </row>
    <row r="93" spans="1:3">
      <c r="A93" s="168" t="s">
        <v>406</v>
      </c>
      <c r="B93" s="2"/>
      <c r="C93" s="2"/>
    </row>
    <row r="94" spans="1:3">
      <c r="A94" s="19" t="s">
        <v>381</v>
      </c>
      <c r="B94" s="2"/>
      <c r="C94" s="2"/>
    </row>
    <row r="95" spans="1:3">
      <c r="A95" s="19"/>
      <c r="B95" s="2"/>
      <c r="C95" s="2"/>
    </row>
    <row r="96" spans="1:3">
      <c r="A96" s="18" t="s">
        <v>1335</v>
      </c>
      <c r="B96" s="2"/>
      <c r="C96" s="2"/>
    </row>
    <row r="97" spans="1:11">
      <c r="A97" s="2" t="s">
        <v>1340</v>
      </c>
      <c r="B97" s="2"/>
      <c r="C97" s="2"/>
    </row>
    <row r="98" spans="1:11">
      <c r="A98" s="2" t="s">
        <v>338</v>
      </c>
      <c r="B98" s="2"/>
      <c r="C98" s="2"/>
    </row>
    <row r="99" spans="1:11">
      <c r="A99" s="2" t="s">
        <v>1339</v>
      </c>
      <c r="B99" s="2"/>
      <c r="C99" s="2"/>
    </row>
    <row r="100" spans="1:11">
      <c r="A100" s="19" t="s">
        <v>221</v>
      </c>
      <c r="B100" s="2"/>
      <c r="C100" s="2"/>
    </row>
    <row r="101" spans="1:11">
      <c r="A101" s="19" t="s">
        <v>211</v>
      </c>
      <c r="B101" s="2"/>
      <c r="C101" s="2"/>
    </row>
    <row r="102" spans="1:11">
      <c r="A102" s="19" t="s">
        <v>175</v>
      </c>
      <c r="B102" s="2"/>
      <c r="C102" s="2"/>
    </row>
    <row r="103" spans="1:11">
      <c r="A103" s="80" t="s">
        <v>176</v>
      </c>
      <c r="B103" s="2"/>
      <c r="C103" s="2"/>
    </row>
    <row r="104" spans="1:11">
      <c r="A104" s="2"/>
      <c r="B104" s="2"/>
      <c r="C104" s="2"/>
    </row>
    <row r="105" spans="1:11">
      <c r="A105" s="2" t="s">
        <v>199</v>
      </c>
      <c r="B105" s="2"/>
      <c r="C105" s="2"/>
    </row>
    <row r="106" spans="1:11">
      <c r="A106" s="19" t="s">
        <v>177</v>
      </c>
      <c r="B106" s="2"/>
      <c r="C106" s="2"/>
    </row>
    <row r="107" spans="1:11">
      <c r="A107" s="80" t="s">
        <v>159</v>
      </c>
      <c r="B107" s="2"/>
      <c r="C107" s="2"/>
      <c r="K107" s="2"/>
    </row>
    <row r="108" spans="1:11">
      <c r="A108" s="19" t="s">
        <v>222</v>
      </c>
      <c r="B108" s="2"/>
      <c r="C108" s="2"/>
      <c r="K108" s="19"/>
    </row>
    <row r="109" spans="1:11">
      <c r="A109" s="80" t="s">
        <v>191</v>
      </c>
      <c r="B109" s="2"/>
      <c r="C109" s="2"/>
    </row>
    <row r="110" spans="1:11">
      <c r="A110" s="80" t="s">
        <v>179</v>
      </c>
      <c r="B110" s="2"/>
      <c r="C110" s="2"/>
    </row>
    <row r="111" spans="1:11">
      <c r="A111" s="80" t="s">
        <v>181</v>
      </c>
      <c r="B111" s="2"/>
      <c r="C111" s="2"/>
    </row>
    <row r="112" spans="1:11">
      <c r="A112" s="80" t="s">
        <v>182</v>
      </c>
      <c r="B112" s="2"/>
      <c r="C112" s="2"/>
    </row>
    <row r="113" spans="1:3">
      <c r="A113" s="163" t="s">
        <v>184</v>
      </c>
      <c r="B113" s="2"/>
      <c r="C113" s="2"/>
    </row>
    <row r="114" spans="1:3">
      <c r="A114" s="163" t="s">
        <v>196</v>
      </c>
      <c r="B114" s="2"/>
      <c r="C114" s="2"/>
    </row>
    <row r="115" spans="1:3">
      <c r="A115" s="169" t="s">
        <v>197</v>
      </c>
      <c r="B115" s="2"/>
      <c r="C115" s="2"/>
    </row>
    <row r="116" spans="1:3">
      <c r="A116" s="19"/>
      <c r="B116" s="2"/>
      <c r="C116" s="2"/>
    </row>
    <row r="117" spans="1:3">
      <c r="A117" s="19" t="s">
        <v>193</v>
      </c>
      <c r="B117" s="2"/>
      <c r="C117" s="2"/>
    </row>
    <row r="118" spans="1:3">
      <c r="A118" s="19"/>
      <c r="B118" s="2"/>
      <c r="C118" s="2"/>
    </row>
    <row r="119" spans="1:3">
      <c r="A119" s="19" t="s">
        <v>178</v>
      </c>
      <c r="B119" s="2"/>
      <c r="C119" s="2"/>
    </row>
    <row r="120" spans="1:3">
      <c r="A120" s="80" t="s">
        <v>1180</v>
      </c>
      <c r="B120" s="2"/>
      <c r="C120" s="2"/>
    </row>
    <row r="121" spans="1:3">
      <c r="A121" s="163" t="s">
        <v>161</v>
      </c>
      <c r="B121" s="2"/>
      <c r="C121" s="2"/>
    </row>
    <row r="122" spans="1:3">
      <c r="A122" s="170" t="s">
        <v>217</v>
      </c>
      <c r="B122" s="2"/>
      <c r="C122" s="2"/>
    </row>
    <row r="123" spans="1:3">
      <c r="A123" s="80" t="s">
        <v>163</v>
      </c>
      <c r="B123" s="2"/>
      <c r="C123" s="2"/>
    </row>
    <row r="124" spans="1:3">
      <c r="A124" s="163" t="s">
        <v>200</v>
      </c>
      <c r="B124" s="2"/>
      <c r="C124" s="2"/>
    </row>
    <row r="125" spans="1:3">
      <c r="A125" s="80" t="s">
        <v>194</v>
      </c>
      <c r="B125" s="2"/>
      <c r="C125" s="2"/>
    </row>
    <row r="126" spans="1:3">
      <c r="A126" s="163" t="s">
        <v>219</v>
      </c>
      <c r="B126" s="2"/>
      <c r="C126" s="2"/>
    </row>
    <row r="127" spans="1:3">
      <c r="A127" s="163" t="s">
        <v>220</v>
      </c>
      <c r="B127" s="2"/>
      <c r="C127" s="2"/>
    </row>
    <row r="128" spans="1:3">
      <c r="A128" s="19"/>
      <c r="B128" s="2"/>
      <c r="C128" s="2"/>
    </row>
    <row r="129" spans="1:3">
      <c r="A129" s="19" t="s">
        <v>212</v>
      </c>
      <c r="B129" s="2"/>
      <c r="C129" s="2"/>
    </row>
    <row r="130" spans="1:3">
      <c r="A130" s="80" t="s">
        <v>90</v>
      </c>
      <c r="B130" s="2"/>
      <c r="C130" s="2"/>
    </row>
    <row r="131" spans="1:3">
      <c r="A131" s="163" t="s">
        <v>95</v>
      </c>
      <c r="B131" s="2"/>
      <c r="C131" s="2"/>
    </row>
    <row r="132" spans="1:3">
      <c r="A132" s="163" t="s">
        <v>213</v>
      </c>
      <c r="B132" s="2"/>
      <c r="C132" s="2"/>
    </row>
    <row r="133" spans="1:3">
      <c r="A133" s="80" t="s">
        <v>214</v>
      </c>
      <c r="B133" s="2"/>
      <c r="C133" s="2"/>
    </row>
    <row r="134" spans="1:3">
      <c r="A134" s="163" t="s">
        <v>215</v>
      </c>
      <c r="B134" s="2"/>
      <c r="C134" s="2"/>
    </row>
    <row r="135" spans="1:3">
      <c r="A135" s="163" t="s">
        <v>162</v>
      </c>
      <c r="B135" s="2"/>
      <c r="C135" s="2"/>
    </row>
    <row r="136" spans="1:3">
      <c r="A136" s="2"/>
      <c r="B136" s="2"/>
      <c r="C136" s="2"/>
    </row>
    <row r="137" spans="1:3">
      <c r="A137" s="51" t="s">
        <v>1492</v>
      </c>
      <c r="B137" s="2"/>
      <c r="C137" s="2"/>
    </row>
    <row r="138" spans="1:3">
      <c r="A138" s="833" t="s">
        <v>1323</v>
      </c>
      <c r="B138" s="2"/>
      <c r="C138" s="2"/>
    </row>
    <row r="139" spans="1:3">
      <c r="A139" s="835" t="s">
        <v>1324</v>
      </c>
      <c r="B139" s="2"/>
      <c r="C139" s="2"/>
    </row>
    <row r="140" spans="1:3">
      <c r="A140" s="168" t="s">
        <v>1341</v>
      </c>
      <c r="B140" s="2"/>
      <c r="C140" s="2"/>
    </row>
    <row r="141" spans="1:3">
      <c r="A141" s="168" t="s">
        <v>1511</v>
      </c>
      <c r="B141" s="2"/>
      <c r="C141" s="2"/>
    </row>
    <row r="142" spans="1:3">
      <c r="A142" s="19" t="s">
        <v>756</v>
      </c>
      <c r="B142" s="2"/>
      <c r="C142" s="2"/>
    </row>
    <row r="143" spans="1:3">
      <c r="A143" s="80" t="s">
        <v>340</v>
      </c>
      <c r="B143" s="2"/>
      <c r="C143" s="2"/>
    </row>
    <row r="144" spans="1:3">
      <c r="A144" s="80" t="s">
        <v>401</v>
      </c>
      <c r="B144" s="2"/>
      <c r="C144" s="2"/>
    </row>
    <row r="145" spans="1:8">
      <c r="A145" s="839" t="s">
        <v>1344</v>
      </c>
      <c r="B145" s="2"/>
      <c r="C145" s="2"/>
    </row>
    <row r="146" spans="1:8">
      <c r="A146" s="19" t="s">
        <v>1336</v>
      </c>
      <c r="B146" s="2"/>
      <c r="C146" s="2"/>
    </row>
    <row r="147" spans="1:8">
      <c r="A147" s="2" t="s">
        <v>815</v>
      </c>
      <c r="B147" s="2"/>
      <c r="C147" s="2"/>
    </row>
    <row r="148" spans="1:8">
      <c r="A148" s="168" t="s">
        <v>1343</v>
      </c>
      <c r="B148" s="2"/>
      <c r="C148" s="2"/>
    </row>
    <row r="149" spans="1:8">
      <c r="A149" s="2" t="s">
        <v>1342</v>
      </c>
      <c r="B149" s="2"/>
      <c r="C149" s="2"/>
    </row>
    <row r="150" spans="1:8">
      <c r="A150" s="52" t="s">
        <v>814</v>
      </c>
      <c r="B150" s="2"/>
      <c r="C150" s="2"/>
    </row>
    <row r="151" spans="1:8">
      <c r="A151" s="19" t="s">
        <v>816</v>
      </c>
      <c r="B151" s="2"/>
      <c r="C151" s="2"/>
    </row>
    <row r="152" spans="1:8">
      <c r="A152" s="19" t="s">
        <v>817</v>
      </c>
      <c r="B152" s="2"/>
      <c r="C152" s="2"/>
    </row>
    <row r="153" spans="1:8">
      <c r="A153" s="2"/>
      <c r="B153" s="2"/>
      <c r="C153" s="2"/>
    </row>
    <row r="154" spans="1:8">
      <c r="A154" s="171" t="s">
        <v>1347</v>
      </c>
      <c r="B154" s="2"/>
      <c r="C154" s="2"/>
    </row>
    <row r="155" spans="1:8" s="2" customFormat="1" ht="12.75">
      <c r="A155" s="187" t="s">
        <v>1444</v>
      </c>
    </row>
    <row r="156" spans="1:8" s="2" customFormat="1" ht="12.75">
      <c r="A156" s="168" t="s">
        <v>1445</v>
      </c>
    </row>
    <row r="157" spans="1:8" s="2" customFormat="1" ht="12.75">
      <c r="A157" s="168"/>
    </row>
    <row r="158" spans="1:8" s="33" customFormat="1" ht="12.75">
      <c r="A158" s="184"/>
      <c r="B158" s="854" t="s">
        <v>1455</v>
      </c>
    </row>
    <row r="159" spans="1:8" s="33" customFormat="1" ht="12.75">
      <c r="A159" s="184"/>
      <c r="B159" s="868" t="s">
        <v>1446</v>
      </c>
      <c r="C159" s="869"/>
      <c r="D159" s="963" t="s">
        <v>565</v>
      </c>
      <c r="E159" s="963"/>
      <c r="F159" s="963" t="s">
        <v>557</v>
      </c>
      <c r="G159" s="963"/>
      <c r="H159" s="856"/>
    </row>
    <row r="160" spans="1:8" s="33" customFormat="1" ht="12.75">
      <c r="A160" s="184"/>
      <c r="B160" s="860" t="s">
        <v>1435</v>
      </c>
      <c r="C160" s="858"/>
      <c r="D160" s="861" t="s">
        <v>1440</v>
      </c>
      <c r="E160" s="858"/>
      <c r="F160" s="861" t="s">
        <v>1431</v>
      </c>
      <c r="G160" s="858"/>
      <c r="H160" s="859"/>
    </row>
    <row r="161" spans="1:8" s="33" customFormat="1" ht="12.75">
      <c r="A161" s="184"/>
      <c r="B161" s="857"/>
      <c r="C161" s="858"/>
      <c r="D161" s="861" t="s">
        <v>1441</v>
      </c>
      <c r="E161" s="858"/>
      <c r="F161" s="861" t="s">
        <v>1442</v>
      </c>
      <c r="G161" s="858"/>
      <c r="H161" s="859"/>
    </row>
    <row r="162" spans="1:8" s="33" customFormat="1" ht="12.75">
      <c r="A162" s="184"/>
      <c r="B162" s="857"/>
      <c r="C162" s="858"/>
      <c r="D162" s="861" t="s">
        <v>1443</v>
      </c>
      <c r="E162" s="858"/>
      <c r="F162" s="861" t="s">
        <v>1451</v>
      </c>
      <c r="G162" s="858"/>
      <c r="H162" s="859"/>
    </row>
    <row r="163" spans="1:8" s="33" customFormat="1" ht="12.75">
      <c r="A163" s="184"/>
      <c r="B163" s="860" t="s">
        <v>1436</v>
      </c>
      <c r="C163" s="858"/>
      <c r="D163" s="861" t="s">
        <v>1447</v>
      </c>
      <c r="E163" s="858"/>
      <c r="F163" s="861" t="s">
        <v>1449</v>
      </c>
      <c r="G163" s="858"/>
      <c r="H163" s="859"/>
    </row>
    <row r="164" spans="1:8" s="33" customFormat="1" ht="12.75">
      <c r="A164" s="184"/>
      <c r="B164" s="857"/>
      <c r="C164" s="858"/>
      <c r="D164" s="861" t="s">
        <v>1448</v>
      </c>
      <c r="E164" s="858"/>
      <c r="F164" s="861" t="s">
        <v>1450</v>
      </c>
      <c r="G164" s="858"/>
      <c r="H164" s="859"/>
    </row>
    <row r="165" spans="1:8" s="33" customFormat="1" ht="12.75">
      <c r="A165" s="184"/>
      <c r="B165" s="857"/>
      <c r="C165" s="858"/>
      <c r="D165" s="861" t="s">
        <v>1434</v>
      </c>
      <c r="E165" s="858"/>
      <c r="F165" s="884" t="s">
        <v>1460</v>
      </c>
      <c r="G165" s="858"/>
      <c r="H165" s="859"/>
    </row>
    <row r="166" spans="1:8" s="33" customFormat="1" ht="12.75">
      <c r="A166" s="184"/>
      <c r="B166" s="860" t="s">
        <v>1437</v>
      </c>
      <c r="C166" s="858"/>
      <c r="D166" s="861" t="s">
        <v>1432</v>
      </c>
      <c r="E166" s="858"/>
      <c r="F166" s="861" t="s">
        <v>1433</v>
      </c>
      <c r="G166" s="858"/>
      <c r="H166" s="881"/>
    </row>
    <row r="167" spans="1:8" s="33" customFormat="1" ht="12.75">
      <c r="A167" s="184"/>
      <c r="B167" s="867"/>
      <c r="C167" s="862"/>
      <c r="D167" s="882" t="s">
        <v>1439</v>
      </c>
      <c r="E167" s="882"/>
      <c r="F167" s="882" t="s">
        <v>1459</v>
      </c>
      <c r="G167" s="882"/>
      <c r="H167" s="883"/>
    </row>
    <row r="168" spans="1:8" s="33" customFormat="1" ht="12.75">
      <c r="A168" s="184"/>
      <c r="B168" s="838" t="s">
        <v>537</v>
      </c>
    </row>
    <row r="169" spans="1:8" s="2" customFormat="1" ht="12.75">
      <c r="A169" s="187"/>
    </row>
    <row r="170" spans="1:8" s="854" customFormat="1" ht="12.75">
      <c r="A170" s="854" t="s">
        <v>1348</v>
      </c>
    </row>
    <row r="171" spans="1:8" s="185" customFormat="1" ht="12.75">
      <c r="A171" s="885" t="s">
        <v>1461</v>
      </c>
    </row>
    <row r="172" spans="1:8" s="185" customFormat="1" ht="12.75">
      <c r="A172" s="885" t="s">
        <v>1462</v>
      </c>
    </row>
    <row r="173" spans="1:8" s="33" customFormat="1" ht="12.75">
      <c r="A173" s="186"/>
    </row>
    <row r="174" spans="1:8" s="33" customFormat="1" ht="12.75">
      <c r="A174" s="186"/>
      <c r="B174" s="854" t="s">
        <v>1453</v>
      </c>
    </row>
    <row r="175" spans="1:8" s="33" customFormat="1" ht="12.75">
      <c r="A175" s="186"/>
      <c r="B175" s="864"/>
      <c r="C175" s="865" t="str">
        <f ca="1">YEAR(TODAY())-2&amp;"A"</f>
        <v>2021A</v>
      </c>
      <c r="D175" s="865" t="str">
        <f ca="1">YEAR(TODAY())-1&amp;"A"</f>
        <v>2022A</v>
      </c>
      <c r="E175" s="866" t="str">
        <f ca="1">YEAR(TODAY())&amp;"E"</f>
        <v>2023E</v>
      </c>
    </row>
    <row r="176" spans="1:8" s="33" customFormat="1" ht="13.5" thickBot="1">
      <c r="A176" s="186"/>
      <c r="B176" s="857" t="s">
        <v>81</v>
      </c>
      <c r="C176" s="858">
        <v>100</v>
      </c>
      <c r="D176" s="33">
        <v>105</v>
      </c>
      <c r="E176" s="880">
        <f>D176*(1+E177)</f>
        <v>110.25</v>
      </c>
    </row>
    <row r="177" spans="1:12" s="33" customFormat="1" ht="13.5" thickBot="1">
      <c r="A177" s="186"/>
      <c r="B177" s="857" t="s">
        <v>283</v>
      </c>
      <c r="C177" s="858"/>
      <c r="D177" s="873">
        <f>D176/C176-1</f>
        <v>5.0000000000000044E-2</v>
      </c>
      <c r="E177" s="877">
        <f>D177</f>
        <v>5.0000000000000044E-2</v>
      </c>
    </row>
    <row r="178" spans="1:12" s="33" customFormat="1" ht="13.5" thickBot="1">
      <c r="A178" s="186"/>
      <c r="B178" s="857" t="s">
        <v>225</v>
      </c>
      <c r="C178" s="858">
        <v>25</v>
      </c>
      <c r="D178" s="858">
        <v>25</v>
      </c>
      <c r="E178" s="880">
        <f>E176*E179</f>
        <v>26.25</v>
      </c>
    </row>
    <row r="179" spans="1:12" s="33" customFormat="1" ht="12.75">
      <c r="B179" s="867" t="s">
        <v>82</v>
      </c>
      <c r="C179" s="874">
        <f>C178/C176</f>
        <v>0.25</v>
      </c>
      <c r="D179" s="874">
        <f>D178/D176</f>
        <v>0.23809523809523808</v>
      </c>
      <c r="E179" s="878">
        <f>D179</f>
        <v>0.23809523809523808</v>
      </c>
    </row>
    <row r="180" spans="1:12" s="33" customFormat="1" ht="12.75">
      <c r="B180" s="838" t="s">
        <v>537</v>
      </c>
      <c r="C180" s="887"/>
      <c r="D180" s="887"/>
      <c r="E180" s="886"/>
    </row>
    <row r="181" spans="1:12" s="33" customFormat="1" ht="12.75"/>
    <row r="182" spans="1:12" s="33" customFormat="1" ht="12.75">
      <c r="A182" s="893" t="s">
        <v>1456</v>
      </c>
    </row>
    <row r="183" spans="1:12" s="33" customFormat="1" ht="12.75">
      <c r="A183" s="854"/>
    </row>
    <row r="184" spans="1:12" s="33" customFormat="1" ht="12.75">
      <c r="A184" s="854"/>
      <c r="B184" s="854" t="s">
        <v>1454</v>
      </c>
    </row>
    <row r="185" spans="1:12" s="33" customFormat="1" ht="12.75">
      <c r="A185" s="186"/>
      <c r="B185" s="870" t="s">
        <v>1435</v>
      </c>
      <c r="C185" s="855"/>
      <c r="D185" s="856"/>
      <c r="E185" s="858"/>
      <c r="F185" s="870" t="s">
        <v>1438</v>
      </c>
      <c r="G185" s="855"/>
      <c r="H185" s="855"/>
      <c r="I185" s="856"/>
      <c r="J185" s="858"/>
      <c r="K185" s="870" t="s">
        <v>1437</v>
      </c>
      <c r="L185" s="856"/>
    </row>
    <row r="186" spans="1:12" s="33" customFormat="1" ht="13.5" thickBot="1">
      <c r="A186" s="186"/>
      <c r="B186" s="857"/>
      <c r="C186" s="888" t="str">
        <f ca="1">C175</f>
        <v>2021A</v>
      </c>
      <c r="D186" s="889" t="str">
        <f ca="1">D175</f>
        <v>2022A</v>
      </c>
      <c r="E186" s="961" t="s">
        <v>472</v>
      </c>
      <c r="F186" s="857"/>
      <c r="G186" s="888" t="str">
        <f ca="1">C175</f>
        <v>2021A</v>
      </c>
      <c r="H186" s="888" t="str">
        <f ca="1">D175</f>
        <v>2022A</v>
      </c>
      <c r="I186" s="889" t="str">
        <f ca="1">E175</f>
        <v>2023E</v>
      </c>
      <c r="J186" s="962" t="s">
        <v>1463</v>
      </c>
      <c r="K186" s="890"/>
      <c r="L186" s="889" t="str">
        <f ca="1">E175</f>
        <v>2023E</v>
      </c>
    </row>
    <row r="187" spans="1:12" s="33" customFormat="1" ht="13.5" thickBot="1">
      <c r="A187" s="186"/>
      <c r="B187" s="857" t="s">
        <v>81</v>
      </c>
      <c r="C187" s="858">
        <v>100</v>
      </c>
      <c r="D187" s="859">
        <v>105</v>
      </c>
      <c r="E187" s="961"/>
      <c r="F187" s="857" t="s">
        <v>283</v>
      </c>
      <c r="G187" s="858"/>
      <c r="H187" s="871">
        <f>D187/C187-1</f>
        <v>5.0000000000000044E-2</v>
      </c>
      <c r="I187" s="891">
        <f>H187</f>
        <v>5.0000000000000044E-2</v>
      </c>
      <c r="J187" s="961"/>
      <c r="K187" s="857" t="s">
        <v>81</v>
      </c>
      <c r="L187" s="875">
        <f>D187*(1+I187)</f>
        <v>110.25</v>
      </c>
    </row>
    <row r="188" spans="1:12" s="33" customFormat="1" ht="12.75">
      <c r="A188" s="186"/>
      <c r="B188" s="867" t="s">
        <v>225</v>
      </c>
      <c r="C188" s="862">
        <v>25</v>
      </c>
      <c r="D188" s="863">
        <v>25</v>
      </c>
      <c r="E188" s="858"/>
      <c r="F188" s="867" t="s">
        <v>82</v>
      </c>
      <c r="G188" s="872">
        <f>C188/C187</f>
        <v>0.25</v>
      </c>
      <c r="H188" s="872">
        <f>D188/D187</f>
        <v>0.23809523809523808</v>
      </c>
      <c r="I188" s="892">
        <f>H188</f>
        <v>0.23809523809523808</v>
      </c>
      <c r="J188" s="858"/>
      <c r="K188" s="867" t="s">
        <v>225</v>
      </c>
      <c r="L188" s="876">
        <f>L187*I188</f>
        <v>26.25</v>
      </c>
    </row>
    <row r="189" spans="1:12" s="33" customFormat="1" ht="12.75">
      <c r="A189" s="854"/>
      <c r="B189" s="838" t="s">
        <v>537</v>
      </c>
    </row>
    <row r="190" spans="1:12" s="33" customFormat="1" ht="12.75">
      <c r="A190" s="854"/>
    </row>
    <row r="191" spans="1:12" s="33" customFormat="1" ht="12.75">
      <c r="A191" s="854" t="s">
        <v>1457</v>
      </c>
    </row>
    <row r="192" spans="1:12" s="33" customFormat="1" ht="12.75">
      <c r="A192" s="894" t="str">
        <f>"Consider the 'Economies of Scale in Plant Construction' EXHIBIT in Row "&amp;ROW(A78)&amp;" in the 'MODEL Manufacturing Strategy' Sheet."</f>
        <v>Consider the 'Economies of Scale in Plant Construction' EXHIBIT in Row 78 in the 'MODEL Manufacturing Strategy' Sheet.</v>
      </c>
    </row>
    <row r="193" spans="1:6" s="33" customFormat="1" ht="12.75">
      <c r="A193" s="894" t="s">
        <v>1512</v>
      </c>
    </row>
    <row r="194" spans="1:6" s="33" customFormat="1" ht="12.75">
      <c r="A194" s="893" t="s">
        <v>1452</v>
      </c>
    </row>
    <row r="195" spans="1:6" s="33" customFormat="1" ht="12.75"/>
    <row r="196" spans="1:6" s="33" customFormat="1" ht="12.75">
      <c r="A196" s="184" t="s">
        <v>1386</v>
      </c>
    </row>
    <row r="197" spans="1:6" s="33" customFormat="1" ht="12.75">
      <c r="A197" s="840" t="s">
        <v>1349</v>
      </c>
      <c r="F197" s="854"/>
    </row>
    <row r="198" spans="1:6" s="33" customFormat="1" ht="12.75">
      <c r="A198" s="718" t="s">
        <v>1513</v>
      </c>
      <c r="F198" s="854"/>
    </row>
    <row r="199" spans="1:6" s="33" customFormat="1" ht="12.75">
      <c r="A199" s="185" t="s">
        <v>720</v>
      </c>
      <c r="F199" s="854"/>
    </row>
    <row r="200" spans="1:6" s="33" customFormat="1" ht="12.75">
      <c r="A200" s="175" t="s">
        <v>798</v>
      </c>
      <c r="F200" s="854"/>
    </row>
    <row r="201" spans="1:6" s="33" customFormat="1" ht="12.75">
      <c r="A201" s="894" t="s">
        <v>1464</v>
      </c>
    </row>
    <row r="202" spans="1:6" s="33" customFormat="1" ht="12.75"/>
    <row r="203" spans="1:6" s="33" customFormat="1" ht="12.75">
      <c r="A203" s="840" t="s">
        <v>1345</v>
      </c>
    </row>
    <row r="204" spans="1:6" s="33" customFormat="1" ht="12.75">
      <c r="A204" s="894" t="s">
        <v>1465</v>
      </c>
    </row>
    <row r="205" spans="1:6" s="33" customFormat="1" ht="12.75">
      <c r="A205" s="895" t="s">
        <v>1466</v>
      </c>
    </row>
    <row r="206" spans="1:6" s="33" customFormat="1" ht="12.75">
      <c r="A206" s="895" t="s">
        <v>1514</v>
      </c>
    </row>
    <row r="207" spans="1:6" s="33" customFormat="1" ht="12.75">
      <c r="A207" s="721" t="s">
        <v>1204</v>
      </c>
    </row>
    <row r="208" spans="1:6" s="33" customFormat="1" ht="12.75">
      <c r="A208" s="185" t="s">
        <v>719</v>
      </c>
    </row>
    <row r="209" spans="1:11" s="33" customFormat="1" ht="12.75">
      <c r="A209" s="896" t="s">
        <v>1182</v>
      </c>
    </row>
    <row r="210" spans="1:11" s="33" customFormat="1" ht="12.75">
      <c r="A210" s="185" t="s">
        <v>722</v>
      </c>
    </row>
    <row r="211" spans="1:11" s="33" customFormat="1" ht="12.75">
      <c r="A211" s="719" t="s">
        <v>1203</v>
      </c>
    </row>
    <row r="212" spans="1:11" s="33" customFormat="1" ht="12.75">
      <c r="A212" s="721" t="s">
        <v>1202</v>
      </c>
    </row>
    <row r="213" spans="1:11" s="33" customFormat="1" ht="12.75"/>
    <row r="214" spans="1:11" s="33" customFormat="1" ht="12.75">
      <c r="A214" s="840" t="s">
        <v>1346</v>
      </c>
      <c r="J214" s="2"/>
    </row>
    <row r="215" spans="1:11" s="33" customFormat="1" ht="12.75">
      <c r="A215" s="185" t="s">
        <v>723</v>
      </c>
      <c r="J215" s="2"/>
      <c r="K215" s="2"/>
    </row>
    <row r="216" spans="1:11" s="33" customFormat="1" ht="12.75">
      <c r="A216" s="186" t="s">
        <v>724</v>
      </c>
      <c r="J216" s="720"/>
      <c r="K216" s="720"/>
    </row>
    <row r="217" spans="1:11" s="33" customFormat="1" ht="12.75">
      <c r="A217" s="719" t="s">
        <v>1201</v>
      </c>
      <c r="J217" s="2"/>
      <c r="K217" s="2"/>
    </row>
    <row r="218" spans="1:11" s="33" customFormat="1" ht="12.75">
      <c r="A218" s="175" t="s">
        <v>799</v>
      </c>
      <c r="J218" s="2"/>
      <c r="K218" s="2"/>
    </row>
    <row r="219" spans="1:11" s="33" customFormat="1" ht="12.75">
      <c r="A219" s="894" t="s">
        <v>1467</v>
      </c>
      <c r="J219" s="2"/>
      <c r="K219" s="2"/>
    </row>
    <row r="220" spans="1:11" s="33" customFormat="1" ht="12.75">
      <c r="A220" s="894" t="s">
        <v>1468</v>
      </c>
      <c r="J220" s="2"/>
      <c r="K220" s="2"/>
    </row>
    <row r="221" spans="1:11" s="33" customFormat="1" ht="12.75">
      <c r="A221" s="894" t="s">
        <v>1469</v>
      </c>
      <c r="J221" s="343"/>
      <c r="K221" s="343"/>
    </row>
    <row r="222" spans="1:11" s="33" customFormat="1" ht="12.75">
      <c r="A222" s="175" t="s">
        <v>800</v>
      </c>
    </row>
    <row r="223" spans="1:11" s="33" customFormat="1" ht="12.75">
      <c r="A223" s="895" t="s">
        <v>1470</v>
      </c>
    </row>
    <row r="224" spans="1:11" s="33" customFormat="1" ht="12.75">
      <c r="A224" s="175"/>
    </row>
    <row r="225" spans="1:14" s="33" customFormat="1" ht="12.75">
      <c r="A225" s="717" t="s">
        <v>1205</v>
      </c>
      <c r="N225" s="879"/>
    </row>
    <row r="226" spans="1:14" s="33" customFormat="1" ht="12.75">
      <c r="A226" s="718" t="s">
        <v>1207</v>
      </c>
    </row>
    <row r="227" spans="1:14" s="33" customFormat="1" ht="12.75">
      <c r="A227" s="718" t="s">
        <v>1206</v>
      </c>
    </row>
    <row r="228" spans="1:14" s="33" customFormat="1" ht="12.75">
      <c r="A228" s="175"/>
    </row>
    <row r="229" spans="1:14" ht="18.75">
      <c r="A229" s="846" t="s">
        <v>526</v>
      </c>
      <c r="E229" s="2"/>
      <c r="F229" s="2"/>
      <c r="G229" s="2"/>
      <c r="H229" s="2"/>
      <c r="I229" s="2"/>
    </row>
    <row r="230" spans="1:14" s="2" customFormat="1" ht="12.75"/>
    <row r="231" spans="1:14" s="2" customFormat="1" ht="12.75">
      <c r="A231" s="2" t="s">
        <v>605</v>
      </c>
    </row>
    <row r="232" spans="1:14" s="2" customFormat="1" ht="12.75">
      <c r="A232" s="19" t="s">
        <v>528</v>
      </c>
    </row>
    <row r="233" spans="1:14" s="2" customFormat="1" ht="12.75">
      <c r="A233" s="2" t="s">
        <v>1387</v>
      </c>
    </row>
    <row r="234" spans="1:14" s="2" customFormat="1" ht="12.75">
      <c r="A234" s="19" t="s">
        <v>1388</v>
      </c>
    </row>
    <row r="235" spans="1:14" s="2" customFormat="1" ht="12.75">
      <c r="A235" s="19" t="s">
        <v>1389</v>
      </c>
    </row>
    <row r="236" spans="1:14" s="2" customFormat="1" ht="12.75">
      <c r="A236" s="850" t="s">
        <v>1426</v>
      </c>
    </row>
    <row r="237" spans="1:14" s="2" customFormat="1" ht="12.75">
      <c r="A237" s="415" t="s">
        <v>844</v>
      </c>
    </row>
    <row r="238" spans="1:14" s="2" customFormat="1" ht="12.75">
      <c r="A238" s="415" t="s">
        <v>843</v>
      </c>
    </row>
    <row r="239" spans="1:14" s="2" customFormat="1" ht="12.75">
      <c r="A239" s="2" t="s">
        <v>1391</v>
      </c>
    </row>
    <row r="240" spans="1:14" s="2" customFormat="1" ht="12.75">
      <c r="A240" s="415" t="s">
        <v>845</v>
      </c>
    </row>
    <row r="241" spans="1:12" s="2" customFormat="1" ht="12.75">
      <c r="A241" s="415" t="s">
        <v>840</v>
      </c>
    </row>
    <row r="242" spans="1:12" s="2" customFormat="1" ht="12.75">
      <c r="A242" s="415" t="s">
        <v>841</v>
      </c>
    </row>
    <row r="243" spans="1:12" s="2" customFormat="1" ht="12.75">
      <c r="A243" s="415" t="s">
        <v>842</v>
      </c>
    </row>
    <row r="244" spans="1:12" s="2" customFormat="1" ht="12.75">
      <c r="A244" s="2" t="s">
        <v>698</v>
      </c>
    </row>
    <row r="245" spans="1:12" s="2" customFormat="1" ht="12.75">
      <c r="A245" s="19" t="s">
        <v>543</v>
      </c>
    </row>
    <row r="246" spans="1:12" s="2" customFormat="1" ht="12.75">
      <c r="A246" s="168" t="s">
        <v>801</v>
      </c>
    </row>
    <row r="247" spans="1:12" s="2" customFormat="1" ht="12.75">
      <c r="A247" s="19" t="s">
        <v>802</v>
      </c>
    </row>
    <row r="248" spans="1:12" s="2" customFormat="1" ht="12.75">
      <c r="A248" s="19" t="s">
        <v>803</v>
      </c>
    </row>
    <row r="249" spans="1:12" s="2" customFormat="1" ht="12.75"/>
    <row r="250" spans="1:12" s="2" customFormat="1" ht="12.75"/>
    <row r="251" spans="1:12" s="2" customFormat="1" ht="12.75">
      <c r="B251" s="2" t="s">
        <v>536</v>
      </c>
    </row>
    <row r="252" spans="1:12" s="2" customFormat="1" ht="12.75">
      <c r="B252" s="897" t="s">
        <v>333</v>
      </c>
      <c r="C252" s="898"/>
      <c r="D252" s="898"/>
      <c r="E252" s="899" t="s">
        <v>530</v>
      </c>
      <c r="F252" s="898"/>
      <c r="G252" s="898"/>
      <c r="H252" s="898"/>
      <c r="I252" s="899" t="s">
        <v>1353</v>
      </c>
      <c r="J252" s="635"/>
      <c r="K252" s="635"/>
      <c r="L252" s="646"/>
    </row>
    <row r="253" spans="1:12" s="2" customFormat="1" ht="12.75">
      <c r="B253" s="647" t="s">
        <v>533</v>
      </c>
      <c r="C253" s="631"/>
      <c r="D253" s="631"/>
      <c r="E253" s="631" t="s">
        <v>1362</v>
      </c>
      <c r="F253" s="631"/>
      <c r="G253" s="631"/>
      <c r="H253" s="631"/>
      <c r="I253" s="631" t="s">
        <v>1365</v>
      </c>
      <c r="J253" s="631"/>
      <c r="K253" s="631"/>
      <c r="L253" s="649"/>
    </row>
    <row r="254" spans="1:12" s="2" customFormat="1" ht="12.75">
      <c r="B254" s="842"/>
      <c r="C254" s="631"/>
      <c r="D254" s="631"/>
      <c r="E254" s="841" t="s">
        <v>1364</v>
      </c>
      <c r="F254" s="631"/>
      <c r="G254" s="631"/>
      <c r="H254" s="631"/>
      <c r="I254" s="841" t="s">
        <v>1366</v>
      </c>
      <c r="J254" s="631"/>
      <c r="K254" s="631"/>
      <c r="L254" s="649"/>
    </row>
    <row r="255" spans="1:12" s="2" customFormat="1" ht="12.75">
      <c r="B255" s="842"/>
      <c r="C255" s="631"/>
      <c r="D255" s="631"/>
      <c r="E255" s="843"/>
      <c r="F255" s="631"/>
      <c r="G255" s="631"/>
      <c r="H255" s="631"/>
      <c r="I255" s="843"/>
      <c r="J255" s="631"/>
      <c r="K255" s="631"/>
      <c r="L255" s="649"/>
    </row>
    <row r="256" spans="1:12" s="2" customFormat="1" ht="12.75">
      <c r="B256" s="647" t="s">
        <v>534</v>
      </c>
      <c r="C256" s="648"/>
      <c r="D256" s="631"/>
      <c r="E256" s="631" t="s">
        <v>1350</v>
      </c>
      <c r="F256" s="631"/>
      <c r="G256" s="631"/>
      <c r="H256" s="631"/>
      <c r="I256" s="631" t="s">
        <v>1354</v>
      </c>
      <c r="J256" s="631"/>
      <c r="K256" s="631"/>
      <c r="L256" s="649"/>
    </row>
    <row r="257" spans="2:12" s="2" customFormat="1" ht="12.75">
      <c r="B257" s="647"/>
      <c r="C257" s="648"/>
      <c r="D257" s="631"/>
      <c r="E257" s="841" t="s">
        <v>1351</v>
      </c>
      <c r="F257" s="631"/>
      <c r="G257" s="631"/>
      <c r="H257" s="631"/>
      <c r="I257" s="631"/>
      <c r="J257" s="631"/>
      <c r="K257" s="631"/>
      <c r="L257" s="649"/>
    </row>
    <row r="258" spans="2:12" s="2" customFormat="1" ht="12.75">
      <c r="B258" s="647"/>
      <c r="C258" s="648"/>
      <c r="D258" s="631"/>
      <c r="E258" s="841" t="s">
        <v>1352</v>
      </c>
      <c r="F258" s="631"/>
      <c r="G258" s="631"/>
      <c r="H258" s="631"/>
      <c r="I258" s="631"/>
      <c r="J258" s="631"/>
      <c r="K258" s="631"/>
      <c r="L258" s="649"/>
    </row>
    <row r="259" spans="2:12" s="2" customFormat="1" ht="12.75">
      <c r="B259" s="647"/>
      <c r="C259" s="648"/>
      <c r="D259" s="631"/>
      <c r="E259" s="633"/>
      <c r="F259" s="631"/>
      <c r="G259" s="631"/>
      <c r="H259" s="631"/>
      <c r="I259" s="631"/>
      <c r="J259" s="631"/>
      <c r="K259" s="631"/>
      <c r="L259" s="649"/>
    </row>
    <row r="260" spans="2:12" s="2" customFormat="1" ht="12.75">
      <c r="B260" s="647" t="s">
        <v>531</v>
      </c>
      <c r="C260" s="648"/>
      <c r="D260" s="631"/>
      <c r="E260" s="631" t="s">
        <v>529</v>
      </c>
      <c r="F260" s="631"/>
      <c r="G260" s="631"/>
      <c r="H260" s="631"/>
      <c r="I260" s="631" t="s">
        <v>1355</v>
      </c>
      <c r="J260" s="631"/>
      <c r="K260" s="631"/>
      <c r="L260" s="649"/>
    </row>
    <row r="261" spans="2:12" s="2" customFormat="1" ht="12.75">
      <c r="B261" s="647"/>
      <c r="C261" s="648"/>
      <c r="D261" s="631"/>
      <c r="E261" s="631"/>
      <c r="F261" s="631"/>
      <c r="G261" s="631"/>
      <c r="H261" s="631"/>
      <c r="I261" s="631"/>
      <c r="J261" s="631"/>
      <c r="K261" s="631"/>
      <c r="L261" s="649"/>
    </row>
    <row r="262" spans="2:12" s="2" customFormat="1" ht="12.75">
      <c r="B262" s="647" t="s">
        <v>538</v>
      </c>
      <c r="C262" s="648"/>
      <c r="D262" s="631"/>
      <c r="E262" s="631" t="s">
        <v>1361</v>
      </c>
      <c r="F262" s="631"/>
      <c r="G262" s="631"/>
      <c r="H262" s="631"/>
      <c r="I262" s="343" t="s">
        <v>1471</v>
      </c>
      <c r="J262" s="631"/>
      <c r="K262" s="631"/>
      <c r="L262" s="649"/>
    </row>
    <row r="263" spans="2:12" s="2" customFormat="1" ht="12.75">
      <c r="B263" s="647"/>
      <c r="C263" s="648"/>
      <c r="D263" s="631"/>
      <c r="E263" s="841" t="s">
        <v>1360</v>
      </c>
      <c r="F263" s="631"/>
      <c r="G263" s="631"/>
      <c r="H263" s="631"/>
      <c r="I263" s="841"/>
      <c r="J263" s="631"/>
      <c r="K263" s="631"/>
      <c r="L263" s="649"/>
    </row>
    <row r="264" spans="2:12" s="2" customFormat="1" ht="12.75">
      <c r="B264" s="647"/>
      <c r="C264" s="648"/>
      <c r="D264" s="631"/>
      <c r="E264" s="841"/>
      <c r="F264" s="631"/>
      <c r="G264" s="631"/>
      <c r="H264" s="631"/>
      <c r="I264" s="633"/>
      <c r="J264" s="631"/>
      <c r="K264" s="631"/>
      <c r="L264" s="649"/>
    </row>
    <row r="265" spans="2:12" s="2" customFormat="1" ht="12.75">
      <c r="B265" s="647" t="s">
        <v>544</v>
      </c>
      <c r="C265" s="648"/>
      <c r="D265" s="631"/>
      <c r="E265" s="631" t="s">
        <v>1362</v>
      </c>
      <c r="F265" s="631"/>
      <c r="G265" s="631"/>
      <c r="H265" s="631"/>
      <c r="I265" s="631" t="s">
        <v>1429</v>
      </c>
      <c r="J265" s="631"/>
      <c r="K265" s="631"/>
      <c r="L265" s="649"/>
    </row>
    <row r="266" spans="2:12" s="2" customFormat="1" ht="12.75">
      <c r="B266" s="647"/>
      <c r="C266" s="648"/>
      <c r="D266" s="631"/>
      <c r="E266" s="841" t="s">
        <v>1363</v>
      </c>
      <c r="F266" s="631"/>
      <c r="G266" s="631"/>
      <c r="H266" s="631"/>
      <c r="I266" s="841" t="s">
        <v>1493</v>
      </c>
      <c r="J266" s="631"/>
      <c r="K266" s="631"/>
      <c r="L266" s="649"/>
    </row>
    <row r="267" spans="2:12" s="2" customFormat="1" ht="12.75">
      <c r="B267" s="647"/>
      <c r="C267" s="648"/>
      <c r="D267" s="631"/>
      <c r="E267" s="633"/>
      <c r="F267" s="631"/>
      <c r="G267" s="631"/>
      <c r="H267" s="631"/>
      <c r="I267" s="631"/>
      <c r="J267" s="631"/>
      <c r="K267" s="631"/>
      <c r="L267" s="649"/>
    </row>
    <row r="268" spans="2:12" s="2" customFormat="1" ht="12.75">
      <c r="B268" s="647" t="s">
        <v>606</v>
      </c>
      <c r="C268" s="648"/>
      <c r="D268" s="631"/>
      <c r="E268" s="650" t="s">
        <v>535</v>
      </c>
      <c r="F268" s="631"/>
      <c r="G268" s="631"/>
      <c r="H268" s="631"/>
      <c r="I268" s="2" t="s">
        <v>1472</v>
      </c>
      <c r="J268" s="631"/>
      <c r="K268" s="631"/>
      <c r="L268" s="649"/>
    </row>
    <row r="269" spans="2:12" s="2" customFormat="1" ht="12.75">
      <c r="B269" s="647"/>
      <c r="C269" s="648"/>
      <c r="D269" s="631"/>
      <c r="E269" s="650"/>
      <c r="F269" s="631"/>
      <c r="G269" s="631"/>
      <c r="H269" s="631"/>
      <c r="I269" s="631"/>
      <c r="J269" s="631"/>
      <c r="K269" s="631"/>
      <c r="L269" s="649"/>
    </row>
    <row r="270" spans="2:12" s="2" customFormat="1" ht="12.75">
      <c r="B270" s="647" t="s">
        <v>1373</v>
      </c>
      <c r="C270" s="648"/>
      <c r="D270" s="631"/>
      <c r="E270" s="844" t="s">
        <v>1380</v>
      </c>
      <c r="F270" s="631"/>
      <c r="G270" s="631"/>
      <c r="H270" s="631"/>
      <c r="I270" s="631" t="s">
        <v>1375</v>
      </c>
      <c r="J270" s="631"/>
      <c r="K270" s="631"/>
      <c r="L270" s="649"/>
    </row>
    <row r="271" spans="2:12" s="2" customFormat="1" ht="12.75">
      <c r="B271" s="647"/>
      <c r="C271" s="648"/>
      <c r="D271" s="631"/>
      <c r="E271" s="650"/>
      <c r="F271" s="631"/>
      <c r="G271" s="631"/>
      <c r="H271" s="631"/>
      <c r="I271" s="841" t="s">
        <v>1374</v>
      </c>
      <c r="J271" s="631"/>
      <c r="K271" s="631"/>
      <c r="L271" s="649"/>
    </row>
    <row r="272" spans="2:12" s="2" customFormat="1" ht="12.75">
      <c r="B272" s="647"/>
      <c r="C272" s="648"/>
      <c r="D272" s="631"/>
      <c r="E272" s="650"/>
      <c r="F272" s="631"/>
      <c r="G272" s="631"/>
      <c r="H272" s="631"/>
      <c r="I272" s="631"/>
      <c r="J272" s="631"/>
      <c r="K272" s="631"/>
      <c r="L272" s="649"/>
    </row>
    <row r="273" spans="2:12" s="2" customFormat="1" ht="12.75">
      <c r="B273" s="647" t="s">
        <v>1376</v>
      </c>
      <c r="C273" s="648"/>
      <c r="D273" s="631"/>
      <c r="E273" s="851" t="s">
        <v>1428</v>
      </c>
      <c r="F273" s="631"/>
      <c r="G273" s="631"/>
      <c r="H273" s="631"/>
      <c r="I273" s="631" t="s">
        <v>1377</v>
      </c>
      <c r="J273" s="631"/>
      <c r="K273" s="631"/>
      <c r="L273" s="649"/>
    </row>
    <row r="274" spans="2:12" s="2" customFormat="1" ht="12.75">
      <c r="B274" s="647"/>
      <c r="C274" s="648"/>
      <c r="D274" s="631"/>
      <c r="E274" s="650"/>
      <c r="F274" s="631"/>
      <c r="G274" s="631"/>
      <c r="H274" s="631"/>
      <c r="I274" s="841" t="s">
        <v>1378</v>
      </c>
      <c r="J274" s="631"/>
      <c r="K274" s="631"/>
      <c r="L274" s="649"/>
    </row>
    <row r="275" spans="2:12" s="2" customFormat="1" ht="12.75">
      <c r="B275" s="647"/>
      <c r="C275" s="648"/>
      <c r="D275" s="631"/>
      <c r="E275" s="650"/>
      <c r="F275" s="631"/>
      <c r="G275" s="631"/>
      <c r="H275" s="631"/>
      <c r="I275" s="841" t="s">
        <v>1379</v>
      </c>
      <c r="J275" s="631"/>
      <c r="K275" s="631"/>
      <c r="L275" s="649"/>
    </row>
    <row r="276" spans="2:12" s="2" customFormat="1" ht="12.75">
      <c r="B276" s="647"/>
      <c r="C276" s="648"/>
      <c r="D276" s="631"/>
      <c r="E276" s="650"/>
      <c r="F276" s="631"/>
      <c r="G276" s="631"/>
      <c r="H276" s="631"/>
      <c r="I276" s="841" t="s">
        <v>1381</v>
      </c>
      <c r="J276" s="631"/>
      <c r="K276" s="631"/>
      <c r="L276" s="649"/>
    </row>
    <row r="277" spans="2:12" s="2" customFormat="1" ht="12.75">
      <c r="B277" s="647"/>
      <c r="C277" s="648"/>
      <c r="D277" s="631"/>
      <c r="E277" s="650"/>
      <c r="F277" s="631"/>
      <c r="G277" s="631"/>
      <c r="H277" s="631"/>
      <c r="I277" s="841" t="s">
        <v>1382</v>
      </c>
      <c r="J277" s="631"/>
      <c r="K277" s="631"/>
      <c r="L277" s="649"/>
    </row>
    <row r="278" spans="2:12" s="2" customFormat="1" ht="12.75">
      <c r="B278" s="647"/>
      <c r="C278" s="648"/>
      <c r="D278" s="631"/>
      <c r="E278" s="650"/>
      <c r="F278" s="631"/>
      <c r="G278" s="631"/>
      <c r="H278" s="631"/>
      <c r="I278" s="841"/>
      <c r="J278" s="631"/>
      <c r="K278" s="631"/>
      <c r="L278" s="649"/>
    </row>
    <row r="279" spans="2:12" s="2" customFormat="1" ht="12.75">
      <c r="B279" s="647" t="s">
        <v>1357</v>
      </c>
      <c r="C279" s="648"/>
      <c r="D279" s="631"/>
      <c r="E279" s="631" t="s">
        <v>532</v>
      </c>
      <c r="F279" s="631"/>
      <c r="G279" s="631"/>
      <c r="H279" s="631"/>
      <c r="I279" s="631" t="s">
        <v>1358</v>
      </c>
      <c r="J279" s="631"/>
      <c r="K279" s="631"/>
      <c r="L279" s="649"/>
    </row>
    <row r="280" spans="2:12" s="2" customFormat="1" ht="12.75">
      <c r="B280" s="647"/>
      <c r="C280" s="648"/>
      <c r="D280" s="631"/>
      <c r="E280" s="631"/>
      <c r="F280" s="631"/>
      <c r="G280" s="631"/>
      <c r="H280" s="631"/>
      <c r="I280" s="841" t="s">
        <v>1359</v>
      </c>
      <c r="J280" s="631"/>
      <c r="K280" s="631"/>
      <c r="L280" s="649"/>
    </row>
    <row r="281" spans="2:12" s="2" customFormat="1" ht="12.75">
      <c r="B281" s="647"/>
      <c r="C281" s="648"/>
      <c r="D281" s="631"/>
      <c r="E281" s="631"/>
      <c r="F281" s="631"/>
      <c r="G281" s="631"/>
      <c r="H281" s="631"/>
      <c r="I281" s="631"/>
      <c r="J281" s="631"/>
      <c r="K281" s="631"/>
      <c r="L281" s="649"/>
    </row>
    <row r="282" spans="2:12" s="2" customFormat="1" ht="12.75">
      <c r="B282" s="647" t="s">
        <v>1356</v>
      </c>
      <c r="C282" s="648"/>
      <c r="D282" s="631"/>
      <c r="E282" s="2" t="s">
        <v>1494</v>
      </c>
      <c r="F282" s="631"/>
      <c r="G282" s="631"/>
      <c r="H282" s="631"/>
      <c r="I282" s="631" t="s">
        <v>1370</v>
      </c>
      <c r="J282" s="631"/>
      <c r="K282" s="631"/>
      <c r="L282" s="649"/>
    </row>
    <row r="283" spans="2:12" s="2" customFormat="1" ht="12.75">
      <c r="B283" s="647"/>
      <c r="C283" s="648"/>
      <c r="D283" s="631"/>
      <c r="E283" s="631"/>
      <c r="F283" s="631"/>
      <c r="G283" s="631"/>
      <c r="H283" s="631"/>
      <c r="I283" s="841" t="s">
        <v>1371</v>
      </c>
      <c r="J283" s="631"/>
      <c r="K283" s="631"/>
      <c r="L283" s="649"/>
    </row>
    <row r="284" spans="2:12" s="2" customFormat="1" ht="12.75">
      <c r="B284" s="647"/>
      <c r="C284" s="648"/>
      <c r="D284" s="631"/>
      <c r="E284" s="631"/>
      <c r="F284" s="631"/>
      <c r="G284" s="631"/>
      <c r="H284" s="631"/>
      <c r="I284" s="841" t="s">
        <v>1372</v>
      </c>
      <c r="J284" s="631"/>
      <c r="K284" s="631"/>
      <c r="L284" s="649"/>
    </row>
    <row r="285" spans="2:12" s="2" customFormat="1" ht="12.75">
      <c r="B285" s="647"/>
      <c r="C285" s="648"/>
      <c r="D285" s="631"/>
      <c r="E285" s="631"/>
      <c r="F285" s="631"/>
      <c r="G285" s="631"/>
      <c r="H285" s="631"/>
      <c r="I285" s="631"/>
      <c r="J285" s="631"/>
      <c r="K285" s="631"/>
      <c r="L285" s="649"/>
    </row>
    <row r="286" spans="2:12" s="2" customFormat="1" ht="12.75">
      <c r="B286" s="647" t="s">
        <v>1367</v>
      </c>
      <c r="C286" s="648"/>
      <c r="D286" s="631"/>
      <c r="E286" s="631" t="s">
        <v>1368</v>
      </c>
      <c r="F286" s="631"/>
      <c r="G286" s="631"/>
      <c r="H286" s="631"/>
      <c r="I286" s="631" t="s">
        <v>1369</v>
      </c>
      <c r="J286" s="631"/>
      <c r="K286" s="631"/>
      <c r="L286" s="649"/>
    </row>
    <row r="287" spans="2:12" s="2" customFormat="1" ht="12.75">
      <c r="B287" s="647"/>
      <c r="C287" s="648"/>
      <c r="D287" s="631"/>
      <c r="E287" s="631"/>
      <c r="F287" s="631"/>
      <c r="G287" s="631"/>
      <c r="H287" s="631"/>
      <c r="I287" s="631"/>
      <c r="J287" s="631"/>
      <c r="K287" s="631"/>
      <c r="L287" s="649"/>
    </row>
    <row r="288" spans="2:12" s="2" customFormat="1" ht="12.75">
      <c r="B288" s="647" t="s">
        <v>1383</v>
      </c>
      <c r="C288" s="648"/>
      <c r="D288" s="631"/>
      <c r="E288" s="631" t="s">
        <v>960</v>
      </c>
      <c r="F288" s="631"/>
      <c r="G288" s="631"/>
      <c r="H288" s="631"/>
      <c r="I288" s="631" t="s">
        <v>1385</v>
      </c>
      <c r="J288" s="631"/>
      <c r="K288" s="631"/>
      <c r="L288" s="649"/>
    </row>
    <row r="289" spans="1:12" s="2" customFormat="1" ht="12.75">
      <c r="B289" s="651"/>
      <c r="C289" s="652"/>
      <c r="D289" s="643"/>
      <c r="E289" s="643"/>
      <c r="F289" s="643"/>
      <c r="G289" s="643"/>
      <c r="H289" s="643"/>
      <c r="I289" s="845" t="s">
        <v>1384</v>
      </c>
      <c r="J289" s="643"/>
      <c r="K289" s="643"/>
      <c r="L289" s="653"/>
    </row>
    <row r="290" spans="1:12">
      <c r="B290" s="1" t="s">
        <v>537</v>
      </c>
    </row>
    <row r="291" spans="1:12">
      <c r="B291" s="1"/>
    </row>
    <row r="292" spans="1:12" s="2" customFormat="1">
      <c r="A292" s="189" t="s">
        <v>518</v>
      </c>
      <c r="B292" s="1"/>
      <c r="C292" s="187"/>
    </row>
    <row r="293" spans="1:12" s="2" customFormat="1" ht="12.75">
      <c r="B293" s="1"/>
      <c r="C293" s="187"/>
    </row>
    <row r="294" spans="1:12" s="2" customFormat="1" ht="12.75">
      <c r="A294" s="2" t="s">
        <v>539</v>
      </c>
      <c r="B294" s="1"/>
      <c r="C294" s="187"/>
    </row>
    <row r="295" spans="1:12" s="2" customFormat="1" ht="12.75">
      <c r="A295" s="2" t="s">
        <v>540</v>
      </c>
      <c r="B295" s="1"/>
      <c r="C295" s="187"/>
    </row>
    <row r="296" spans="1:12" s="2" customFormat="1" ht="12.75">
      <c r="A296" s="2" t="s">
        <v>541</v>
      </c>
      <c r="B296" s="1"/>
      <c r="C296" s="187"/>
    </row>
    <row r="297" spans="1:12" s="2" customFormat="1" ht="12.75">
      <c r="B297" s="1"/>
      <c r="C297" s="187"/>
    </row>
    <row r="298" spans="1:12" s="2" customFormat="1" ht="12.75">
      <c r="A298" s="190" t="s">
        <v>542</v>
      </c>
      <c r="B298" s="1"/>
      <c r="C298" s="187"/>
    </row>
    <row r="299" spans="1:12" s="2" customFormat="1" ht="12.75">
      <c r="A299" s="80" t="s">
        <v>545</v>
      </c>
      <c r="B299" s="1"/>
      <c r="C299" s="187"/>
    </row>
    <row r="300" spans="1:12" s="2" customFormat="1" ht="12.75">
      <c r="A300" s="163" t="s">
        <v>546</v>
      </c>
      <c r="B300" s="1"/>
      <c r="C300" s="187"/>
    </row>
    <row r="301" spans="1:12" s="2" customFormat="1" ht="12.75">
      <c r="A301" s="191"/>
      <c r="B301" s="1"/>
      <c r="C301" s="187"/>
    </row>
    <row r="302" spans="1:12" s="2" customFormat="1" ht="12.75">
      <c r="A302" s="190" t="s">
        <v>699</v>
      </c>
      <c r="B302" s="1"/>
      <c r="C302" s="187"/>
    </row>
    <row r="303" spans="1:12" s="2" customFormat="1" ht="12.75">
      <c r="A303" s="80" t="s">
        <v>607</v>
      </c>
      <c r="B303" s="1"/>
      <c r="C303" s="187"/>
    </row>
    <row r="304" spans="1:12" s="2" customFormat="1" ht="12.75">
      <c r="A304" s="80" t="s">
        <v>563</v>
      </c>
      <c r="B304" s="1"/>
      <c r="C304" s="187"/>
    </row>
    <row r="305" spans="1:7" s="2" customFormat="1" ht="12.75">
      <c r="A305" s="192" t="s">
        <v>552</v>
      </c>
      <c r="B305" s="1"/>
      <c r="C305" s="187"/>
    </row>
    <row r="306" spans="1:7" s="2" customFormat="1" ht="12.75">
      <c r="A306" s="80" t="s">
        <v>608</v>
      </c>
      <c r="B306" s="1"/>
      <c r="C306" s="187"/>
    </row>
    <row r="307" spans="1:7" s="2" customFormat="1" ht="12.75">
      <c r="A307" s="193" t="s">
        <v>553</v>
      </c>
      <c r="B307" s="1"/>
      <c r="C307" s="187"/>
    </row>
    <row r="308" spans="1:7" s="2" customFormat="1" ht="12.75">
      <c r="A308" s="193" t="s">
        <v>554</v>
      </c>
      <c r="B308" s="1"/>
      <c r="C308" s="187"/>
    </row>
    <row r="309" spans="1:7" s="2" customFormat="1" ht="12.75">
      <c r="A309" s="193" t="s">
        <v>555</v>
      </c>
      <c r="B309" s="1"/>
      <c r="C309" s="187"/>
    </row>
    <row r="310" spans="1:7" s="2" customFormat="1">
      <c r="A310" s="194" t="s">
        <v>519</v>
      </c>
      <c r="B310"/>
      <c r="C310"/>
    </row>
    <row r="311" spans="1:7" s="2" customFormat="1">
      <c r="A311"/>
      <c r="B311"/>
      <c r="C311"/>
    </row>
    <row r="312" spans="1:7" s="2" customFormat="1" ht="12.75">
      <c r="A312" s="195"/>
      <c r="B312" s="195" t="s">
        <v>593</v>
      </c>
      <c r="C312" s="195"/>
    </row>
    <row r="313" spans="1:7" s="2" customFormat="1" ht="12.75">
      <c r="A313" s="195"/>
      <c r="B313" s="654" t="s">
        <v>558</v>
      </c>
      <c r="C313" s="655"/>
      <c r="D313" s="635"/>
      <c r="E313" s="655" t="s">
        <v>557</v>
      </c>
      <c r="F313" s="635"/>
      <c r="G313" s="646"/>
    </row>
    <row r="314" spans="1:7" s="2" customFormat="1" ht="12.75">
      <c r="A314" s="195"/>
      <c r="B314" s="656" t="s">
        <v>520</v>
      </c>
      <c r="C314" s="657"/>
      <c r="D314" s="631"/>
      <c r="E314" s="657" t="s">
        <v>726</v>
      </c>
      <c r="F314" s="631"/>
      <c r="G314" s="649"/>
    </row>
    <row r="315" spans="1:7" s="2" customFormat="1" ht="12.75">
      <c r="A315" s="195"/>
      <c r="B315" s="656" t="s">
        <v>521</v>
      </c>
      <c r="C315" s="657"/>
      <c r="D315" s="631"/>
      <c r="E315" s="657" t="s">
        <v>559</v>
      </c>
      <c r="F315" s="631"/>
      <c r="G315" s="649"/>
    </row>
    <row r="316" spans="1:7" s="2" customFormat="1" ht="12.75">
      <c r="A316" s="195"/>
      <c r="B316" s="656" t="s">
        <v>585</v>
      </c>
      <c r="C316" s="657"/>
      <c r="D316" s="631"/>
      <c r="E316" s="657" t="s">
        <v>556</v>
      </c>
      <c r="F316" s="631"/>
      <c r="G316" s="649"/>
    </row>
    <row r="317" spans="1:7" s="2" customFormat="1" ht="12.75">
      <c r="A317" s="195"/>
      <c r="B317" s="656" t="s">
        <v>523</v>
      </c>
      <c r="C317" s="657"/>
      <c r="D317" s="631"/>
      <c r="E317" s="657" t="s">
        <v>598</v>
      </c>
      <c r="F317" s="631"/>
      <c r="G317" s="649"/>
    </row>
    <row r="318" spans="1:7" s="2" customFormat="1" ht="12.75">
      <c r="A318" s="195"/>
      <c r="B318" s="656" t="s">
        <v>522</v>
      </c>
      <c r="C318" s="657"/>
      <c r="D318" s="631"/>
      <c r="E318" s="657" t="s">
        <v>591</v>
      </c>
      <c r="F318" s="631"/>
      <c r="G318" s="649"/>
    </row>
    <row r="319" spans="1:7" s="2" customFormat="1" ht="12.75">
      <c r="A319" s="195"/>
      <c r="B319" s="656" t="s">
        <v>524</v>
      </c>
      <c r="C319" s="657"/>
      <c r="D319" s="631"/>
      <c r="E319" s="658" t="s">
        <v>592</v>
      </c>
      <c r="F319" s="631"/>
      <c r="G319" s="649"/>
    </row>
    <row r="320" spans="1:7" s="2" customFormat="1" ht="12.75">
      <c r="A320" s="195"/>
      <c r="B320" s="656" t="s">
        <v>525</v>
      </c>
      <c r="C320" s="657"/>
      <c r="D320" s="631"/>
      <c r="E320" s="657" t="s">
        <v>560</v>
      </c>
      <c r="F320" s="631"/>
      <c r="G320" s="649"/>
    </row>
    <row r="321" spans="1:7" s="2" customFormat="1" ht="12.75">
      <c r="A321" s="195"/>
      <c r="B321" s="656" t="s">
        <v>561</v>
      </c>
      <c r="C321" s="657"/>
      <c r="D321" s="631"/>
      <c r="E321" s="657" t="s">
        <v>562</v>
      </c>
      <c r="F321" s="631"/>
      <c r="G321" s="649"/>
    </row>
    <row r="322" spans="1:7" s="2" customFormat="1" ht="12.75">
      <c r="A322" s="195"/>
      <c r="B322" s="656" t="s">
        <v>597</v>
      </c>
      <c r="C322" s="657"/>
      <c r="D322" s="631"/>
      <c r="E322" s="657" t="s">
        <v>586</v>
      </c>
      <c r="F322" s="631"/>
      <c r="G322" s="649"/>
    </row>
    <row r="323" spans="1:7" s="2" customFormat="1" ht="12.75">
      <c r="A323" s="195"/>
      <c r="B323" s="656" t="s">
        <v>587</v>
      </c>
      <c r="C323" s="657"/>
      <c r="D323" s="631"/>
      <c r="E323" s="657" t="s">
        <v>588</v>
      </c>
      <c r="F323" s="631"/>
      <c r="G323" s="649"/>
    </row>
    <row r="324" spans="1:7" s="2" customFormat="1" ht="12.75">
      <c r="A324" s="193"/>
      <c r="B324" s="656" t="s">
        <v>589</v>
      </c>
      <c r="C324" s="648"/>
      <c r="D324" s="631"/>
      <c r="E324" s="631" t="s">
        <v>595</v>
      </c>
      <c r="F324" s="631"/>
      <c r="G324" s="649"/>
    </row>
    <row r="325" spans="1:7" s="2" customFormat="1" ht="12.75">
      <c r="A325" s="193"/>
      <c r="B325" s="659" t="s">
        <v>594</v>
      </c>
      <c r="C325" s="652"/>
      <c r="D325" s="643"/>
      <c r="E325" s="643" t="s">
        <v>590</v>
      </c>
      <c r="F325" s="643"/>
      <c r="G325" s="653"/>
    </row>
    <row r="326" spans="1:7" s="2" customFormat="1" ht="12.75">
      <c r="A326" s="193"/>
      <c r="B326" s="1" t="s">
        <v>537</v>
      </c>
      <c r="C326" s="187"/>
    </row>
    <row r="327" spans="1:7" s="2" customFormat="1" ht="12.75">
      <c r="A327" s="193"/>
      <c r="B327" s="1"/>
      <c r="C327" s="187"/>
    </row>
    <row r="328" spans="1:7" s="2" customFormat="1" ht="12.75">
      <c r="A328" s="190" t="s">
        <v>609</v>
      </c>
      <c r="B328" s="1"/>
      <c r="C328" s="187"/>
    </row>
    <row r="329" spans="1:7" s="2" customFormat="1" ht="12.75">
      <c r="A329" s="80" t="s">
        <v>551</v>
      </c>
      <c r="B329" s="1"/>
      <c r="C329" s="187"/>
    </row>
    <row r="330" spans="1:7" s="2" customFormat="1" ht="12.75">
      <c r="A330" s="163" t="s">
        <v>610</v>
      </c>
      <c r="B330" s="1"/>
      <c r="C330" s="187"/>
    </row>
    <row r="331" spans="1:7" s="2" customFormat="1" ht="12.75">
      <c r="A331" s="80" t="s">
        <v>550</v>
      </c>
      <c r="B331" s="1"/>
      <c r="C331" s="187"/>
    </row>
    <row r="332" spans="1:7" s="2" customFormat="1" ht="12.75">
      <c r="A332" s="163" t="s">
        <v>547</v>
      </c>
      <c r="C332" s="187"/>
    </row>
    <row r="333" spans="1:7" s="2" customFormat="1" ht="12.75">
      <c r="A333" s="163" t="s">
        <v>548</v>
      </c>
      <c r="C333" s="187"/>
    </row>
    <row r="334" spans="1:7" s="2" customFormat="1" ht="12.75">
      <c r="A334" s="163" t="s">
        <v>549</v>
      </c>
      <c r="C334" s="187"/>
    </row>
    <row r="335" spans="1:7">
      <c r="A335" s="195"/>
    </row>
    <row r="336" spans="1:7">
      <c r="B336" s="195" t="s">
        <v>564</v>
      </c>
      <c r="C336" s="195"/>
      <c r="D336" s="195"/>
    </row>
    <row r="337" spans="1:11">
      <c r="B337" s="196" t="s">
        <v>565</v>
      </c>
      <c r="C337" s="196"/>
      <c r="D337" s="196" t="s">
        <v>566</v>
      </c>
    </row>
    <row r="338" spans="1:11" s="195" customFormat="1" ht="12.75">
      <c r="B338" s="660" t="s">
        <v>567</v>
      </c>
      <c r="C338" s="661"/>
      <c r="D338" s="661" t="s">
        <v>568</v>
      </c>
      <c r="E338" s="661"/>
      <c r="F338" s="661"/>
      <c r="G338" s="661"/>
      <c r="H338" s="661"/>
      <c r="I338" s="661"/>
      <c r="J338" s="661"/>
      <c r="K338" s="662"/>
    </row>
    <row r="339" spans="1:11" s="195" customFormat="1" ht="12.75">
      <c r="B339" s="663" t="s">
        <v>584</v>
      </c>
      <c r="C339" s="657"/>
      <c r="D339" s="657" t="s">
        <v>569</v>
      </c>
      <c r="E339" s="657"/>
      <c r="F339" s="657"/>
      <c r="G339" s="657"/>
      <c r="H339" s="657"/>
      <c r="I339" s="657"/>
      <c r="J339" s="657"/>
      <c r="K339" s="664"/>
    </row>
    <row r="340" spans="1:11" s="195" customFormat="1" ht="12.75">
      <c r="B340" s="663" t="s">
        <v>570</v>
      </c>
      <c r="C340" s="657"/>
      <c r="D340" s="657" t="s">
        <v>572</v>
      </c>
      <c r="E340" s="657"/>
      <c r="F340" s="657"/>
      <c r="G340" s="657"/>
      <c r="H340" s="657"/>
      <c r="I340" s="657"/>
      <c r="J340" s="657"/>
      <c r="K340" s="664"/>
    </row>
    <row r="341" spans="1:11" s="195" customFormat="1" ht="12.75">
      <c r="B341" s="663" t="s">
        <v>571</v>
      </c>
      <c r="C341" s="657"/>
      <c r="D341" s="657" t="s">
        <v>573</v>
      </c>
      <c r="E341" s="657"/>
      <c r="F341" s="657"/>
      <c r="G341" s="657"/>
      <c r="H341" s="657"/>
      <c r="I341" s="657"/>
      <c r="J341" s="657"/>
      <c r="K341" s="664"/>
    </row>
    <row r="342" spans="1:11" s="195" customFormat="1" ht="12.75">
      <c r="B342" s="663" t="s">
        <v>579</v>
      </c>
      <c r="C342" s="657"/>
      <c r="D342" s="657" t="s">
        <v>578</v>
      </c>
      <c r="E342" s="657"/>
      <c r="F342" s="657"/>
      <c r="G342" s="657"/>
      <c r="H342" s="657"/>
      <c r="I342" s="657"/>
      <c r="J342" s="657"/>
      <c r="K342" s="664"/>
    </row>
    <row r="343" spans="1:11" s="195" customFormat="1" ht="12.75">
      <c r="B343" s="663" t="s">
        <v>574</v>
      </c>
      <c r="C343" s="657"/>
      <c r="D343" s="657" t="s">
        <v>611</v>
      </c>
      <c r="E343" s="657"/>
      <c r="F343" s="657"/>
      <c r="G343" s="657"/>
      <c r="H343" s="657"/>
      <c r="I343" s="657"/>
      <c r="J343" s="657"/>
      <c r="K343" s="664"/>
    </row>
    <row r="344" spans="1:11" s="195" customFormat="1" ht="12.75">
      <c r="B344" s="663" t="s">
        <v>575</v>
      </c>
      <c r="C344" s="657"/>
      <c r="D344" s="657" t="s">
        <v>576</v>
      </c>
      <c r="E344" s="657"/>
      <c r="F344" s="657"/>
      <c r="G344" s="657"/>
      <c r="H344" s="657"/>
      <c r="I344" s="657"/>
      <c r="J344" s="657"/>
      <c r="K344" s="664"/>
    </row>
    <row r="345" spans="1:11" s="195" customFormat="1" ht="12.75">
      <c r="B345" s="663" t="s">
        <v>577</v>
      </c>
      <c r="C345" s="657"/>
      <c r="D345" s="657" t="s">
        <v>580</v>
      </c>
      <c r="E345" s="657"/>
      <c r="F345" s="657"/>
      <c r="G345" s="657"/>
      <c r="H345" s="657"/>
      <c r="I345" s="657"/>
      <c r="J345" s="657"/>
      <c r="K345" s="664"/>
    </row>
    <row r="346" spans="1:11" s="195" customFormat="1" ht="12.75">
      <c r="B346" s="663" t="s">
        <v>581</v>
      </c>
      <c r="C346" s="657"/>
      <c r="D346" s="657" t="s">
        <v>582</v>
      </c>
      <c r="E346" s="657"/>
      <c r="F346" s="657"/>
      <c r="G346" s="657"/>
      <c r="H346" s="657"/>
      <c r="I346" s="657"/>
      <c r="J346" s="657"/>
      <c r="K346" s="664"/>
    </row>
    <row r="347" spans="1:11" s="195" customFormat="1" ht="12.75">
      <c r="B347" s="665" t="s">
        <v>583</v>
      </c>
      <c r="C347" s="666"/>
      <c r="D347" s="666" t="s">
        <v>596</v>
      </c>
      <c r="E347" s="666"/>
      <c r="F347" s="666"/>
      <c r="G347" s="666"/>
      <c r="H347" s="666"/>
      <c r="I347" s="666"/>
      <c r="J347" s="666"/>
      <c r="K347" s="667"/>
    </row>
    <row r="348" spans="1:11" s="195" customFormat="1" ht="12.75">
      <c r="B348" s="1" t="s">
        <v>537</v>
      </c>
    </row>
    <row r="349" spans="1:11" s="174" customFormat="1" ht="12.75">
      <c r="A349" s="173"/>
    </row>
    <row r="350" spans="1:11" s="174" customFormat="1">
      <c r="A350" s="189" t="s">
        <v>1332</v>
      </c>
    </row>
    <row r="351" spans="1:11" s="195" customFormat="1" ht="12.75">
      <c r="A351" s="711" t="s">
        <v>1189</v>
      </c>
      <c r="B351" s="1"/>
    </row>
    <row r="352" spans="1:11" s="702" customFormat="1" ht="12.75">
      <c r="A352" s="168" t="s">
        <v>1190</v>
      </c>
      <c r="B352" s="2"/>
    </row>
    <row r="353" spans="1:12" s="174" customFormat="1" ht="12.75">
      <c r="A353" s="176" t="s">
        <v>1089</v>
      </c>
    </row>
    <row r="354" spans="1:12" s="174" customFormat="1" ht="12.75">
      <c r="A354" s="40" t="s">
        <v>1093</v>
      </c>
    </row>
    <row r="355" spans="1:12" s="174" customFormat="1" ht="12.75">
      <c r="A355" s="837" t="s">
        <v>1325</v>
      </c>
    </row>
    <row r="356" spans="1:12" s="174" customFormat="1" ht="12.75">
      <c r="A356" s="837" t="s">
        <v>1326</v>
      </c>
    </row>
    <row r="357" spans="1:12" s="174" customFormat="1" ht="12.75">
      <c r="A357" s="837" t="s">
        <v>1327</v>
      </c>
    </row>
    <row r="358" spans="1:12" s="174" customFormat="1" ht="12.75">
      <c r="A358" s="837" t="s">
        <v>1328</v>
      </c>
    </row>
    <row r="359" spans="1:12" s="174" customFormat="1" ht="12.75">
      <c r="A359" s="833" t="s">
        <v>1329</v>
      </c>
    </row>
    <row r="360" spans="1:12" s="174" customFormat="1" ht="12.75">
      <c r="A360" s="834" t="s">
        <v>1330</v>
      </c>
    </row>
    <row r="362" spans="1:12">
      <c r="B362" t="s">
        <v>1331</v>
      </c>
    </row>
    <row r="363" spans="1:12" s="174" customFormat="1" ht="12.75">
      <c r="A363" s="177"/>
    </row>
    <row r="364" spans="1:12" s="174" customFormat="1" ht="15.95" customHeight="1">
      <c r="B364" s="178" t="s">
        <v>813</v>
      </c>
      <c r="C364" s="985" t="s">
        <v>711</v>
      </c>
      <c r="D364" s="985"/>
      <c r="E364" s="985"/>
      <c r="F364" s="985"/>
      <c r="G364" s="985" t="s">
        <v>1092</v>
      </c>
      <c r="H364" s="985"/>
      <c r="I364" s="986" t="s">
        <v>1337</v>
      </c>
      <c r="J364" s="986"/>
      <c r="K364" s="986"/>
    </row>
    <row r="365" spans="1:12" s="174" customFormat="1" ht="25.5">
      <c r="B365" s="179" t="s">
        <v>710</v>
      </c>
      <c r="C365" s="965" t="s">
        <v>712</v>
      </c>
      <c r="D365" s="965"/>
      <c r="E365" s="965"/>
      <c r="F365" s="965"/>
      <c r="G365" s="987" t="s">
        <v>1322</v>
      </c>
      <c r="H365" s="988"/>
      <c r="I365" s="968" t="s">
        <v>838</v>
      </c>
      <c r="J365" s="965"/>
      <c r="K365" s="965"/>
      <c r="L365" s="180" t="s">
        <v>464</v>
      </c>
    </row>
    <row r="366" spans="1:12" s="174" customFormat="1" ht="30" customHeight="1">
      <c r="B366" s="181" t="s">
        <v>925</v>
      </c>
      <c r="C366" s="970" t="s">
        <v>721</v>
      </c>
      <c r="D366" s="971"/>
      <c r="E366" s="971"/>
      <c r="F366" s="971"/>
      <c r="G366" s="970" t="s">
        <v>826</v>
      </c>
      <c r="H366" s="972"/>
      <c r="I366" s="973" t="s">
        <v>995</v>
      </c>
      <c r="J366" s="973"/>
      <c r="K366" s="973"/>
      <c r="L366" s="180" t="s">
        <v>464</v>
      </c>
    </row>
    <row r="367" spans="1:12" s="174" customFormat="1" ht="30.95" customHeight="1">
      <c r="B367" s="182" t="s">
        <v>983</v>
      </c>
      <c r="C367" s="974" t="s">
        <v>996</v>
      </c>
      <c r="D367" s="978"/>
      <c r="E367" s="978"/>
      <c r="F367" s="977"/>
      <c r="G367" s="974" t="s">
        <v>987</v>
      </c>
      <c r="H367" s="977"/>
      <c r="I367" s="974" t="s">
        <v>986</v>
      </c>
      <c r="J367" s="975"/>
      <c r="K367" s="976"/>
      <c r="L367" s="180" t="s">
        <v>464</v>
      </c>
    </row>
    <row r="368" spans="1:12" s="174" customFormat="1" ht="27" customHeight="1">
      <c r="A368" s="183"/>
      <c r="B368" s="179" t="s">
        <v>807</v>
      </c>
      <c r="C368" s="979" t="s">
        <v>993</v>
      </c>
      <c r="D368" s="980"/>
      <c r="E368" s="980"/>
      <c r="F368" s="980"/>
      <c r="G368" s="981" t="s">
        <v>797</v>
      </c>
      <c r="H368" s="982"/>
      <c r="I368" s="983" t="s">
        <v>924</v>
      </c>
      <c r="J368" s="984"/>
      <c r="K368" s="984"/>
      <c r="L368" s="180" t="s">
        <v>465</v>
      </c>
    </row>
    <row r="369" spans="1:33" s="174" customFormat="1" ht="25.5">
      <c r="B369" s="179" t="s">
        <v>808</v>
      </c>
      <c r="C369" s="966" t="s">
        <v>812</v>
      </c>
      <c r="D369" s="965"/>
      <c r="E369" s="965"/>
      <c r="F369" s="965"/>
      <c r="G369" s="969" t="s">
        <v>740</v>
      </c>
      <c r="H369" s="967"/>
      <c r="I369" s="968" t="s">
        <v>829</v>
      </c>
      <c r="J369" s="967"/>
      <c r="K369" s="967"/>
      <c r="L369" s="180" t="s">
        <v>465</v>
      </c>
    </row>
    <row r="370" spans="1:33" s="174" customFormat="1" ht="29.1" customHeight="1">
      <c r="B370" s="179" t="s">
        <v>810</v>
      </c>
      <c r="C370" s="968" t="s">
        <v>833</v>
      </c>
      <c r="D370" s="965"/>
      <c r="E370" s="965"/>
      <c r="F370" s="965"/>
      <c r="G370" s="969" t="s">
        <v>739</v>
      </c>
      <c r="H370" s="967"/>
      <c r="I370" s="968" t="s">
        <v>839</v>
      </c>
      <c r="J370" s="967"/>
      <c r="K370" s="967"/>
      <c r="L370" s="180" t="s">
        <v>465</v>
      </c>
    </row>
    <row r="371" spans="1:33" s="174" customFormat="1" ht="27.95" customHeight="1">
      <c r="B371" s="179" t="s">
        <v>811</v>
      </c>
      <c r="C371" s="964" t="s">
        <v>994</v>
      </c>
      <c r="D371" s="965"/>
      <c r="E371" s="965"/>
      <c r="F371" s="965"/>
      <c r="G371" s="966" t="s">
        <v>809</v>
      </c>
      <c r="H371" s="967"/>
      <c r="I371" s="968" t="s">
        <v>837</v>
      </c>
      <c r="J371" s="967"/>
      <c r="K371" s="967"/>
      <c r="L371" s="180" t="s">
        <v>465</v>
      </c>
    </row>
    <row r="372" spans="1:33" s="174" customFormat="1" ht="12.75">
      <c r="A372" s="177"/>
      <c r="B372" s="838" t="s">
        <v>537</v>
      </c>
    </row>
    <row r="373" spans="1:33" s="195" customFormat="1" ht="12.75">
      <c r="B373" s="1"/>
    </row>
    <row r="374" spans="1:33">
      <c r="A374" s="168" t="s">
        <v>1495</v>
      </c>
    </row>
    <row r="375" spans="1:33" s="702" customFormat="1" ht="12.75">
      <c r="A375" s="168" t="s">
        <v>1496</v>
      </c>
      <c r="B375" s="2"/>
    </row>
    <row r="376" spans="1:33" s="702" customFormat="1" ht="12.75">
      <c r="A376" s="19" t="s">
        <v>1183</v>
      </c>
      <c r="B376" s="2"/>
    </row>
    <row r="377" spans="1:33" s="702" customFormat="1" ht="12.75">
      <c r="A377" s="19" t="s">
        <v>1184</v>
      </c>
      <c r="B377" s="2"/>
    </row>
    <row r="378" spans="1:33">
      <c r="B378" s="2"/>
      <c r="C378" s="2"/>
    </row>
    <row r="379" spans="1:33" s="200" customFormat="1">
      <c r="A379" s="197" t="s">
        <v>463</v>
      </c>
      <c r="B379" s="198"/>
      <c r="C379" s="198"/>
      <c r="D379" s="198"/>
      <c r="E379" s="198"/>
      <c r="F379" s="198"/>
      <c r="G379" s="198"/>
      <c r="H379" s="198"/>
      <c r="I379" s="199"/>
      <c r="J379" s="198"/>
      <c r="K379" s="198"/>
      <c r="AE379" s="200" t="b">
        <v>1</v>
      </c>
      <c r="AF379" s="200" t="b">
        <v>0</v>
      </c>
      <c r="AG379" s="201"/>
    </row>
    <row r="380" spans="1:33" s="200" customFormat="1" ht="16.5" thickBot="1">
      <c r="AA380" s="2"/>
      <c r="AB380" s="2"/>
      <c r="AC380" s="2"/>
      <c r="AD380" s="2"/>
      <c r="AE380" s="2"/>
      <c r="AF380" s="2"/>
      <c r="AG380" s="201"/>
    </row>
    <row r="381" spans="1:33" s="202" customFormat="1" ht="13.5" thickBot="1">
      <c r="A381" s="4" t="b">
        <v>0</v>
      </c>
      <c r="B381" s="2" t="str">
        <f>INDEX(X!$CK$23:$CL$28,X!CH23,X!CI23+1)</f>
        <v>When modeling accounting relationships, one or more accounts may drive the value of other accounts.</v>
      </c>
      <c r="AC381" s="2"/>
      <c r="AD381" s="2"/>
    </row>
    <row r="382" spans="1:33" s="202" customFormat="1" ht="13.5" thickBot="1">
      <c r="A382" s="4" t="b">
        <v>0</v>
      </c>
      <c r="B382" s="2" t="str">
        <f>INDEX(X!$CK$23:$CL$28,X!CH24,X!CI24+1)</f>
        <v>If modeling strictly based on business relationships, the dollar impact on one account is exactly equal to the dollar impact of the related account.</v>
      </c>
      <c r="AC382" s="2"/>
      <c r="AD382" s="2"/>
    </row>
    <row r="383" spans="1:33" s="202" customFormat="1" ht="13.5" thickBot="1">
      <c r="A383" s="4" t="b">
        <v>1</v>
      </c>
      <c r="B383" s="2" t="str">
        <f>INDEX(X!$CK$23:$CL$28,X!CH25,X!CI25+1)</f>
        <v>A forecast using the ratio 'Days Sales Outstanding' (DSO) is applying a business relationship.</v>
      </c>
    </row>
    <row r="384" spans="1:33" s="202" customFormat="1" ht="13.5" thickBot="1">
      <c r="A384" s="4" t="b">
        <v>1</v>
      </c>
      <c r="B384" s="2" t="str">
        <f>INDEX(X!$CK$23:$CL$28,X!CH26,X!CI26+1)</f>
        <v>Models create a representation of an idea, process or system to explain a real world phenomena.</v>
      </c>
    </row>
    <row r="385" spans="1:10" s="202" customFormat="1" ht="13.5" thickBot="1">
      <c r="A385" s="4" t="b">
        <v>1</v>
      </c>
      <c r="B385" s="2" t="str">
        <f>INDEX(X!$CK$23:$CL$28,X!CH27,X!CI27+1)</f>
        <v>A forecast applies a model to translate a set of hypotheses about the performance of a financial entity and its behavior into numerical predictions.</v>
      </c>
    </row>
    <row r="386" spans="1:10" s="202" customFormat="1" ht="13.5" thickBot="1">
      <c r="A386" s="4" t="b">
        <v>0</v>
      </c>
      <c r="B386" s="2" t="str">
        <f>INDEX(X!$CK$23:$CL$28,X!CH28,X!CI28+1)</f>
        <v>A model of a company's financial statements must exactly replicate historical financial results.</v>
      </c>
    </row>
    <row r="387" spans="1:10">
      <c r="A387" s="2"/>
      <c r="B387" s="2"/>
      <c r="C387" s="2"/>
    </row>
    <row r="388" spans="1:10">
      <c r="A388" s="2"/>
      <c r="B388" s="2"/>
      <c r="C388" s="2"/>
    </row>
    <row r="389" spans="1:10" s="205" customFormat="1" ht="12.75">
      <c r="A389" s="203" t="s">
        <v>366</v>
      </c>
      <c r="B389" s="204"/>
      <c r="C389" s="204"/>
      <c r="D389" s="204"/>
      <c r="E389" s="204"/>
      <c r="F389" s="204"/>
      <c r="G389" s="204"/>
    </row>
    <row r="390" spans="1:10" s="205" customFormat="1" ht="12.75">
      <c r="A390" s="206" t="s">
        <v>470</v>
      </c>
      <c r="B390" s="204"/>
      <c r="C390" s="204"/>
      <c r="D390" s="204"/>
      <c r="E390" s="204"/>
      <c r="F390" s="204"/>
      <c r="G390" s="204"/>
    </row>
    <row r="391" spans="1:10" s="205" customFormat="1" ht="12.75">
      <c r="A391" s="206"/>
      <c r="B391" s="204"/>
      <c r="C391" s="204"/>
      <c r="D391" s="204"/>
      <c r="E391" s="204"/>
      <c r="F391" s="204"/>
      <c r="G391" s="204"/>
    </row>
    <row r="392" spans="1:10" s="205" customFormat="1" ht="15">
      <c r="B392" s="207"/>
      <c r="C392" s="208"/>
      <c r="D392" s="208"/>
      <c r="E392" s="209">
        <f ca="1">F392-1</f>
        <v>2020</v>
      </c>
      <c r="F392" s="209">
        <f ca="1">G392-1</f>
        <v>2021</v>
      </c>
      <c r="G392" s="209">
        <f ca="1">YEAR(TODAY())-1</f>
        <v>2022</v>
      </c>
      <c r="H392" s="210"/>
      <c r="I392" s="204"/>
      <c r="J392" s="211"/>
    </row>
    <row r="393" spans="1:10" s="205" customFormat="1" ht="15">
      <c r="B393" s="212" t="s">
        <v>81</v>
      </c>
      <c r="C393" s="213"/>
      <c r="D393" s="213"/>
      <c r="E393" s="214">
        <f>15000000+X!CH2*1038</f>
        <v>15004152</v>
      </c>
      <c r="F393" s="709">
        <f>E393*(1.05)</f>
        <v>15754359.600000001</v>
      </c>
      <c r="G393" s="709">
        <f>F393*(1.05)</f>
        <v>16542077.580000002</v>
      </c>
      <c r="H393" s="215"/>
      <c r="I393" s="204"/>
      <c r="J393" s="211"/>
    </row>
    <row r="394" spans="1:10" s="205" customFormat="1" ht="15">
      <c r="B394" s="216"/>
      <c r="C394" s="213"/>
      <c r="D394" s="213"/>
      <c r="E394" s="217"/>
      <c r="F394" s="217"/>
      <c r="G394" s="217"/>
      <c r="H394" s="215"/>
      <c r="I394" s="204"/>
      <c r="J394" s="211"/>
    </row>
    <row r="395" spans="1:10" s="205" customFormat="1" ht="15">
      <c r="B395" s="212" t="s">
        <v>365</v>
      </c>
      <c r="C395" s="218"/>
      <c r="D395" s="218"/>
      <c r="E395" s="219">
        <f>10000000+X!CV3</f>
        <v>10000000</v>
      </c>
      <c r="F395" s="219">
        <f>E399</f>
        <v>10025000</v>
      </c>
      <c r="G395" s="219">
        <f>F399</f>
        <v>10038210</v>
      </c>
      <c r="H395" s="215"/>
      <c r="I395" s="204"/>
      <c r="J395" s="220"/>
    </row>
    <row r="396" spans="1:10" s="205" customFormat="1" ht="15">
      <c r="B396" s="221" t="s">
        <v>364</v>
      </c>
      <c r="C396" s="218"/>
      <c r="D396" s="218"/>
      <c r="E396" s="219">
        <v>500000</v>
      </c>
      <c r="F396" s="219">
        <v>501250</v>
      </c>
      <c r="G396" s="219">
        <v>506910.1</v>
      </c>
      <c r="H396" s="222"/>
      <c r="I396" s="204"/>
      <c r="J396" s="220"/>
    </row>
    <row r="397" spans="1:10" s="205" customFormat="1" ht="12.75">
      <c r="B397" s="223" t="s">
        <v>363</v>
      </c>
      <c r="C397" s="224"/>
      <c r="D397" s="225"/>
      <c r="E397" s="226">
        <v>525000</v>
      </c>
      <c r="F397" s="226">
        <v>614460.00000000012</v>
      </c>
      <c r="G397" s="226">
        <v>714681.66000000015</v>
      </c>
      <c r="H397" s="222"/>
      <c r="J397" s="227"/>
    </row>
    <row r="398" spans="1:10" s="205" customFormat="1" ht="17.25" thickBot="1">
      <c r="B398" s="228" t="s">
        <v>362</v>
      </c>
      <c r="C398" s="225"/>
      <c r="D398" s="225"/>
      <c r="E398" s="229">
        <v>0</v>
      </c>
      <c r="F398" s="229">
        <v>100000</v>
      </c>
      <c r="G398" s="229">
        <v>0</v>
      </c>
      <c r="H398" s="222"/>
      <c r="J398" s="220"/>
    </row>
    <row r="399" spans="1:10" s="205" customFormat="1" ht="13.5" thickBot="1">
      <c r="B399" s="230" t="s">
        <v>361</v>
      </c>
      <c r="C399" s="231"/>
      <c r="D399" s="231"/>
      <c r="E399" s="26">
        <f>E395+E397-E396-E398</f>
        <v>10025000</v>
      </c>
      <c r="F399" s="26">
        <f>F395+F397-F396-F398</f>
        <v>10038210</v>
      </c>
      <c r="G399" s="26">
        <f>G395+G397-G396-G398</f>
        <v>10245981.560000001</v>
      </c>
      <c r="H399" s="222"/>
    </row>
    <row r="400" spans="1:10" s="205" customFormat="1" ht="13.5" thickBot="1">
      <c r="B400" s="232"/>
      <c r="C400" s="218"/>
      <c r="D400" s="218"/>
      <c r="E400" s="233"/>
      <c r="F400" s="233"/>
      <c r="G400" s="233"/>
      <c r="H400" s="215"/>
    </row>
    <row r="401" spans="1:15" s="205" customFormat="1" ht="13.5" thickBot="1">
      <c r="B401" s="232" t="s">
        <v>665</v>
      </c>
      <c r="C401" s="234"/>
      <c r="D401" s="234"/>
      <c r="E401" s="235">
        <f>IFERROR(E396/E395,0)</f>
        <v>0.05</v>
      </c>
      <c r="F401" s="28">
        <f>F396/F395</f>
        <v>0.05</v>
      </c>
      <c r="G401" s="29">
        <f>G396/G395</f>
        <v>5.0498056924491518E-2</v>
      </c>
      <c r="H401" s="236"/>
    </row>
    <row r="402" spans="1:15" s="205" customFormat="1" ht="13.5" thickBot="1">
      <c r="B402" s="232" t="s">
        <v>1193</v>
      </c>
      <c r="C402" s="234"/>
      <c r="D402" s="234"/>
      <c r="E402" s="237">
        <f>E397/E393</f>
        <v>3.4990314680896327E-2</v>
      </c>
      <c r="F402" s="28">
        <f>F397/F393</f>
        <v>3.9002537430972442E-2</v>
      </c>
      <c r="G402" s="29">
        <f>G397/G393</f>
        <v>4.3203863392835086E-2</v>
      </c>
      <c r="H402" s="236"/>
    </row>
    <row r="403" spans="1:15" s="205" customFormat="1" ht="13.5" thickBot="1">
      <c r="B403" s="232" t="s">
        <v>360</v>
      </c>
      <c r="C403" s="234"/>
      <c r="D403" s="234"/>
      <c r="E403" s="237">
        <f>IFERROR(E399/E393,"")</f>
        <v>0.66814838985902036</v>
      </c>
      <c r="F403" s="28">
        <f>F399/F393</f>
        <v>0.63717029792820012</v>
      </c>
      <c r="G403" s="29">
        <f>G399/G393</f>
        <v>0.61938904049076515</v>
      </c>
      <c r="H403" s="236"/>
    </row>
    <row r="404" spans="1:15" s="205" customFormat="1" ht="14.1" customHeight="1">
      <c r="B404" s="238"/>
      <c r="C404" s="239"/>
      <c r="D404" s="239"/>
      <c r="E404" s="239"/>
      <c r="F404" s="239"/>
      <c r="G404" s="239"/>
      <c r="H404" s="240"/>
    </row>
    <row r="405" spans="1:15" s="205" customFormat="1" ht="12.75"/>
    <row r="406" spans="1:15" s="205" customFormat="1" ht="12.75">
      <c r="A406" s="203" t="s">
        <v>359</v>
      </c>
      <c r="B406" s="241"/>
      <c r="C406" s="204"/>
      <c r="D406" s="204"/>
      <c r="E406" s="204"/>
      <c r="F406" s="204"/>
      <c r="G406" s="204"/>
    </row>
    <row r="407" spans="1:15" s="205" customFormat="1" ht="12.75">
      <c r="A407" s="206" t="s">
        <v>470</v>
      </c>
      <c r="B407" s="241"/>
      <c r="C407" s="204"/>
      <c r="D407" s="204"/>
      <c r="E407" s="204"/>
      <c r="F407" s="204"/>
      <c r="G407" s="204"/>
    </row>
    <row r="408" spans="1:15" s="205" customFormat="1" ht="12.75">
      <c r="A408" s="206"/>
      <c r="B408" s="241"/>
      <c r="C408" s="204"/>
      <c r="D408" s="204"/>
      <c r="E408" s="204"/>
      <c r="F408" s="204"/>
      <c r="G408" s="204"/>
    </row>
    <row r="409" spans="1:15" s="205" customFormat="1">
      <c r="B409" s="207"/>
      <c r="C409" s="242"/>
      <c r="D409" s="242"/>
      <c r="E409" s="243">
        <f ca="1">F409-1</f>
        <v>2020</v>
      </c>
      <c r="F409" s="243">
        <f ca="1">G409-1</f>
        <v>2021</v>
      </c>
      <c r="G409" s="243">
        <f ca="1">YEAR(TODAY())-1</f>
        <v>2022</v>
      </c>
      <c r="H409" s="244"/>
      <c r="M409" s="738"/>
      <c r="N409" s="738"/>
      <c r="O409" s="738"/>
    </row>
    <row r="410" spans="1:15" s="205" customFormat="1">
      <c r="B410" s="212" t="s">
        <v>358</v>
      </c>
      <c r="C410" s="218"/>
      <c r="D410" s="218"/>
      <c r="E410" s="219">
        <f>1000000+X!CH4*2039</f>
        <v>1010195</v>
      </c>
      <c r="F410" s="219">
        <f>E414</f>
        <v>910195</v>
      </c>
      <c r="G410" s="219">
        <f>F414</f>
        <v>690195</v>
      </c>
      <c r="H410" s="245"/>
      <c r="M410" s="738"/>
      <c r="N410" s="738"/>
      <c r="O410" s="738"/>
    </row>
    <row r="411" spans="1:15" s="205" customFormat="1">
      <c r="B411" s="221" t="s">
        <v>357</v>
      </c>
      <c r="C411" s="218"/>
      <c r="D411" s="218"/>
      <c r="E411" s="219">
        <v>100000</v>
      </c>
      <c r="F411" s="219">
        <v>120000</v>
      </c>
      <c r="G411" s="219">
        <v>100000</v>
      </c>
      <c r="H411" s="245"/>
      <c r="M411" s="738"/>
      <c r="N411" s="738"/>
      <c r="O411" s="738"/>
    </row>
    <row r="412" spans="1:15" s="205" customFormat="1" ht="12.75">
      <c r="B412" s="223" t="s">
        <v>356</v>
      </c>
      <c r="C412" s="218"/>
      <c r="D412" s="218"/>
      <c r="E412" s="219">
        <v>0</v>
      </c>
      <c r="F412" s="219">
        <v>0</v>
      </c>
      <c r="G412" s="219">
        <v>10000</v>
      </c>
      <c r="H412" s="222"/>
      <c r="M412" s="738"/>
      <c r="N412" s="738"/>
      <c r="O412" s="738"/>
    </row>
    <row r="413" spans="1:15" s="205" customFormat="1" ht="18" thickBot="1">
      <c r="B413" s="228" t="s">
        <v>672</v>
      </c>
      <c r="C413" s="218"/>
      <c r="D413" s="218"/>
      <c r="E413" s="229">
        <v>0</v>
      </c>
      <c r="F413" s="229">
        <v>-100000</v>
      </c>
      <c r="G413" s="229">
        <v>0</v>
      </c>
      <c r="H413" s="245"/>
      <c r="M413" s="738"/>
      <c r="N413" s="738"/>
      <c r="O413" s="738"/>
    </row>
    <row r="414" spans="1:15" s="205" customFormat="1" ht="16.5" thickBot="1">
      <c r="B414" s="230" t="s">
        <v>355</v>
      </c>
      <c r="C414" s="218"/>
      <c r="D414" s="218"/>
      <c r="E414" s="27">
        <f>E410-E411+E412+E413</f>
        <v>910195</v>
      </c>
      <c r="F414" s="27">
        <f>F410-F411+F412+F413</f>
        <v>690195</v>
      </c>
      <c r="G414" s="27">
        <f>G410-G411+G412+G413</f>
        <v>600195</v>
      </c>
      <c r="H414" s="245"/>
      <c r="M414" s="738"/>
      <c r="N414" s="738"/>
      <c r="O414" s="738"/>
    </row>
    <row r="415" spans="1:15" s="205" customFormat="1" ht="16.5" thickBot="1">
      <c r="B415" s="230"/>
      <c r="C415" s="218"/>
      <c r="D415" s="218"/>
      <c r="E415" s="219"/>
      <c r="F415" s="219"/>
      <c r="G415" s="219"/>
      <c r="H415" s="245"/>
      <c r="M415" s="738"/>
      <c r="N415" s="738"/>
      <c r="O415" s="738"/>
    </row>
    <row r="416" spans="1:15" s="205" customFormat="1" ht="16.5" thickBot="1">
      <c r="B416" s="221" t="s">
        <v>1191</v>
      </c>
      <c r="C416" s="218"/>
      <c r="D416" s="218"/>
      <c r="E416" s="29">
        <f>E411/E410</f>
        <v>9.8990788907092189E-2</v>
      </c>
      <c r="F416" s="29">
        <f>F411/F410</f>
        <v>0.13183988046517506</v>
      </c>
      <c r="G416" s="29">
        <f>G411/G410</f>
        <v>0.14488659002166054</v>
      </c>
      <c r="H416" s="245"/>
    </row>
    <row r="417" spans="1:8" s="205" customFormat="1" ht="12.75">
      <c r="B417" s="238"/>
      <c r="C417" s="239"/>
      <c r="D417" s="239"/>
      <c r="E417" s="239"/>
      <c r="F417" s="239"/>
      <c r="G417" s="239"/>
      <c r="H417" s="240"/>
    </row>
    <row r="418" spans="1:8" s="205" customFormat="1" ht="12.75"/>
    <row r="419" spans="1:8" s="204" customFormat="1" ht="12.75">
      <c r="A419" s="246" t="s">
        <v>354</v>
      </c>
    </row>
    <row r="420" spans="1:8" s="204" customFormat="1" ht="12.75">
      <c r="A420" s="206" t="s">
        <v>470</v>
      </c>
    </row>
    <row r="421" spans="1:8" s="204" customFormat="1" ht="12.75">
      <c r="A421" s="246"/>
    </row>
    <row r="422" spans="1:8" s="204" customFormat="1" ht="12.75">
      <c r="A422" s="246"/>
      <c r="B422" s="247"/>
      <c r="C422" s="242"/>
      <c r="D422" s="242"/>
      <c r="E422" s="243">
        <f ca="1">F422-1</f>
        <v>2020</v>
      </c>
      <c r="F422" s="243">
        <f ca="1">G422-1</f>
        <v>2021</v>
      </c>
      <c r="G422" s="243">
        <f ca="1">YEAR(TODAY())-1</f>
        <v>2022</v>
      </c>
      <c r="H422" s="210"/>
    </row>
    <row r="423" spans="1:8" s="204" customFormat="1" ht="12.75">
      <c r="A423" s="246"/>
      <c r="B423" s="212" t="s">
        <v>353</v>
      </c>
      <c r="C423" s="218"/>
      <c r="D423" s="218"/>
      <c r="E423" s="219">
        <f>30000000+X!CH6*3250</f>
        <v>30009750</v>
      </c>
      <c r="F423" s="219">
        <f>E427</f>
        <v>32035175</v>
      </c>
      <c r="G423" s="219">
        <f>F427</f>
        <v>34404132.862250008</v>
      </c>
      <c r="H423" s="215"/>
    </row>
    <row r="424" spans="1:8" s="204" customFormat="1" ht="12.75">
      <c r="A424" s="246"/>
      <c r="B424" s="221" t="s">
        <v>352</v>
      </c>
      <c r="C424" s="218"/>
      <c r="D424" s="218"/>
      <c r="E424" s="219">
        <f>1921500+X!CV7</f>
        <v>1921500</v>
      </c>
      <c r="F424" s="219">
        <v>2493639.8550000014</v>
      </c>
      <c r="G424" s="219">
        <v>2938103.10186435</v>
      </c>
      <c r="H424" s="215"/>
    </row>
    <row r="425" spans="1:8" s="204" customFormat="1" ht="12.75">
      <c r="A425" s="246"/>
      <c r="B425" s="221" t="s">
        <v>351</v>
      </c>
      <c r="C425" s="218"/>
      <c r="D425" s="218"/>
      <c r="E425" s="219">
        <v>96075</v>
      </c>
      <c r="F425" s="219">
        <v>124681.99275000008</v>
      </c>
      <c r="G425" s="219">
        <v>146905.1550932175</v>
      </c>
      <c r="H425" s="215"/>
    </row>
    <row r="426" spans="1:8" s="204" customFormat="1" thickBot="1">
      <c r="A426" s="246"/>
      <c r="B426" s="228" t="s">
        <v>350</v>
      </c>
      <c r="C426" s="218"/>
      <c r="D426" s="218"/>
      <c r="E426" s="229">
        <v>200000</v>
      </c>
      <c r="F426" s="229">
        <v>0</v>
      </c>
      <c r="G426" s="229">
        <v>0</v>
      </c>
      <c r="H426" s="215"/>
    </row>
    <row r="427" spans="1:8" s="204" customFormat="1" ht="13.5" thickBot="1">
      <c r="A427" s="246"/>
      <c r="B427" s="230" t="s">
        <v>349</v>
      </c>
      <c r="C427" s="218"/>
      <c r="D427" s="218"/>
      <c r="E427" s="27">
        <f>E423+E424-E425+E426</f>
        <v>32035175</v>
      </c>
      <c r="F427" s="27">
        <f t="shared" ref="F427:G427" si="0">F423+F424-F425+F426</f>
        <v>34404132.862250008</v>
      </c>
      <c r="G427" s="27">
        <f t="shared" si="0"/>
        <v>37195330.809021145</v>
      </c>
      <c r="H427" s="215"/>
    </row>
    <row r="428" spans="1:8" s="204" customFormat="1" ht="12.75">
      <c r="A428" s="246"/>
      <c r="B428" s="248"/>
      <c r="C428" s="249"/>
      <c r="D428" s="249"/>
      <c r="E428" s="249"/>
      <c r="F428" s="249"/>
      <c r="G428" s="249"/>
      <c r="H428" s="250"/>
    </row>
    <row r="429" spans="1:8" s="3" customFormat="1"/>
    <row r="430" spans="1:8" s="251" customFormat="1" ht="12.75">
      <c r="A430" s="203" t="s">
        <v>348</v>
      </c>
    </row>
    <row r="431" spans="1:8" s="251" customFormat="1" ht="12.75">
      <c r="A431" s="251" t="s">
        <v>471</v>
      </c>
    </row>
    <row r="432" spans="1:8" s="251" customFormat="1" ht="12.75">
      <c r="A432" s="251" t="s">
        <v>1497</v>
      </c>
    </row>
    <row r="433" spans="1:44" s="251" customFormat="1" ht="12.75">
      <c r="A433" s="251" t="s">
        <v>697</v>
      </c>
    </row>
    <row r="434" spans="1:44" s="251" customFormat="1" ht="12.75"/>
    <row r="435" spans="1:44" s="251" customFormat="1" ht="12.75">
      <c r="C435" s="252" t="s">
        <v>347</v>
      </c>
      <c r="D435" s="252" t="s">
        <v>284</v>
      </c>
      <c r="E435" s="252" t="s">
        <v>68</v>
      </c>
      <c r="F435" s="252" t="s">
        <v>346</v>
      </c>
    </row>
    <row r="436" spans="1:44" s="251" customFormat="1" ht="12.75">
      <c r="C436" s="252" t="s">
        <v>88</v>
      </c>
      <c r="D436" s="252" t="s">
        <v>345</v>
      </c>
      <c r="E436" s="252"/>
      <c r="F436" s="252" t="s">
        <v>344</v>
      </c>
    </row>
    <row r="437" spans="1:44" s="251" customFormat="1" ht="23.25">
      <c r="B437" s="253" t="s">
        <v>224</v>
      </c>
      <c r="C437" s="9"/>
      <c r="D437" s="9" t="s">
        <v>472</v>
      </c>
      <c r="E437" s="9" t="s">
        <v>473</v>
      </c>
      <c r="F437" s="9"/>
      <c r="AR437" s="251" t="s">
        <v>472</v>
      </c>
    </row>
    <row r="438" spans="1:44" s="251" customFormat="1" ht="23.25">
      <c r="B438" s="253" t="s">
        <v>343</v>
      </c>
      <c r="C438" s="9"/>
      <c r="D438" s="706"/>
      <c r="E438" s="9"/>
      <c r="F438" s="9"/>
      <c r="AR438" s="251" t="s">
        <v>473</v>
      </c>
    </row>
    <row r="439" spans="1:44" s="251" customFormat="1" ht="23.25">
      <c r="B439" s="253" t="s">
        <v>342</v>
      </c>
      <c r="C439" s="9"/>
      <c r="D439" s="9" t="s">
        <v>472</v>
      </c>
      <c r="E439" s="9"/>
      <c r="F439" s="9" t="s">
        <v>473</v>
      </c>
    </row>
    <row r="440" spans="1:44" s="251" customFormat="1" ht="23.25">
      <c r="B440" s="253" t="s">
        <v>223</v>
      </c>
      <c r="C440" s="9"/>
      <c r="D440" s="9" t="s">
        <v>473</v>
      </c>
      <c r="E440" s="9" t="s">
        <v>472</v>
      </c>
      <c r="F440" s="9"/>
    </row>
    <row r="441" spans="1:44" s="251" customFormat="1" ht="25.5">
      <c r="B441" s="254" t="s">
        <v>341</v>
      </c>
      <c r="C441" s="9"/>
      <c r="D441" s="9" t="s">
        <v>473</v>
      </c>
      <c r="E441" s="9"/>
      <c r="F441" s="9" t="s">
        <v>472</v>
      </c>
    </row>
    <row r="442" spans="1:44" s="251" customFormat="1" ht="23.25">
      <c r="B442" s="254" t="s">
        <v>56</v>
      </c>
      <c r="C442" s="9" t="s">
        <v>472</v>
      </c>
      <c r="D442" s="9" t="s">
        <v>472</v>
      </c>
      <c r="E442" s="9"/>
      <c r="F442" s="9"/>
    </row>
    <row r="443" spans="1:44" s="251" customFormat="1" ht="25.5">
      <c r="B443" s="254" t="s">
        <v>1498</v>
      </c>
      <c r="C443" s="9" t="s">
        <v>473</v>
      </c>
      <c r="D443" s="9" t="s">
        <v>473</v>
      </c>
      <c r="E443" s="9"/>
      <c r="F443" s="9"/>
    </row>
    <row r="445" spans="1:44">
      <c r="A445" s="18" t="s">
        <v>1087</v>
      </c>
    </row>
    <row r="446" spans="1:44">
      <c r="A446" s="168" t="s">
        <v>727</v>
      </c>
      <c r="B446" s="2"/>
      <c r="C446" s="2"/>
    </row>
    <row r="447" spans="1:44">
      <c r="A447" s="168" t="s">
        <v>1086</v>
      </c>
      <c r="B447" s="2"/>
      <c r="C447" s="2"/>
    </row>
    <row r="448" spans="1:44">
      <c r="A448" s="19" t="s">
        <v>628</v>
      </c>
      <c r="B448" s="2"/>
      <c r="C448" s="2"/>
    </row>
    <row r="449" spans="1:10">
      <c r="A449" s="19" t="s">
        <v>728</v>
      </c>
      <c r="B449" s="2"/>
      <c r="C449" s="2"/>
    </row>
    <row r="450" spans="1:10">
      <c r="A450" s="19"/>
      <c r="B450" s="2"/>
      <c r="C450" s="2"/>
    </row>
    <row r="451" spans="1:10" ht="16.5" thickBot="1">
      <c r="A451" s="19"/>
      <c r="B451" s="2"/>
      <c r="D451" s="18">
        <f ca="1">E451-1</f>
        <v>2021</v>
      </c>
      <c r="E451" s="18">
        <f ca="1">YEAR(TODAY())-1</f>
        <v>2022</v>
      </c>
      <c r="F451" s="54" t="str">
        <f ca="1">E451+1&amp;"E"</f>
        <v>2023E</v>
      </c>
      <c r="G451" s="54" t="str">
        <f ca="1">E451+2&amp;"E"</f>
        <v>2024E</v>
      </c>
      <c r="I451" s="201"/>
      <c r="J451" s="201"/>
    </row>
    <row r="452" spans="1:10" ht="16.5" thickBot="1">
      <c r="A452" s="19"/>
      <c r="B452" s="2" t="s">
        <v>616</v>
      </c>
      <c r="D452" s="20">
        <v>1000</v>
      </c>
      <c r="E452" s="20">
        <f>1100+X!CG2*2</f>
        <v>1106</v>
      </c>
      <c r="F452" s="7">
        <f>E452*(1+F453)</f>
        <v>1223.2360000000001</v>
      </c>
      <c r="G452" s="7">
        <f>F452+1</f>
        <v>1224.2360000000001</v>
      </c>
      <c r="I452" s="2" t="s">
        <v>627</v>
      </c>
    </row>
    <row r="453" spans="1:10">
      <c r="A453" s="19"/>
      <c r="B453" s="2" t="s">
        <v>626</v>
      </c>
      <c r="D453" s="22"/>
      <c r="E453" s="22">
        <f>E452/D452-1</f>
        <v>0.10600000000000009</v>
      </c>
      <c r="F453" s="22">
        <f>E453</f>
        <v>0.10600000000000009</v>
      </c>
      <c r="G453" s="22">
        <f>F453</f>
        <v>0.10600000000000009</v>
      </c>
      <c r="I453" s="2" t="s">
        <v>619</v>
      </c>
    </row>
    <row r="454" spans="1:10" ht="16.5" thickBot="1">
      <c r="A454" s="19"/>
      <c r="B454" s="2" t="s">
        <v>617</v>
      </c>
      <c r="D454" s="23">
        <v>0.2</v>
      </c>
      <c r="E454" s="23">
        <v>0.2</v>
      </c>
      <c r="F454" s="255">
        <v>0.25</v>
      </c>
      <c r="G454" s="255">
        <v>0.3</v>
      </c>
      <c r="I454" s="2" t="s">
        <v>729</v>
      </c>
    </row>
    <row r="455" spans="1:10" ht="16.5" thickBot="1">
      <c r="A455" s="19"/>
      <c r="B455" s="2" t="s">
        <v>618</v>
      </c>
      <c r="C455" s="2"/>
      <c r="D455" s="20">
        <f>D452*D454</f>
        <v>200</v>
      </c>
      <c r="E455" s="20">
        <f>E452*E454</f>
        <v>221.20000000000002</v>
      </c>
      <c r="F455" s="7">
        <f>F452*F454</f>
        <v>305.80900000000003</v>
      </c>
      <c r="G455" s="7">
        <f>G452*G454</f>
        <v>367.27080000000001</v>
      </c>
      <c r="I455" s="2" t="s">
        <v>623</v>
      </c>
    </row>
    <row r="456" spans="1:10" ht="16.5" thickBot="1">
      <c r="A456" s="19"/>
      <c r="B456" s="2" t="s">
        <v>625</v>
      </c>
      <c r="C456" s="2"/>
      <c r="D456" s="22"/>
      <c r="E456" s="22">
        <f>E455/D455-1</f>
        <v>0.10600000000000009</v>
      </c>
      <c r="F456" s="8">
        <f>F455/E455-1</f>
        <v>0.38250000000000006</v>
      </c>
      <c r="G456" s="8">
        <f>G455/F455-1</f>
        <v>0.20098100448319034</v>
      </c>
      <c r="I456" s="2" t="s">
        <v>624</v>
      </c>
    </row>
    <row r="457" spans="1:10" ht="16.5" thickBot="1">
      <c r="A457" s="19"/>
      <c r="B457" s="2" t="s">
        <v>613</v>
      </c>
      <c r="C457" s="2"/>
      <c r="D457" s="20">
        <v>100</v>
      </c>
      <c r="E457" s="20">
        <v>100</v>
      </c>
      <c r="F457" s="20">
        <v>95</v>
      </c>
      <c r="G457" s="20">
        <v>90</v>
      </c>
      <c r="I457" s="2" t="s">
        <v>729</v>
      </c>
    </row>
    <row r="458" spans="1:10" ht="16.5" thickBot="1">
      <c r="A458" s="19"/>
      <c r="B458" s="2" t="s">
        <v>692</v>
      </c>
      <c r="C458" s="2"/>
      <c r="D458" s="20"/>
      <c r="E458" s="20">
        <f>E455*E457</f>
        <v>22120</v>
      </c>
      <c r="F458" s="7">
        <f>F455*F457</f>
        <v>29051.855000000003</v>
      </c>
      <c r="G458" s="7">
        <f>G455*G457</f>
        <v>33054.372000000003</v>
      </c>
      <c r="I458" s="2" t="s">
        <v>622</v>
      </c>
    </row>
    <row r="459" spans="1:10" ht="16.5" thickBot="1">
      <c r="A459" s="19"/>
      <c r="B459" s="2" t="s">
        <v>614</v>
      </c>
      <c r="C459" s="2"/>
      <c r="D459" s="20">
        <v>60</v>
      </c>
      <c r="E459" s="20">
        <f>D459</f>
        <v>60</v>
      </c>
      <c r="F459" s="20">
        <f>E459</f>
        <v>60</v>
      </c>
      <c r="G459" s="20">
        <f>F459</f>
        <v>60</v>
      </c>
      <c r="I459" s="2" t="s">
        <v>709</v>
      </c>
    </row>
    <row r="460" spans="1:10" ht="16.5" thickBot="1">
      <c r="A460" s="19"/>
      <c r="B460" s="2" t="s">
        <v>615</v>
      </c>
      <c r="C460" s="2"/>
      <c r="D460" s="20"/>
      <c r="E460" s="20">
        <f>E455*E459</f>
        <v>13272.000000000002</v>
      </c>
      <c r="F460" s="7">
        <f>F455*F459</f>
        <v>18348.54</v>
      </c>
      <c r="G460" s="7">
        <f>G455*G459</f>
        <v>22036.248</v>
      </c>
      <c r="I460" s="2" t="s">
        <v>620</v>
      </c>
    </row>
    <row r="461" spans="1:10" ht="16.5" thickBot="1">
      <c r="A461" s="19"/>
      <c r="B461" s="2" t="s">
        <v>225</v>
      </c>
      <c r="C461" s="2"/>
      <c r="D461" s="20"/>
      <c r="E461" s="20">
        <f>E458-E460</f>
        <v>8847.9999999999982</v>
      </c>
      <c r="F461" s="7">
        <f>F458-F460</f>
        <v>10703.315000000002</v>
      </c>
      <c r="G461" s="7">
        <f>G458-G460</f>
        <v>11018.124000000003</v>
      </c>
      <c r="I461" s="2" t="s">
        <v>621</v>
      </c>
    </row>
  </sheetData>
  <sheetProtection algorithmName="SHA-512" hashValue="qcokHVffEl8wzcdJFTaCJKmOVF1o+6JeHuDCqmMdzU1tvEJQmFUhri3ywBhaQGXQWndsVrax6i+1lOJOed9rsw==" saltValue="fN5B6HxETTneONFjR5+DvA==" spinCount="100000" sheet="1" objects="1" scenarios="1"/>
  <mergeCells count="28">
    <mergeCell ref="C364:F364"/>
    <mergeCell ref="G364:H364"/>
    <mergeCell ref="I364:K364"/>
    <mergeCell ref="C365:F365"/>
    <mergeCell ref="G365:H365"/>
    <mergeCell ref="I365:K365"/>
    <mergeCell ref="I367:K367"/>
    <mergeCell ref="G367:H367"/>
    <mergeCell ref="C367:F367"/>
    <mergeCell ref="C368:F368"/>
    <mergeCell ref="G368:H368"/>
    <mergeCell ref="I368:K368"/>
    <mergeCell ref="E186:E187"/>
    <mergeCell ref="J186:J187"/>
    <mergeCell ref="F159:G159"/>
    <mergeCell ref="D159:E159"/>
    <mergeCell ref="C371:F371"/>
    <mergeCell ref="G371:H371"/>
    <mergeCell ref="I371:K371"/>
    <mergeCell ref="C369:F369"/>
    <mergeCell ref="G369:H369"/>
    <mergeCell ref="I369:K369"/>
    <mergeCell ref="C366:F366"/>
    <mergeCell ref="G366:H366"/>
    <mergeCell ref="I366:K366"/>
    <mergeCell ref="C370:F370"/>
    <mergeCell ref="G370:H370"/>
    <mergeCell ref="I370:K370"/>
  </mergeCells>
  <dataValidations count="2">
    <dataValidation type="list" allowBlank="1" showInputMessage="1" showErrorMessage="1" sqref="C437:F443" xr:uid="{BE19BA56-599F-224A-AA03-C8DDC242AB1E}">
      <formula1>$AR$437:$AR$438</formula1>
    </dataValidation>
    <dataValidation type="list" allowBlank="1" showInputMessage="1" showErrorMessage="1" sqref="A381:A386" xr:uid="{CF717E7B-25BF-4547-93A9-0841716400B5}">
      <formula1>$AE$379:$AF$379</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19"/>
  <sheetViews>
    <sheetView workbookViewId="0">
      <selection activeCell="E109" sqref="E109"/>
    </sheetView>
  </sheetViews>
  <sheetFormatPr defaultColWidth="11" defaultRowHeight="15.75"/>
  <cols>
    <col min="1" max="1" width="19" customWidth="1"/>
    <col min="2" max="2" width="26.5" customWidth="1"/>
    <col min="3" max="3" width="19.875" customWidth="1"/>
    <col min="5" max="5" width="14.5" customWidth="1"/>
  </cols>
  <sheetData>
    <row r="1" spans="1:11" ht="18.75">
      <c r="A1" s="149" t="s">
        <v>1141</v>
      </c>
      <c r="F1" s="1" t="str">
        <f>'INTRO Modeling'!H1</f>
        <v>© All rights reserved, 2019, Marianne Wolk &amp; Richard Horwitz</v>
      </c>
    </row>
    <row r="2" spans="1:11">
      <c r="A2" s="2" t="s">
        <v>757</v>
      </c>
      <c r="F2" s="1"/>
    </row>
    <row r="3" spans="1:11">
      <c r="A3" s="2" t="s">
        <v>1146</v>
      </c>
    </row>
    <row r="4" spans="1:11">
      <c r="A4" s="2" t="str">
        <f ca="1">"Sheet: "&amp;MID(CELL("filename",A1),FIND("]",CELL("filename",A1))+1,255)</f>
        <v>Sheet: EXHIBIT Model Relationships</v>
      </c>
    </row>
    <row r="6" spans="1:11">
      <c r="B6" s="2" t="s">
        <v>1090</v>
      </c>
    </row>
    <row r="7" spans="1:11" s="201" customFormat="1">
      <c r="B7" s="256" t="s">
        <v>158</v>
      </c>
    </row>
    <row r="8" spans="1:11">
      <c r="C8" s="257"/>
      <c r="D8" s="18"/>
      <c r="E8" s="18"/>
      <c r="F8" s="257"/>
      <c r="G8" s="257"/>
      <c r="H8" s="257"/>
      <c r="I8" s="257"/>
      <c r="J8" s="257"/>
      <c r="K8" s="257"/>
    </row>
    <row r="9" spans="1:11" ht="16.5" thickBot="1">
      <c r="A9" s="257"/>
      <c r="B9" s="258" t="s">
        <v>26</v>
      </c>
      <c r="D9" s="258" t="s">
        <v>75</v>
      </c>
      <c r="E9" s="258"/>
      <c r="F9" s="258" t="s">
        <v>76</v>
      </c>
      <c r="G9" s="259"/>
      <c r="H9" s="258" t="s">
        <v>77</v>
      </c>
      <c r="I9" s="259"/>
      <c r="J9" s="257"/>
      <c r="K9" s="257"/>
    </row>
    <row r="10" spans="1:11">
      <c r="A10" s="2"/>
      <c r="B10" s="1033" t="s">
        <v>130</v>
      </c>
      <c r="C10" s="260" t="s">
        <v>27</v>
      </c>
      <c r="D10" s="1036" t="s">
        <v>36</v>
      </c>
      <c r="E10" s="1037"/>
      <c r="F10" s="1036" t="s">
        <v>23</v>
      </c>
      <c r="G10" s="1037"/>
      <c r="H10" s="261" t="s">
        <v>25</v>
      </c>
      <c r="I10" s="262"/>
      <c r="J10" s="263"/>
      <c r="K10" s="264"/>
    </row>
    <row r="11" spans="1:11">
      <c r="A11" s="2"/>
      <c r="B11" s="1029"/>
      <c r="C11" s="265" t="s">
        <v>28</v>
      </c>
      <c r="D11" s="1038"/>
      <c r="E11" s="1038"/>
      <c r="F11" s="1038"/>
      <c r="G11" s="1038"/>
      <c r="H11" s="266" t="s">
        <v>30</v>
      </c>
      <c r="I11" s="267"/>
      <c r="J11" s="263"/>
      <c r="K11" s="264"/>
    </row>
    <row r="12" spans="1:11" ht="15" customHeight="1">
      <c r="A12" s="257"/>
      <c r="B12" s="1029"/>
      <c r="C12" s="1048" t="s">
        <v>29</v>
      </c>
      <c r="D12" s="1034" t="s">
        <v>24</v>
      </c>
      <c r="E12" s="1035"/>
      <c r="F12" s="268" t="s">
        <v>108</v>
      </c>
      <c r="G12" s="269"/>
      <c r="H12" s="270" t="s">
        <v>109</v>
      </c>
      <c r="I12" s="271"/>
      <c r="J12" s="257"/>
      <c r="K12" s="257"/>
    </row>
    <row r="13" spans="1:11" ht="16.5" thickBot="1">
      <c r="A13" s="257"/>
      <c r="B13" s="1029"/>
      <c r="C13" s="1044"/>
      <c r="D13" s="1008"/>
      <c r="E13" s="1008"/>
      <c r="F13" s="272" t="s">
        <v>22</v>
      </c>
      <c r="G13" s="273"/>
      <c r="H13" s="274" t="s">
        <v>21</v>
      </c>
      <c r="I13" s="275"/>
      <c r="J13" s="257"/>
      <c r="K13" s="257"/>
    </row>
    <row r="14" spans="1:11">
      <c r="A14" s="257"/>
      <c r="B14" s="1039" t="s">
        <v>35</v>
      </c>
      <c r="C14" s="276" t="s">
        <v>27</v>
      </c>
      <c r="D14" s="277" t="s">
        <v>110</v>
      </c>
      <c r="E14" s="278"/>
      <c r="F14" s="279" t="s">
        <v>31</v>
      </c>
      <c r="G14" s="278"/>
      <c r="H14" s="277" t="s">
        <v>25</v>
      </c>
      <c r="I14" s="280"/>
      <c r="J14" s="257"/>
      <c r="K14" s="257"/>
    </row>
    <row r="15" spans="1:11">
      <c r="A15" s="257"/>
      <c r="B15" s="1040"/>
      <c r="C15" s="281" t="s">
        <v>28</v>
      </c>
      <c r="D15" s="282"/>
      <c r="E15" s="283"/>
      <c r="F15" s="284" t="s">
        <v>32</v>
      </c>
      <c r="G15" s="283"/>
      <c r="H15" s="285" t="s">
        <v>30</v>
      </c>
      <c r="I15" s="286"/>
      <c r="J15" s="257"/>
      <c r="K15" s="257"/>
    </row>
    <row r="16" spans="1:11">
      <c r="A16" s="257"/>
      <c r="B16" s="1040"/>
      <c r="C16" s="1041" t="s">
        <v>107</v>
      </c>
      <c r="D16" s="287" t="s">
        <v>111</v>
      </c>
      <c r="E16" s="288"/>
      <c r="F16" s="287" t="s">
        <v>112</v>
      </c>
      <c r="G16" s="288"/>
      <c r="H16" s="289" t="s">
        <v>113</v>
      </c>
      <c r="I16" s="290"/>
      <c r="J16" s="257"/>
      <c r="K16" s="257"/>
    </row>
    <row r="17" spans="1:11">
      <c r="A17" s="257"/>
      <c r="B17" s="1040"/>
      <c r="C17" s="1042"/>
      <c r="D17" s="1049" t="s">
        <v>104</v>
      </c>
      <c r="E17" s="1019"/>
      <c r="F17" s="1049" t="s">
        <v>106</v>
      </c>
      <c r="G17" s="1019"/>
      <c r="H17" s="1055" t="s">
        <v>103</v>
      </c>
      <c r="I17" s="1056"/>
      <c r="J17" s="257"/>
      <c r="K17" s="257"/>
    </row>
    <row r="18" spans="1:11" ht="16.5" thickBot="1">
      <c r="A18" s="257"/>
      <c r="B18" s="1040"/>
      <c r="C18" s="1042"/>
      <c r="D18" s="1019"/>
      <c r="E18" s="1019"/>
      <c r="F18" s="1019"/>
      <c r="G18" s="1019"/>
      <c r="H18" s="993"/>
      <c r="I18" s="1056"/>
      <c r="J18" s="257"/>
      <c r="K18" s="257"/>
    </row>
    <row r="19" spans="1:11">
      <c r="A19" s="257"/>
      <c r="B19" s="1045" t="s">
        <v>34</v>
      </c>
      <c r="C19" s="260" t="s">
        <v>27</v>
      </c>
      <c r="D19" s="261" t="s">
        <v>151</v>
      </c>
      <c r="E19" s="291"/>
      <c r="F19" s="292" t="s">
        <v>152</v>
      </c>
      <c r="G19" s="291"/>
      <c r="H19" s="261" t="s">
        <v>25</v>
      </c>
      <c r="I19" s="262"/>
      <c r="J19" s="257"/>
      <c r="K19" s="257"/>
    </row>
    <row r="20" spans="1:11">
      <c r="A20" s="257"/>
      <c r="B20" s="1046"/>
      <c r="C20" s="265" t="s">
        <v>28</v>
      </c>
      <c r="D20" s="293"/>
      <c r="E20" s="293"/>
      <c r="F20" s="293"/>
      <c r="G20" s="293"/>
      <c r="H20" s="266" t="s">
        <v>30</v>
      </c>
      <c r="I20" s="267"/>
      <c r="J20" s="257"/>
      <c r="K20" s="257"/>
    </row>
    <row r="21" spans="1:11" ht="15" customHeight="1">
      <c r="A21" s="257"/>
      <c r="B21" s="1046"/>
      <c r="C21" s="1043" t="s">
        <v>153</v>
      </c>
      <c r="D21" s="294" t="s">
        <v>111</v>
      </c>
      <c r="E21" s="295"/>
      <c r="F21" s="294" t="s">
        <v>154</v>
      </c>
      <c r="G21" s="296"/>
      <c r="H21" s="297" t="s">
        <v>113</v>
      </c>
      <c r="I21" s="298"/>
      <c r="J21" s="257"/>
      <c r="K21" s="257"/>
    </row>
    <row r="22" spans="1:11">
      <c r="A22" s="257"/>
      <c r="B22" s="1046"/>
      <c r="C22" s="1044"/>
      <c r="D22" s="2" t="s">
        <v>599</v>
      </c>
      <c r="F22" s="1007" t="s">
        <v>99</v>
      </c>
      <c r="G22" s="1007"/>
      <c r="H22" s="1054" t="s">
        <v>103</v>
      </c>
      <c r="I22" s="1015"/>
      <c r="J22" s="257"/>
      <c r="K22" s="257"/>
    </row>
    <row r="23" spans="1:11" ht="16.5" thickBot="1">
      <c r="A23" s="257"/>
      <c r="B23" s="1046"/>
      <c r="C23" s="1044"/>
      <c r="F23" s="1007"/>
      <c r="G23" s="1007"/>
      <c r="H23" s="1008"/>
      <c r="I23" s="1015"/>
      <c r="J23" s="257"/>
      <c r="K23" s="257"/>
    </row>
    <row r="24" spans="1:11">
      <c r="A24" s="257"/>
      <c r="B24" s="1031" t="s">
        <v>140</v>
      </c>
      <c r="C24" s="276" t="s">
        <v>27</v>
      </c>
      <c r="D24" s="277" t="s">
        <v>105</v>
      </c>
      <c r="E24" s="278"/>
      <c r="F24" s="279" t="s">
        <v>31</v>
      </c>
      <c r="G24" s="278"/>
      <c r="H24" s="277" t="s">
        <v>100</v>
      </c>
      <c r="I24" s="280"/>
      <c r="J24" s="257"/>
      <c r="K24" s="257"/>
    </row>
    <row r="25" spans="1:11">
      <c r="A25" s="257"/>
      <c r="B25" s="1032" t="s">
        <v>33</v>
      </c>
      <c r="C25" s="281" t="s">
        <v>28</v>
      </c>
      <c r="D25" s="283"/>
      <c r="E25" s="283"/>
      <c r="F25" s="284" t="s">
        <v>32</v>
      </c>
      <c r="G25" s="283"/>
      <c r="H25" s="285" t="s">
        <v>101</v>
      </c>
      <c r="I25" s="286"/>
      <c r="J25" s="257"/>
      <c r="K25" s="299"/>
    </row>
    <row r="26" spans="1:11">
      <c r="A26" s="257"/>
      <c r="B26" s="1032"/>
      <c r="C26" s="1053" t="s">
        <v>29</v>
      </c>
      <c r="D26" s="287" t="s">
        <v>141</v>
      </c>
      <c r="E26" s="300"/>
      <c r="F26" s="301" t="s">
        <v>139</v>
      </c>
      <c r="G26" s="300"/>
      <c r="H26" s="289" t="s">
        <v>102</v>
      </c>
      <c r="I26" s="302"/>
      <c r="J26" s="257"/>
      <c r="K26" s="257"/>
    </row>
    <row r="27" spans="1:11" ht="16.5" thickBot="1">
      <c r="A27" s="257"/>
      <c r="B27" s="1032"/>
      <c r="C27" s="1042"/>
      <c r="D27" s="303" t="s">
        <v>145</v>
      </c>
      <c r="E27" s="300"/>
      <c r="F27" s="303"/>
      <c r="G27" s="300"/>
      <c r="H27" s="165"/>
      <c r="I27" s="302"/>
      <c r="J27" s="257"/>
      <c r="K27" s="257"/>
    </row>
    <row r="28" spans="1:11">
      <c r="A28" s="257"/>
      <c r="B28" s="1028" t="s">
        <v>142</v>
      </c>
      <c r="C28" s="260" t="s">
        <v>27</v>
      </c>
      <c r="D28" s="261" t="s">
        <v>151</v>
      </c>
      <c r="E28" s="292"/>
      <c r="F28" s="261" t="s">
        <v>143</v>
      </c>
      <c r="G28" s="292"/>
      <c r="H28" s="261" t="s">
        <v>100</v>
      </c>
      <c r="I28" s="262"/>
      <c r="J28" s="257"/>
      <c r="K28" s="264"/>
    </row>
    <row r="29" spans="1:11">
      <c r="A29" s="257"/>
      <c r="B29" s="1029" t="s">
        <v>78</v>
      </c>
      <c r="C29" s="265" t="s">
        <v>28</v>
      </c>
      <c r="D29" s="304"/>
      <c r="E29" s="304"/>
      <c r="F29" s="305"/>
      <c r="G29" s="304"/>
      <c r="H29" s="266" t="s">
        <v>101</v>
      </c>
      <c r="I29" s="267"/>
      <c r="J29" s="257"/>
      <c r="K29" s="257"/>
    </row>
    <row r="30" spans="1:11">
      <c r="A30" s="257"/>
      <c r="B30" s="1029"/>
      <c r="C30" s="1057" t="s">
        <v>29</v>
      </c>
      <c r="D30" s="294" t="s">
        <v>141</v>
      </c>
      <c r="E30" s="257"/>
      <c r="F30" s="306" t="s">
        <v>144</v>
      </c>
      <c r="G30" s="257"/>
      <c r="H30" s="307" t="s">
        <v>102</v>
      </c>
      <c r="I30" s="308"/>
      <c r="J30" s="257"/>
      <c r="K30" s="257"/>
    </row>
    <row r="31" spans="1:11" ht="16.5" thickBot="1">
      <c r="A31" s="257"/>
      <c r="B31" s="1029"/>
      <c r="C31" s="1044"/>
      <c r="D31" s="264" t="s">
        <v>146</v>
      </c>
      <c r="E31" s="257"/>
      <c r="F31" s="257"/>
      <c r="G31" s="257"/>
      <c r="I31" s="308"/>
      <c r="J31" s="257"/>
      <c r="K31" s="257"/>
    </row>
    <row r="32" spans="1:11">
      <c r="A32" s="257"/>
      <c r="B32" s="1025" t="s">
        <v>147</v>
      </c>
      <c r="C32" s="276" t="s">
        <v>27</v>
      </c>
      <c r="D32" s="277" t="s">
        <v>148</v>
      </c>
      <c r="E32" s="279"/>
      <c r="F32" s="277" t="s">
        <v>149</v>
      </c>
      <c r="G32" s="279"/>
      <c r="H32" s="277" t="s">
        <v>136</v>
      </c>
      <c r="I32" s="280"/>
      <c r="J32" s="257"/>
      <c r="K32" s="257"/>
    </row>
    <row r="33" spans="1:11">
      <c r="A33" s="257"/>
      <c r="B33" s="1026"/>
      <c r="C33" s="281" t="s">
        <v>28</v>
      </c>
      <c r="D33" s="283"/>
      <c r="E33" s="283"/>
      <c r="F33" s="283"/>
      <c r="G33" s="283"/>
      <c r="H33" s="284" t="s">
        <v>150</v>
      </c>
      <c r="I33" s="286"/>
      <c r="J33" s="257"/>
      <c r="K33" s="257"/>
    </row>
    <row r="34" spans="1:11">
      <c r="A34" s="257"/>
      <c r="B34" s="1026"/>
      <c r="C34" s="989" t="s">
        <v>29</v>
      </c>
      <c r="D34" s="1017" t="s">
        <v>129</v>
      </c>
      <c r="E34" s="1018"/>
      <c r="F34" s="1030" t="s">
        <v>135</v>
      </c>
      <c r="G34" s="1018"/>
      <c r="H34" s="1030" t="s">
        <v>137</v>
      </c>
      <c r="I34" s="1050"/>
      <c r="J34" s="257"/>
      <c r="K34" s="257"/>
    </row>
    <row r="35" spans="1:11">
      <c r="A35" s="257"/>
      <c r="B35" s="1026"/>
      <c r="C35" s="990"/>
      <c r="D35" s="1019"/>
      <c r="E35" s="1019"/>
      <c r="F35" s="1019"/>
      <c r="G35" s="1019"/>
      <c r="H35" s="1019"/>
      <c r="I35" s="1051"/>
      <c r="J35" s="257"/>
      <c r="K35" s="257"/>
    </row>
    <row r="36" spans="1:11">
      <c r="A36" s="257"/>
      <c r="B36" s="1026"/>
      <c r="C36" s="990"/>
      <c r="D36" s="1023" t="s">
        <v>138</v>
      </c>
      <c r="E36" s="1019"/>
      <c r="F36" s="1019"/>
      <c r="G36" s="1019"/>
      <c r="H36" s="1019"/>
      <c r="I36" s="1051"/>
      <c r="J36" s="257"/>
      <c r="K36" s="257"/>
    </row>
    <row r="37" spans="1:11" ht="16.5" thickBot="1">
      <c r="A37" s="257"/>
      <c r="B37" s="1027"/>
      <c r="C37" s="991"/>
      <c r="D37" s="1024"/>
      <c r="E37" s="1024"/>
      <c r="F37" s="1024"/>
      <c r="G37" s="1024"/>
      <c r="H37" s="1024"/>
      <c r="I37" s="1052"/>
      <c r="J37" s="257"/>
      <c r="K37" s="257"/>
    </row>
    <row r="38" spans="1:11">
      <c r="A38" s="257"/>
      <c r="B38" s="1020" t="s">
        <v>165</v>
      </c>
      <c r="C38" s="309" t="s">
        <v>27</v>
      </c>
      <c r="D38" s="310" t="s">
        <v>474</v>
      </c>
      <c r="E38" s="272"/>
      <c r="F38" s="311" t="s">
        <v>132</v>
      </c>
      <c r="G38" s="311"/>
      <c r="H38" s="264" t="s">
        <v>131</v>
      </c>
      <c r="I38" s="312"/>
      <c r="J38" s="2"/>
      <c r="K38" s="313"/>
    </row>
    <row r="39" spans="1:11">
      <c r="A39" s="257"/>
      <c r="B39" s="1020"/>
      <c r="C39" s="265" t="s">
        <v>28</v>
      </c>
      <c r="D39" s="314"/>
      <c r="E39" s="314"/>
      <c r="F39" s="315"/>
      <c r="G39" s="315"/>
      <c r="H39" s="266" t="s">
        <v>101</v>
      </c>
      <c r="I39" s="316"/>
      <c r="J39" s="2"/>
      <c r="K39" s="264"/>
    </row>
    <row r="40" spans="1:11">
      <c r="A40" s="257"/>
      <c r="B40" s="1020"/>
      <c r="C40" s="1004" t="s">
        <v>29</v>
      </c>
      <c r="D40" s="268" t="s">
        <v>134</v>
      </c>
      <c r="E40" s="296"/>
      <c r="F40" s="1058" t="s">
        <v>164</v>
      </c>
      <c r="G40" s="1035"/>
      <c r="H40" s="1058" t="s">
        <v>127</v>
      </c>
      <c r="I40" s="1014"/>
      <c r="J40" s="2"/>
      <c r="K40" s="264"/>
    </row>
    <row r="41" spans="1:11">
      <c r="A41" s="257"/>
      <c r="B41" s="1020"/>
      <c r="C41" s="1005"/>
      <c r="D41" s="317" t="s">
        <v>133</v>
      </c>
      <c r="E41" s="272"/>
      <c r="F41" s="1008"/>
      <c r="G41" s="1008"/>
      <c r="H41" s="1008"/>
      <c r="I41" s="1015"/>
      <c r="J41" s="2"/>
      <c r="K41" s="257"/>
    </row>
    <row r="42" spans="1:11" ht="16.5" thickBot="1">
      <c r="A42" s="257"/>
      <c r="B42" s="1021"/>
      <c r="C42" s="1006"/>
      <c r="D42" s="318"/>
      <c r="E42" s="318"/>
      <c r="F42" s="1009"/>
      <c r="G42" s="1009"/>
      <c r="H42" s="1009"/>
      <c r="I42" s="1016"/>
      <c r="J42" s="2"/>
      <c r="K42" s="257"/>
    </row>
    <row r="43" spans="1:11">
      <c r="A43" s="257"/>
      <c r="B43" s="1025" t="s">
        <v>128</v>
      </c>
      <c r="C43" s="319" t="s">
        <v>27</v>
      </c>
      <c r="D43" s="277" t="s">
        <v>148</v>
      </c>
      <c r="E43" s="279"/>
      <c r="F43" s="164" t="s">
        <v>122</v>
      </c>
      <c r="G43" s="164"/>
      <c r="H43" s="303" t="s">
        <v>131</v>
      </c>
      <c r="I43" s="320"/>
      <c r="J43" s="2"/>
      <c r="K43" s="257"/>
    </row>
    <row r="44" spans="1:11">
      <c r="A44" s="257"/>
      <c r="B44" s="1026"/>
      <c r="C44" s="281" t="s">
        <v>28</v>
      </c>
      <c r="D44" s="283"/>
      <c r="E44" s="283"/>
      <c r="F44" s="300"/>
      <c r="G44" s="300"/>
      <c r="H44" s="285" t="s">
        <v>101</v>
      </c>
      <c r="I44" s="321"/>
      <c r="J44" s="257"/>
      <c r="K44" s="257"/>
    </row>
    <row r="45" spans="1:11" ht="15" customHeight="1">
      <c r="A45" s="257"/>
      <c r="B45" s="1026"/>
      <c r="C45" s="989" t="s">
        <v>29</v>
      </c>
      <c r="D45" s="1022" t="s">
        <v>600</v>
      </c>
      <c r="E45" s="1018"/>
      <c r="F45" s="1059" t="s">
        <v>123</v>
      </c>
      <c r="G45" s="1060"/>
      <c r="H45" s="995" t="s">
        <v>156</v>
      </c>
      <c r="I45" s="996"/>
      <c r="J45" s="257"/>
      <c r="K45" s="257"/>
    </row>
    <row r="46" spans="1:11" ht="15" customHeight="1">
      <c r="A46" s="257"/>
      <c r="B46" s="1026"/>
      <c r="C46" s="990"/>
      <c r="D46" s="1019"/>
      <c r="E46" s="1019"/>
      <c r="F46" s="993"/>
      <c r="G46" s="993"/>
      <c r="H46" s="997"/>
      <c r="I46" s="998"/>
      <c r="J46" s="257"/>
      <c r="K46" s="257"/>
    </row>
    <row r="47" spans="1:11">
      <c r="A47" s="257"/>
      <c r="B47" s="1026"/>
      <c r="C47" s="990"/>
      <c r="D47" s="1023" t="s">
        <v>121</v>
      </c>
      <c r="E47" s="1019"/>
      <c r="F47" s="993"/>
      <c r="G47" s="993"/>
      <c r="H47" s="997"/>
      <c r="I47" s="998"/>
      <c r="J47" s="257"/>
      <c r="K47" s="257"/>
    </row>
    <row r="48" spans="1:11" ht="16.5" thickBot="1">
      <c r="A48" s="257"/>
      <c r="B48" s="1027"/>
      <c r="C48" s="991"/>
      <c r="D48" s="1024"/>
      <c r="E48" s="1024"/>
      <c r="F48" s="994"/>
      <c r="G48" s="994"/>
      <c r="H48" s="999"/>
      <c r="I48" s="1000"/>
      <c r="J48" s="257"/>
      <c r="K48" s="257"/>
    </row>
    <row r="49" spans="1:11">
      <c r="A49" s="257"/>
      <c r="B49" s="1010" t="s">
        <v>124</v>
      </c>
      <c r="C49" s="309" t="s">
        <v>27</v>
      </c>
      <c r="D49" s="310" t="s">
        <v>474</v>
      </c>
      <c r="E49" s="292"/>
      <c r="F49" s="2" t="s">
        <v>117</v>
      </c>
      <c r="G49" s="2"/>
      <c r="H49" s="264" t="s">
        <v>131</v>
      </c>
      <c r="I49" s="312"/>
      <c r="J49" s="257"/>
      <c r="K49" s="257"/>
    </row>
    <row r="50" spans="1:11">
      <c r="A50" s="257"/>
      <c r="B50" s="1011"/>
      <c r="C50" s="265" t="s">
        <v>28</v>
      </c>
      <c r="D50" s="304"/>
      <c r="E50" s="304"/>
      <c r="F50" s="304"/>
      <c r="G50" s="304"/>
      <c r="H50" s="266" t="s">
        <v>101</v>
      </c>
      <c r="I50" s="316"/>
      <c r="J50" s="257"/>
      <c r="K50" s="257"/>
    </row>
    <row r="51" spans="1:11">
      <c r="A51" s="257"/>
      <c r="B51" s="1011"/>
      <c r="C51" s="1004" t="s">
        <v>29</v>
      </c>
      <c r="D51" s="264" t="s">
        <v>126</v>
      </c>
      <c r="E51" s="257"/>
      <c r="F51" s="306" t="s">
        <v>157</v>
      </c>
      <c r="G51" s="257"/>
      <c r="H51" s="1013" t="s">
        <v>125</v>
      </c>
      <c r="I51" s="1014"/>
      <c r="J51" s="257"/>
      <c r="K51" s="257"/>
    </row>
    <row r="52" spans="1:11">
      <c r="B52" s="1011"/>
      <c r="C52" s="1005"/>
      <c r="D52" s="1007" t="s">
        <v>166</v>
      </c>
      <c r="E52" s="1008"/>
      <c r="F52" s="1007" t="s">
        <v>114</v>
      </c>
      <c r="G52" s="1008"/>
      <c r="H52" s="1008"/>
      <c r="I52" s="1015"/>
    </row>
    <row r="53" spans="1:11">
      <c r="B53" s="1011"/>
      <c r="C53" s="1005"/>
      <c r="D53" s="1008"/>
      <c r="E53" s="1008"/>
      <c r="F53" s="1008"/>
      <c r="G53" s="1008"/>
      <c r="H53" s="1008"/>
      <c r="I53" s="1015"/>
    </row>
    <row r="54" spans="1:11" ht="16.5" thickBot="1">
      <c r="B54" s="1012"/>
      <c r="C54" s="1006"/>
      <c r="D54" s="1009"/>
      <c r="E54" s="1009"/>
      <c r="F54" s="1009"/>
      <c r="G54" s="1009"/>
      <c r="H54" s="1009"/>
      <c r="I54" s="1016"/>
    </row>
    <row r="55" spans="1:11">
      <c r="B55" s="1001" t="s">
        <v>115</v>
      </c>
      <c r="C55" s="276" t="s">
        <v>27</v>
      </c>
      <c r="D55" s="277" t="s">
        <v>118</v>
      </c>
      <c r="E55" s="279"/>
      <c r="F55" s="322" t="s">
        <v>116</v>
      </c>
      <c r="G55" s="322"/>
      <c r="H55" s="277" t="s">
        <v>131</v>
      </c>
      <c r="I55" s="323"/>
    </row>
    <row r="56" spans="1:11">
      <c r="B56" s="1002"/>
      <c r="C56" s="281" t="s">
        <v>28</v>
      </c>
      <c r="D56" s="283"/>
      <c r="E56" s="283"/>
      <c r="F56" s="283"/>
      <c r="G56" s="283"/>
      <c r="H56" s="285" t="s">
        <v>101</v>
      </c>
      <c r="I56" s="321"/>
    </row>
    <row r="57" spans="1:11" ht="15" customHeight="1">
      <c r="B57" s="1002"/>
      <c r="C57" s="989" t="s">
        <v>29</v>
      </c>
      <c r="D57" s="1017" t="s">
        <v>119</v>
      </c>
      <c r="E57" s="1018"/>
      <c r="F57" s="992" t="s">
        <v>160</v>
      </c>
      <c r="G57" s="993"/>
      <c r="H57" s="995" t="s">
        <v>155</v>
      </c>
      <c r="I57" s="996"/>
    </row>
    <row r="58" spans="1:11">
      <c r="B58" s="1002"/>
      <c r="C58" s="990"/>
      <c r="D58" s="1019"/>
      <c r="E58" s="1019"/>
      <c r="F58" s="993"/>
      <c r="G58" s="993"/>
      <c r="H58" s="997"/>
      <c r="I58" s="998"/>
    </row>
    <row r="59" spans="1:11" ht="15" customHeight="1" thickBot="1">
      <c r="B59" s="1003"/>
      <c r="C59" s="991"/>
      <c r="D59" s="324" t="s">
        <v>120</v>
      </c>
      <c r="E59" s="325"/>
      <c r="F59" s="994"/>
      <c r="G59" s="994"/>
      <c r="H59" s="999"/>
      <c r="I59" s="1000"/>
    </row>
    <row r="60" spans="1:11">
      <c r="B60" s="326"/>
      <c r="C60" s="326"/>
      <c r="D60" s="311"/>
      <c r="E60" s="311"/>
      <c r="F60" s="326"/>
      <c r="G60" s="326"/>
      <c r="H60" s="327"/>
      <c r="I60" s="327"/>
    </row>
    <row r="61" spans="1:11">
      <c r="B61" s="326"/>
      <c r="C61" s="326"/>
      <c r="D61" s="311"/>
      <c r="E61" s="311"/>
      <c r="F61" s="326"/>
      <c r="G61" s="326"/>
      <c r="H61" s="326"/>
      <c r="I61" s="326"/>
    </row>
    <row r="62" spans="1:11">
      <c r="B62" s="326"/>
      <c r="C62" s="326"/>
      <c r="D62" s="311"/>
      <c r="E62" s="311"/>
      <c r="F62" s="326"/>
      <c r="G62" s="326"/>
      <c r="H62" s="326"/>
      <c r="I62" s="326"/>
    </row>
    <row r="63" spans="1:11">
      <c r="B63" s="326"/>
      <c r="C63" s="326"/>
      <c r="D63" s="311"/>
      <c r="E63" s="311"/>
      <c r="F63" s="326"/>
      <c r="G63" s="326"/>
      <c r="H63" s="326"/>
      <c r="I63" s="326"/>
    </row>
    <row r="65" spans="2:15">
      <c r="B65" s="166" t="s">
        <v>601</v>
      </c>
    </row>
    <row r="66" spans="2:15">
      <c r="B66" t="s">
        <v>1075</v>
      </c>
    </row>
    <row r="68" spans="2:15">
      <c r="C68" t="s">
        <v>183</v>
      </c>
      <c r="E68" s="1047" t="s">
        <v>477</v>
      </c>
      <c r="F68" s="1047"/>
      <c r="G68" s="1047"/>
      <c r="H68" s="1047"/>
      <c r="I68" s="1047"/>
      <c r="J68" s="1047"/>
    </row>
    <row r="69" spans="2:15">
      <c r="B69" s="257"/>
      <c r="C69" s="328" t="s">
        <v>20</v>
      </c>
      <c r="D69" s="329" t="s">
        <v>52</v>
      </c>
      <c r="E69" s="328" t="s">
        <v>92</v>
      </c>
      <c r="F69" s="2"/>
      <c r="G69" s="329" t="s">
        <v>51</v>
      </c>
      <c r="H69" s="18" t="s">
        <v>195</v>
      </c>
      <c r="I69" s="2"/>
      <c r="J69" s="2"/>
      <c r="K69" s="330"/>
      <c r="L69" s="264"/>
      <c r="M69" s="257"/>
      <c r="N69" s="257"/>
      <c r="O69" s="257"/>
    </row>
    <row r="70" spans="2:15">
      <c r="B70" s="331" t="s">
        <v>53</v>
      </c>
      <c r="C70" s="332" t="s">
        <v>50</v>
      </c>
      <c r="D70" s="333"/>
      <c r="E70" s="334" t="s">
        <v>19</v>
      </c>
      <c r="F70" s="333"/>
      <c r="G70" s="333"/>
      <c r="H70" s="332" t="s">
        <v>18</v>
      </c>
      <c r="I70" s="333"/>
      <c r="J70" s="333"/>
      <c r="K70" s="335"/>
      <c r="M70" s="257"/>
      <c r="N70" s="257"/>
      <c r="O70" s="257"/>
    </row>
    <row r="71" spans="2:15">
      <c r="B71" s="336" t="s">
        <v>13</v>
      </c>
      <c r="C71" s="257" t="s">
        <v>80</v>
      </c>
      <c r="D71" s="329"/>
      <c r="E71" s="257" t="s">
        <v>81</v>
      </c>
      <c r="F71" s="257"/>
      <c r="G71" s="329"/>
      <c r="H71" s="257" t="s">
        <v>82</v>
      </c>
      <c r="I71" s="257"/>
      <c r="J71" s="257"/>
      <c r="K71" s="337"/>
      <c r="L71" s="257"/>
      <c r="M71" s="257"/>
      <c r="N71" s="257"/>
      <c r="O71" s="257"/>
    </row>
    <row r="72" spans="2:15">
      <c r="B72" s="309"/>
      <c r="C72" s="2" t="s">
        <v>167</v>
      </c>
      <c r="D72" s="257"/>
      <c r="E72" s="257" t="s">
        <v>81</v>
      </c>
      <c r="F72" s="257"/>
      <c r="G72" s="257"/>
      <c r="H72" s="257" t="s">
        <v>83</v>
      </c>
      <c r="I72" s="257"/>
      <c r="J72" s="257"/>
      <c r="K72" s="338"/>
      <c r="L72" s="257"/>
      <c r="M72" s="257"/>
      <c r="N72" s="257"/>
      <c r="O72" s="257"/>
    </row>
    <row r="73" spans="2:15">
      <c r="B73" s="309"/>
      <c r="C73" s="2" t="s">
        <v>168</v>
      </c>
      <c r="D73" s="257"/>
      <c r="E73" s="257" t="s">
        <v>81</v>
      </c>
      <c r="F73" s="257"/>
      <c r="G73" s="257"/>
      <c r="H73" s="257" t="s">
        <v>84</v>
      </c>
      <c r="I73" s="257"/>
      <c r="J73" s="257"/>
      <c r="K73" s="338"/>
      <c r="L73" s="257"/>
      <c r="M73" s="257"/>
      <c r="N73" s="257"/>
      <c r="O73" s="257"/>
    </row>
    <row r="74" spans="2:15">
      <c r="B74" s="309"/>
      <c r="C74" s="257" t="s">
        <v>85</v>
      </c>
      <c r="D74" s="257"/>
      <c r="E74" s="257" t="s">
        <v>85</v>
      </c>
      <c r="F74" s="257"/>
      <c r="G74" s="257"/>
      <c r="H74" s="257" t="s">
        <v>86</v>
      </c>
      <c r="I74" s="257"/>
      <c r="J74" s="257"/>
      <c r="K74" s="338"/>
      <c r="L74" s="257"/>
      <c r="M74" s="257"/>
      <c r="N74" s="257"/>
      <c r="O74" s="257"/>
    </row>
    <row r="75" spans="2:15">
      <c r="B75" s="309"/>
      <c r="C75" s="264" t="s">
        <v>42</v>
      </c>
      <c r="D75" s="257"/>
      <c r="E75" s="339" t="s">
        <v>43</v>
      </c>
      <c r="F75" s="339"/>
      <c r="G75" s="257"/>
      <c r="H75" s="257"/>
      <c r="I75" s="257"/>
      <c r="J75" s="257"/>
      <c r="K75" s="338"/>
      <c r="L75" s="257"/>
      <c r="M75" s="257"/>
      <c r="N75" s="257"/>
      <c r="O75" s="257"/>
    </row>
    <row r="76" spans="2:15">
      <c r="B76" s="309"/>
      <c r="C76" s="2" t="s">
        <v>41</v>
      </c>
      <c r="D76" s="328"/>
      <c r="E76" s="339" t="s">
        <v>3</v>
      </c>
      <c r="F76" s="340"/>
      <c r="G76" s="341"/>
      <c r="H76" s="342"/>
      <c r="I76" s="257"/>
      <c r="J76" s="257"/>
      <c r="K76" s="338"/>
      <c r="L76" s="257"/>
      <c r="M76" s="257"/>
      <c r="N76" s="257"/>
      <c r="O76" s="257"/>
    </row>
    <row r="77" spans="2:15">
      <c r="B77" s="309"/>
      <c r="C77" s="343" t="s">
        <v>478</v>
      </c>
      <c r="D77" s="257"/>
      <c r="E77" s="2" t="s">
        <v>479</v>
      </c>
      <c r="F77" s="257"/>
      <c r="G77" s="257"/>
      <c r="H77" s="257" t="s">
        <v>59</v>
      </c>
      <c r="I77" s="257"/>
      <c r="J77" s="257"/>
      <c r="K77" s="338"/>
      <c r="L77" s="264"/>
      <c r="M77" s="257"/>
      <c r="N77" s="257"/>
      <c r="O77" s="257"/>
    </row>
    <row r="78" spans="2:15">
      <c r="B78" s="309"/>
      <c r="C78" s="343" t="s">
        <v>0</v>
      </c>
      <c r="D78" s="257"/>
      <c r="E78" s="343" t="s">
        <v>480</v>
      </c>
      <c r="F78" s="257"/>
      <c r="G78" s="257"/>
      <c r="H78" s="257"/>
      <c r="I78" s="257"/>
      <c r="J78" s="257"/>
      <c r="K78" s="338"/>
      <c r="L78" s="264"/>
      <c r="M78" s="257"/>
      <c r="N78" s="257"/>
      <c r="O78" s="257"/>
    </row>
    <row r="79" spans="2:15">
      <c r="B79" s="309"/>
      <c r="C79" s="264" t="s">
        <v>16</v>
      </c>
      <c r="D79" s="257"/>
      <c r="E79" s="339" t="s">
        <v>38</v>
      </c>
      <c r="F79" s="344"/>
      <c r="G79" s="344"/>
      <c r="H79" s="345"/>
      <c r="I79" s="257"/>
      <c r="J79" s="257"/>
      <c r="K79" s="338"/>
      <c r="L79" s="264"/>
      <c r="M79" s="257"/>
      <c r="N79" s="257"/>
      <c r="O79" s="257"/>
    </row>
    <row r="80" spans="2:15">
      <c r="B80" s="309"/>
      <c r="C80" s="257" t="s">
        <v>60</v>
      </c>
      <c r="D80" s="257"/>
      <c r="E80" s="257" t="s">
        <v>37</v>
      </c>
      <c r="F80" s="257"/>
      <c r="G80" s="257"/>
      <c r="H80" s="257" t="s">
        <v>61</v>
      </c>
      <c r="I80" s="257"/>
      <c r="J80" s="257"/>
      <c r="K80" s="338"/>
      <c r="L80" s="257"/>
      <c r="M80" s="257"/>
      <c r="N80" s="257"/>
      <c r="O80" s="257"/>
    </row>
    <row r="81" spans="2:15">
      <c r="B81" s="309"/>
      <c r="C81" s="264" t="s">
        <v>17</v>
      </c>
      <c r="E81" s="339" t="s">
        <v>39</v>
      </c>
      <c r="F81" s="344"/>
      <c r="G81" s="344"/>
      <c r="H81" s="345"/>
      <c r="J81" s="257"/>
      <c r="K81" s="338"/>
      <c r="L81" s="257"/>
      <c r="M81" s="257"/>
      <c r="N81" s="257"/>
      <c r="O81" s="257"/>
    </row>
    <row r="82" spans="2:15">
      <c r="B82" s="309"/>
      <c r="C82" s="2" t="s">
        <v>486</v>
      </c>
      <c r="E82" s="339" t="s">
        <v>481</v>
      </c>
      <c r="F82" s="344"/>
      <c r="G82" s="344"/>
      <c r="H82" s="345"/>
      <c r="J82" s="257"/>
      <c r="K82" s="338"/>
      <c r="L82" s="264"/>
      <c r="M82" s="257"/>
      <c r="N82" s="257"/>
      <c r="O82" s="257"/>
    </row>
    <row r="83" spans="2:15">
      <c r="B83" s="309"/>
      <c r="C83" s="2" t="s">
        <v>484</v>
      </c>
      <c r="E83" s="339" t="s">
        <v>485</v>
      </c>
      <c r="F83" s="344"/>
      <c r="G83" s="344"/>
      <c r="H83" s="345"/>
      <c r="J83" s="257"/>
      <c r="K83" s="338"/>
      <c r="L83" s="264"/>
      <c r="M83" s="257"/>
      <c r="N83" s="257"/>
      <c r="O83" s="257"/>
    </row>
    <row r="84" spans="2:15">
      <c r="B84" s="309"/>
      <c r="C84" s="264" t="s">
        <v>2</v>
      </c>
      <c r="E84" s="339" t="s">
        <v>481</v>
      </c>
      <c r="F84" s="344"/>
      <c r="G84" s="344"/>
      <c r="H84" s="345"/>
      <c r="J84" s="257"/>
      <c r="K84" s="338"/>
      <c r="L84" s="264"/>
      <c r="M84" s="257"/>
      <c r="N84" s="257"/>
      <c r="O84" s="257"/>
    </row>
    <row r="85" spans="2:15">
      <c r="B85" s="309"/>
      <c r="C85" s="2" t="s">
        <v>483</v>
      </c>
      <c r="E85" s="339" t="s">
        <v>482</v>
      </c>
      <c r="F85" s="344"/>
      <c r="G85" s="344"/>
      <c r="H85" s="345"/>
      <c r="J85" s="257"/>
      <c r="K85" s="338"/>
      <c r="L85" s="264"/>
      <c r="M85" s="257"/>
      <c r="N85" s="257"/>
      <c r="O85" s="257"/>
    </row>
    <row r="86" spans="2:15">
      <c r="B86" s="309"/>
      <c r="C86" s="264" t="s">
        <v>1</v>
      </c>
      <c r="D86" s="257"/>
      <c r="E86" s="257" t="s">
        <v>56</v>
      </c>
      <c r="F86" s="257"/>
      <c r="G86" s="257"/>
      <c r="H86" s="257" t="s">
        <v>62</v>
      </c>
      <c r="I86" s="257"/>
      <c r="J86" s="257"/>
      <c r="K86" s="338"/>
      <c r="L86" s="257"/>
      <c r="M86" s="257"/>
      <c r="N86" s="257"/>
      <c r="O86" s="257"/>
    </row>
    <row r="87" spans="2:15">
      <c r="B87" s="331" t="s">
        <v>14</v>
      </c>
      <c r="C87" s="334" t="s">
        <v>49</v>
      </c>
      <c r="D87" s="332"/>
      <c r="E87" s="332" t="s">
        <v>64</v>
      </c>
      <c r="F87" s="346"/>
      <c r="G87" s="346"/>
      <c r="H87" s="347" t="s">
        <v>487</v>
      </c>
      <c r="I87" s="332"/>
      <c r="J87" s="332"/>
      <c r="K87" s="348"/>
      <c r="L87" s="257"/>
      <c r="M87" s="257"/>
      <c r="N87" s="257"/>
      <c r="O87" s="257"/>
    </row>
    <row r="88" spans="2:15">
      <c r="B88" s="336" t="s">
        <v>15</v>
      </c>
      <c r="C88" s="257" t="s">
        <v>63</v>
      </c>
      <c r="D88" s="257"/>
      <c r="E88" s="257" t="s">
        <v>64</v>
      </c>
      <c r="F88" s="257"/>
      <c r="G88" s="257"/>
      <c r="H88" s="257" t="s">
        <v>94</v>
      </c>
      <c r="I88" s="257"/>
      <c r="J88" s="257"/>
      <c r="K88" s="338"/>
      <c r="L88" s="257"/>
      <c r="M88" s="257"/>
      <c r="N88" s="257"/>
      <c r="O88" s="257"/>
    </row>
    <row r="89" spans="2:15">
      <c r="B89" s="309"/>
      <c r="C89" s="257" t="s">
        <v>65</v>
      </c>
      <c r="D89" s="257"/>
      <c r="E89" s="257" t="s">
        <v>66</v>
      </c>
      <c r="F89" s="257"/>
      <c r="G89" s="257"/>
      <c r="H89" s="257" t="s">
        <v>93</v>
      </c>
      <c r="I89" s="257"/>
      <c r="J89" s="257"/>
      <c r="K89" s="338"/>
      <c r="L89" s="257"/>
      <c r="M89" s="257"/>
      <c r="N89" s="257"/>
      <c r="O89" s="257"/>
    </row>
    <row r="90" spans="2:15">
      <c r="B90" s="309"/>
      <c r="C90" s="264" t="s">
        <v>44</v>
      </c>
      <c r="D90" s="257"/>
      <c r="E90" s="2" t="s">
        <v>64</v>
      </c>
      <c r="F90" s="257"/>
      <c r="G90" s="257"/>
      <c r="H90" s="343" t="s">
        <v>488</v>
      </c>
      <c r="I90" s="257"/>
      <c r="J90" s="257"/>
      <c r="K90" s="338"/>
      <c r="L90" s="257"/>
      <c r="M90" s="257"/>
      <c r="N90" s="257"/>
      <c r="O90" s="257"/>
    </row>
    <row r="91" spans="2:15">
      <c r="B91" s="309"/>
      <c r="C91" s="2" t="s">
        <v>6</v>
      </c>
      <c r="D91" s="328"/>
      <c r="E91" s="339" t="s">
        <v>7</v>
      </c>
      <c r="F91" s="341"/>
      <c r="G91" s="341"/>
      <c r="H91" s="342"/>
      <c r="I91" s="328"/>
      <c r="J91" s="328"/>
      <c r="K91" s="338"/>
      <c r="L91" s="257"/>
      <c r="M91" s="257"/>
      <c r="N91" s="257"/>
      <c r="O91" s="257"/>
    </row>
    <row r="92" spans="2:15">
      <c r="B92" s="336"/>
      <c r="C92" s="257" t="s">
        <v>67</v>
      </c>
      <c r="D92" s="257"/>
      <c r="E92" s="257" t="s">
        <v>66</v>
      </c>
      <c r="F92" s="257"/>
      <c r="G92" s="257"/>
      <c r="H92" s="2" t="s">
        <v>602</v>
      </c>
      <c r="I92" s="257"/>
      <c r="J92" s="257"/>
      <c r="K92" s="338"/>
      <c r="L92" s="257"/>
    </row>
    <row r="93" spans="2:15">
      <c r="B93" s="336"/>
      <c r="C93" s="264" t="s">
        <v>45</v>
      </c>
      <c r="E93" s="2" t="s">
        <v>64</v>
      </c>
      <c r="F93" s="349"/>
      <c r="G93" s="2"/>
      <c r="H93" s="343" t="s">
        <v>489</v>
      </c>
      <c r="I93" s="349"/>
      <c r="K93" s="350"/>
    </row>
    <row r="94" spans="2:15">
      <c r="B94" s="336"/>
      <c r="C94" s="264" t="s">
        <v>46</v>
      </c>
      <c r="E94" s="339" t="s">
        <v>8</v>
      </c>
      <c r="F94" s="351"/>
      <c r="G94" s="351"/>
      <c r="H94" s="352"/>
      <c r="K94" s="350"/>
    </row>
    <row r="95" spans="2:15">
      <c r="B95" s="336"/>
      <c r="C95" s="264" t="s">
        <v>4</v>
      </c>
      <c r="E95" s="339" t="s">
        <v>9</v>
      </c>
      <c r="F95" s="351"/>
      <c r="G95" s="351"/>
      <c r="H95" s="352"/>
      <c r="K95" s="350"/>
    </row>
    <row r="96" spans="2:15">
      <c r="B96" s="336"/>
      <c r="C96" s="353" t="s">
        <v>10</v>
      </c>
      <c r="D96" s="353"/>
      <c r="E96" s="353" t="s">
        <v>11</v>
      </c>
      <c r="F96" s="353"/>
      <c r="G96" s="353"/>
      <c r="H96" s="353" t="s">
        <v>12</v>
      </c>
      <c r="I96" s="353"/>
      <c r="J96" s="353"/>
      <c r="K96" s="350"/>
    </row>
    <row r="97" spans="2:11">
      <c r="B97" s="336"/>
      <c r="C97" s="353" t="s">
        <v>491</v>
      </c>
      <c r="D97" s="353"/>
      <c r="E97" s="354" t="s">
        <v>64</v>
      </c>
      <c r="F97" s="355"/>
      <c r="G97" s="355"/>
      <c r="H97" s="354" t="s">
        <v>493</v>
      </c>
      <c r="I97" s="353"/>
      <c r="J97" s="353"/>
      <c r="K97" s="350"/>
    </row>
    <row r="98" spans="2:11">
      <c r="B98" s="336"/>
      <c r="C98" s="353" t="s">
        <v>40</v>
      </c>
      <c r="D98" s="353"/>
      <c r="E98" s="354" t="s">
        <v>492</v>
      </c>
      <c r="F98" s="355"/>
      <c r="G98" s="355"/>
      <c r="H98" s="355"/>
      <c r="I98" s="353"/>
      <c r="J98" s="353"/>
      <c r="K98" s="350"/>
    </row>
    <row r="99" spans="2:11">
      <c r="B99" s="336"/>
      <c r="C99" s="264" t="s">
        <v>47</v>
      </c>
      <c r="E99" s="339" t="s">
        <v>490</v>
      </c>
      <c r="K99" s="350"/>
    </row>
    <row r="100" spans="2:11">
      <c r="B100" s="336"/>
      <c r="C100" s="353" t="s">
        <v>342</v>
      </c>
      <c r="D100" s="353"/>
      <c r="E100" s="354" t="s">
        <v>499</v>
      </c>
      <c r="F100" s="353"/>
      <c r="G100" s="353"/>
      <c r="H100" s="353" t="s">
        <v>500</v>
      </c>
      <c r="I100" s="353"/>
      <c r="J100" s="356"/>
      <c r="K100" s="350"/>
    </row>
    <row r="101" spans="2:11">
      <c r="B101" s="336"/>
      <c r="C101" s="353" t="s">
        <v>497</v>
      </c>
      <c r="D101" s="353"/>
      <c r="E101" s="353" t="s">
        <v>81</v>
      </c>
      <c r="F101" s="353"/>
      <c r="G101" s="353"/>
      <c r="H101" s="353" t="s">
        <v>501</v>
      </c>
      <c r="I101" s="353"/>
      <c r="J101" s="356"/>
      <c r="K101" s="350"/>
    </row>
    <row r="102" spans="2:11">
      <c r="B102" s="336"/>
      <c r="C102" s="353" t="s">
        <v>498</v>
      </c>
      <c r="D102" s="353"/>
      <c r="E102" s="354" t="s">
        <v>492</v>
      </c>
      <c r="F102" s="353"/>
      <c r="G102" s="353"/>
      <c r="H102" s="353"/>
      <c r="I102" s="353"/>
      <c r="J102" s="356"/>
      <c r="K102" s="350"/>
    </row>
    <row r="103" spans="2:11">
      <c r="B103" s="336"/>
      <c r="C103" s="2" t="s">
        <v>504</v>
      </c>
      <c r="E103" s="339" t="s">
        <v>496</v>
      </c>
      <c r="K103" s="350"/>
    </row>
    <row r="104" spans="2:11">
      <c r="B104" s="336"/>
      <c r="C104" s="264" t="s">
        <v>48</v>
      </c>
      <c r="E104" s="2" t="s">
        <v>64</v>
      </c>
      <c r="H104" s="2" t="s">
        <v>502</v>
      </c>
      <c r="K104" s="350"/>
    </row>
    <row r="105" spans="2:11">
      <c r="B105" s="336"/>
      <c r="C105" s="264" t="s">
        <v>5</v>
      </c>
      <c r="E105" s="339" t="s">
        <v>603</v>
      </c>
      <c r="K105" s="350"/>
    </row>
    <row r="106" spans="2:11">
      <c r="B106" s="336"/>
      <c r="C106" s="2" t="s">
        <v>503</v>
      </c>
      <c r="E106" s="257" t="s">
        <v>64</v>
      </c>
      <c r="H106" s="257" t="s">
        <v>505</v>
      </c>
      <c r="K106" s="350"/>
    </row>
    <row r="107" spans="2:11">
      <c r="B107" s="336"/>
      <c r="C107" s="2" t="s">
        <v>506</v>
      </c>
      <c r="E107" s="339" t="s">
        <v>507</v>
      </c>
      <c r="K107" s="350"/>
    </row>
    <row r="108" spans="2:11">
      <c r="B108" s="336"/>
      <c r="C108" s="2" t="s">
        <v>1209</v>
      </c>
      <c r="D108" s="264"/>
      <c r="E108" s="339" t="s">
        <v>508</v>
      </c>
      <c r="F108" s="264"/>
      <c r="G108" s="264"/>
      <c r="H108" s="264"/>
      <c r="I108" s="264"/>
      <c r="J108" s="264"/>
      <c r="K108" s="350"/>
    </row>
    <row r="109" spans="2:11">
      <c r="B109" s="336"/>
      <c r="C109" s="2" t="s">
        <v>512</v>
      </c>
      <c r="D109" s="264"/>
      <c r="E109" s="339" t="s">
        <v>513</v>
      </c>
      <c r="F109" s="264"/>
      <c r="G109" s="264"/>
      <c r="H109" s="264"/>
      <c r="I109" s="264"/>
      <c r="J109" s="264"/>
      <c r="K109" s="350"/>
    </row>
    <row r="110" spans="2:11">
      <c r="B110" s="336"/>
      <c r="C110" s="2" t="s">
        <v>494</v>
      </c>
      <c r="D110" s="264"/>
      <c r="E110" s="339" t="s">
        <v>509</v>
      </c>
      <c r="F110" s="264"/>
      <c r="G110" s="264"/>
      <c r="H110" s="264"/>
      <c r="I110" s="264"/>
      <c r="J110" s="264"/>
      <c r="K110" s="350"/>
    </row>
    <row r="111" spans="2:11">
      <c r="B111" s="336"/>
      <c r="C111" s="2" t="s">
        <v>495</v>
      </c>
      <c r="D111" s="264"/>
      <c r="E111" s="339" t="s">
        <v>1208</v>
      </c>
      <c r="F111" s="264"/>
      <c r="G111" s="264"/>
      <c r="H111" s="264"/>
      <c r="I111" s="264"/>
      <c r="J111" s="264"/>
      <c r="K111" s="350"/>
    </row>
    <row r="112" spans="2:11">
      <c r="B112" s="336"/>
      <c r="C112" s="2" t="s">
        <v>511</v>
      </c>
      <c r="D112" s="264"/>
      <c r="E112" s="339" t="s">
        <v>481</v>
      </c>
      <c r="F112" s="264"/>
      <c r="G112" s="264"/>
      <c r="H112" s="264"/>
      <c r="I112" s="264"/>
      <c r="J112" s="264"/>
      <c r="K112" s="350"/>
    </row>
    <row r="113" spans="2:11">
      <c r="B113" s="336"/>
      <c r="C113" s="2" t="s">
        <v>515</v>
      </c>
      <c r="D113" s="264"/>
      <c r="E113" s="339" t="s">
        <v>481</v>
      </c>
      <c r="F113" s="264"/>
      <c r="G113" s="264"/>
      <c r="H113" s="264"/>
      <c r="I113" s="264"/>
      <c r="J113" s="264"/>
      <c r="K113" s="350"/>
    </row>
    <row r="114" spans="2:11">
      <c r="B114" s="336"/>
      <c r="C114" s="2" t="s">
        <v>516</v>
      </c>
      <c r="D114" s="264"/>
      <c r="E114" s="339" t="s">
        <v>481</v>
      </c>
      <c r="F114" s="264"/>
      <c r="G114" s="264"/>
      <c r="H114" s="264"/>
      <c r="I114" s="264"/>
      <c r="J114" s="264"/>
      <c r="K114" s="350"/>
    </row>
    <row r="115" spans="2:11">
      <c r="B115" s="336"/>
      <c r="C115" s="2" t="s">
        <v>165</v>
      </c>
      <c r="D115" s="264"/>
      <c r="E115" s="339" t="s">
        <v>514</v>
      </c>
      <c r="F115" s="264"/>
      <c r="G115" s="264"/>
      <c r="H115" s="264"/>
      <c r="I115" s="264"/>
      <c r="J115" s="264"/>
      <c r="K115" s="350"/>
    </row>
    <row r="116" spans="2:11">
      <c r="B116" s="336"/>
      <c r="C116" s="2" t="s">
        <v>88</v>
      </c>
      <c r="D116" s="264"/>
      <c r="E116" s="339" t="s">
        <v>517</v>
      </c>
      <c r="F116" s="264"/>
      <c r="G116" s="264"/>
      <c r="H116" s="264"/>
      <c r="I116" s="264"/>
      <c r="J116" s="264"/>
      <c r="K116" s="350"/>
    </row>
    <row r="117" spans="2:11">
      <c r="B117" s="357"/>
      <c r="C117" s="188" t="s">
        <v>495</v>
      </c>
      <c r="D117" s="305"/>
      <c r="E117" s="358" t="s">
        <v>510</v>
      </c>
      <c r="F117" s="305"/>
      <c r="G117" s="305"/>
      <c r="H117" s="305"/>
      <c r="I117" s="305"/>
      <c r="J117" s="359"/>
      <c r="K117" s="360"/>
    </row>
    <row r="118" spans="2:11">
      <c r="F118" s="264"/>
      <c r="G118" s="264"/>
      <c r="H118" s="264"/>
      <c r="I118" s="264"/>
      <c r="J118" s="264"/>
    </row>
    <row r="119" spans="2:11">
      <c r="C119" s="264"/>
      <c r="D119" s="264"/>
      <c r="E119" s="264"/>
      <c r="F119" s="264"/>
      <c r="G119" s="264"/>
      <c r="H119" s="264"/>
      <c r="I119" s="264"/>
      <c r="J119" s="264"/>
    </row>
  </sheetData>
  <sheetProtection algorithmName="SHA-512" hashValue="qRYOSpyp2KT+nqA4jSRucDYXVxSIJWr9Is8hVrn59bvDNF1HKeCdA5B9gEauMle8KaWBQ2V1o6AFNj+pmaVA/A==" saltValue="aNwoX1u5KEAXcnRxj3og3Q==" spinCount="100000" sheet="1" objects="1" scenarios="1"/>
  <mergeCells count="45">
    <mergeCell ref="E68:J68"/>
    <mergeCell ref="F10:G11"/>
    <mergeCell ref="C12:C13"/>
    <mergeCell ref="D17:E18"/>
    <mergeCell ref="F17:G18"/>
    <mergeCell ref="H34:I37"/>
    <mergeCell ref="C26:C27"/>
    <mergeCell ref="H22:I23"/>
    <mergeCell ref="F22:G23"/>
    <mergeCell ref="H17:I18"/>
    <mergeCell ref="C30:C31"/>
    <mergeCell ref="F40:G42"/>
    <mergeCell ref="C40:C42"/>
    <mergeCell ref="H40:I42"/>
    <mergeCell ref="H45:I48"/>
    <mergeCell ref="F45:G48"/>
    <mergeCell ref="B24:B27"/>
    <mergeCell ref="B10:B13"/>
    <mergeCell ref="D12:E13"/>
    <mergeCell ref="D10:E11"/>
    <mergeCell ref="B14:B18"/>
    <mergeCell ref="C16:C18"/>
    <mergeCell ref="C21:C23"/>
    <mergeCell ref="B19:B23"/>
    <mergeCell ref="B28:B31"/>
    <mergeCell ref="F34:G37"/>
    <mergeCell ref="C34:C37"/>
    <mergeCell ref="B32:B37"/>
    <mergeCell ref="D34:E35"/>
    <mergeCell ref="D36:E37"/>
    <mergeCell ref="B38:B42"/>
    <mergeCell ref="D45:E46"/>
    <mergeCell ref="D47:E48"/>
    <mergeCell ref="C45:C48"/>
    <mergeCell ref="B43:B48"/>
    <mergeCell ref="C57:C59"/>
    <mergeCell ref="F57:G59"/>
    <mergeCell ref="H57:I59"/>
    <mergeCell ref="B55:B59"/>
    <mergeCell ref="C51:C54"/>
    <mergeCell ref="D52:E54"/>
    <mergeCell ref="F52:G54"/>
    <mergeCell ref="B49:B54"/>
    <mergeCell ref="H51:I54"/>
    <mergeCell ref="D57:E58"/>
  </mergeCells>
  <phoneticPr fontId="70" type="noConversion"/>
  <pageMargins left="0.75" right="0.75" top="1" bottom="1" header="0.5" footer="0.5"/>
  <pageSetup orientation="portrait" horizontalDpi="4294967292" verticalDpi="4294967292"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6D832-DEAE-7241-969F-338578E72CAC}">
  <sheetPr published="0"/>
  <dimension ref="A1:N153"/>
  <sheetViews>
    <sheetView topLeftCell="A110" zoomScale="143" zoomScaleNormal="130" workbookViewId="0">
      <selection activeCell="B117" sqref="B117"/>
    </sheetView>
  </sheetViews>
  <sheetFormatPr defaultColWidth="11.125" defaultRowHeight="15.75"/>
  <sheetData>
    <row r="1" spans="1:6" ht="18.75">
      <c r="A1" s="149" t="s">
        <v>1141</v>
      </c>
      <c r="F1" s="1" t="str">
        <f>'INTRO Modeling'!H1</f>
        <v>© All rights reserved, 2019, Marianne Wolk &amp; Richard Horwitz</v>
      </c>
    </row>
    <row r="2" spans="1:6" ht="14.1" customHeight="1">
      <c r="A2" s="2" t="s">
        <v>757</v>
      </c>
      <c r="F2" s="1"/>
    </row>
    <row r="3" spans="1:6" ht="14.1" customHeight="1">
      <c r="A3" s="2" t="s">
        <v>1146</v>
      </c>
    </row>
    <row r="4" spans="1:6" ht="14.1" customHeight="1">
      <c r="A4" s="2" t="str">
        <f ca="1">"Sheet: "&amp;MID(CELL("filename",A1),FIND("]",CELL("filename",A1))+1,255)</f>
        <v>Sheet: INTRO Multiperiod Models</v>
      </c>
    </row>
    <row r="5" spans="1:6" ht="14.1" customHeight="1">
      <c r="A5" s="2"/>
    </row>
    <row r="6" spans="1:6">
      <c r="A6" s="166" t="s">
        <v>1390</v>
      </c>
    </row>
    <row r="7" spans="1:6" ht="14.1" customHeight="1">
      <c r="A7" s="2" t="s">
        <v>1395</v>
      </c>
    </row>
    <row r="8" spans="1:6" ht="14.1" customHeight="1">
      <c r="A8" s="2" t="s">
        <v>1515</v>
      </c>
    </row>
    <row r="9" spans="1:6" ht="14.1" customHeight="1">
      <c r="A9" s="2" t="s">
        <v>1394</v>
      </c>
    </row>
    <row r="10" spans="1:6" s="2" customFormat="1" ht="12.75">
      <c r="A10" s="398" t="s">
        <v>1392</v>
      </c>
    </row>
    <row r="11" spans="1:6" s="2" customFormat="1" ht="12.75">
      <c r="A11" s="2" t="s">
        <v>1393</v>
      </c>
    </row>
    <row r="12" spans="1:6" s="2" customFormat="1" ht="12.75">
      <c r="A12" s="902" t="s">
        <v>1485</v>
      </c>
    </row>
    <row r="13" spans="1:6" s="2" customFormat="1" ht="12.75">
      <c r="A13" s="824" t="s">
        <v>1094</v>
      </c>
    </row>
    <row r="14" spans="1:6" s="2" customFormat="1" ht="12.75">
      <c r="A14" s="824" t="s">
        <v>1316</v>
      </c>
    </row>
    <row r="15" spans="1:6" s="2" customFormat="1" ht="12.75">
      <c r="A15" s="2" t="str">
        <f>"Later in "&amp;INDEX(Workbook,11)&amp;" presents how SFAM can be used to value the shares of a company."</f>
        <v>Later in Equity Valuation (Workbook 11) presents how SFAM can be used to value the shares of a company.</v>
      </c>
    </row>
    <row r="16" spans="1:6" s="2" customFormat="1" ht="12.75"/>
    <row r="17" spans="1:2" s="2" customFormat="1" ht="12.75">
      <c r="A17" s="18" t="s">
        <v>1403</v>
      </c>
    </row>
    <row r="18" spans="1:2" s="2" customFormat="1" ht="12.75">
      <c r="A18" s="2" t="s">
        <v>1315</v>
      </c>
    </row>
    <row r="19" spans="1:2" s="2" customFormat="1" ht="12.75">
      <c r="A19" s="825" t="s">
        <v>1318</v>
      </c>
    </row>
    <row r="20" spans="1:2" s="2" customFormat="1" ht="12.75">
      <c r="A20" s="2" t="s">
        <v>1486</v>
      </c>
    </row>
    <row r="21" spans="1:2" s="2" customFormat="1" ht="12.75">
      <c r="A21" s="2" t="s">
        <v>1396</v>
      </c>
    </row>
    <row r="22" spans="1:2" s="2" customFormat="1" ht="12.75">
      <c r="A22" s="19" t="s">
        <v>1397</v>
      </c>
    </row>
    <row r="23" spans="1:2" s="2" customFormat="1" ht="12.75">
      <c r="A23" s="19" t="s">
        <v>1487</v>
      </c>
    </row>
    <row r="24" spans="1:2" s="2" customFormat="1" ht="12.75">
      <c r="A24" s="2" t="s">
        <v>1306</v>
      </c>
    </row>
    <row r="25" spans="1:2" s="2" customFormat="1" ht="12.75">
      <c r="A25" s="2" t="s">
        <v>1516</v>
      </c>
    </row>
    <row r="26" spans="1:2" s="2" customFormat="1" ht="12.75">
      <c r="A26" s="2" t="s">
        <v>1398</v>
      </c>
    </row>
    <row r="27" spans="1:2" s="2" customFormat="1" ht="12.75">
      <c r="A27" s="19" t="s">
        <v>1399</v>
      </c>
    </row>
    <row r="28" spans="1:2" s="2" customFormat="1" ht="12.75">
      <c r="A28" s="19" t="str">
        <f ca="1">"Alternatively, if your are to receive $1.00 in a year that dollar is worth only $.952 as calculated by the '"&amp;_xlfn.FORMULATEXT(B29)&amp;"' in the formula in the cell immediately below."</f>
        <v>Alternatively, if your are to receive $1.00 in a year that dollar is worth only $.952 as calculated by the '=1/1.05' in the formula in the cell immediately below.</v>
      </c>
    </row>
    <row r="29" spans="1:2" s="2" customFormat="1" ht="12.75">
      <c r="B29" s="829">
        <f>1/1.05</f>
        <v>0.95238095238095233</v>
      </c>
    </row>
    <row r="30" spans="1:2" s="2" customFormat="1" ht="12.75">
      <c r="A30" s="19" t="s">
        <v>1517</v>
      </c>
      <c r="B30" s="832"/>
    </row>
    <row r="31" spans="1:2" s="2" customFormat="1" ht="12.75">
      <c r="A31" s="168" t="s">
        <v>1400</v>
      </c>
      <c r="B31" s="832"/>
    </row>
    <row r="32" spans="1:2" s="2" customFormat="1" ht="12.75">
      <c r="A32" s="19" t="s">
        <v>1402</v>
      </c>
    </row>
    <row r="33" spans="1:1" s="2" customFormat="1" ht="12.75">
      <c r="A33" s="19" t="s">
        <v>1401</v>
      </c>
    </row>
    <row r="34" spans="1:1" s="2" customFormat="1" ht="12.75"/>
    <row r="35" spans="1:1" s="2" customFormat="1" ht="12.75">
      <c r="A35" s="18" t="s">
        <v>1417</v>
      </c>
    </row>
    <row r="36" spans="1:1" s="2" customFormat="1" ht="12.75">
      <c r="A36" s="2" t="str">
        <f>"As a reminder from "&amp;INDEX(Workbook,6)&amp;", cash flows can be defined as follows."</f>
        <v>As a reminder from Cash Flow Statement (Workbook 6), cash flows can be defined as follows.</v>
      </c>
    </row>
    <row r="37" spans="1:1" s="2" customFormat="1" ht="12.75">
      <c r="A37" s="19" t="s">
        <v>1473</v>
      </c>
    </row>
    <row r="38" spans="1:1" s="2" customFormat="1" ht="12.75">
      <c r="A38" s="19" t="s">
        <v>1474</v>
      </c>
    </row>
    <row r="39" spans="1:1" s="2" customFormat="1" ht="12.75">
      <c r="A39" s="19" t="s">
        <v>1518</v>
      </c>
    </row>
    <row r="40" spans="1:1" s="2" customFormat="1" ht="12.75">
      <c r="A40" s="168" t="s">
        <v>1479</v>
      </c>
    </row>
    <row r="41" spans="1:1" s="2" customFormat="1" ht="12.75">
      <c r="A41" s="901" t="s">
        <v>1476</v>
      </c>
    </row>
    <row r="42" spans="1:1" s="2" customFormat="1" ht="12.75">
      <c r="A42" s="901" t="s">
        <v>1477</v>
      </c>
    </row>
    <row r="43" spans="1:1" s="2" customFormat="1" ht="12.75">
      <c r="A43" s="901" t="s">
        <v>1478</v>
      </c>
    </row>
    <row r="44" spans="1:1" s="2" customFormat="1" ht="12.75">
      <c r="A44" s="849" t="s">
        <v>1404</v>
      </c>
    </row>
    <row r="45" spans="1:1" s="2" customFormat="1" ht="12.75">
      <c r="A45" s="900" t="s">
        <v>1475</v>
      </c>
    </row>
    <row r="46" spans="1:1" s="2" customFormat="1" ht="12.75">
      <c r="A46" s="19" t="str">
        <f>"In "&amp;INDEX(Workbook,11)&amp;" we expand the concept of a Discount Factor to add the concept of a 'Weighted Averge Cost of Capital' (WACC)."</f>
        <v>In Equity Valuation (Workbook 11) we expand the concept of a Discount Factor to add the concept of a 'Weighted Averge Cost of Capital' (WACC).</v>
      </c>
    </row>
    <row r="47" spans="1:1" s="2" customFormat="1" ht="12.75">
      <c r="A47" s="19" t="str">
        <f>"In "&amp;INDEX(Workbook,13)&amp;" we further expand to recognize a 'Term Structure' resulting in 'Rate Curves' and 'Credit Curves'."</f>
        <v>In Fixed Income Valuation (Workbook 13) we further expand to recognize a 'Term Structure' resulting in 'Rate Curves' and 'Credit Curves'.</v>
      </c>
    </row>
    <row r="48" spans="1:1" s="2" customFormat="1" ht="12.75">
      <c r="A48" s="853"/>
    </row>
    <row r="49" spans="1:13" s="2" customFormat="1" ht="12.75">
      <c r="A49" s="2" t="s">
        <v>1309</v>
      </c>
    </row>
    <row r="50" spans="1:13" s="2" customFormat="1" ht="12.75">
      <c r="A50" s="19" t="s">
        <v>1416</v>
      </c>
    </row>
    <row r="51" spans="1:13" s="2" customFormat="1" ht="12.75">
      <c r="A51" s="19" t="s">
        <v>1488</v>
      </c>
    </row>
    <row r="52" spans="1:13" s="2" customFormat="1" ht="12.75">
      <c r="A52" s="19"/>
      <c r="C52" s="54"/>
    </row>
    <row r="53" spans="1:13" s="2" customFormat="1" ht="12.75">
      <c r="A53" s="19"/>
      <c r="C53" s="54" t="s">
        <v>1528</v>
      </c>
      <c r="D53" s="18">
        <v>1</v>
      </c>
      <c r="E53" s="18">
        <v>2</v>
      </c>
      <c r="F53" s="18">
        <v>3</v>
      </c>
      <c r="G53" s="18">
        <v>4</v>
      </c>
      <c r="H53" s="18">
        <v>5</v>
      </c>
      <c r="I53" s="18">
        <v>6</v>
      </c>
      <c r="J53" s="18">
        <v>7</v>
      </c>
      <c r="K53" s="18">
        <v>8</v>
      </c>
      <c r="L53" s="18">
        <v>9</v>
      </c>
      <c r="M53" s="18">
        <v>10</v>
      </c>
    </row>
    <row r="54" spans="1:13" s="2" customFormat="1" ht="12.75">
      <c r="C54" s="330">
        <f ca="1">YEAR(TODAY())</f>
        <v>2023</v>
      </c>
      <c r="D54" s="330">
        <f ca="1">C54+1</f>
        <v>2024</v>
      </c>
      <c r="E54" s="330">
        <f t="shared" ref="E54:L54" ca="1" si="0">D54+1</f>
        <v>2025</v>
      </c>
      <c r="F54" s="330">
        <f t="shared" ca="1" si="0"/>
        <v>2026</v>
      </c>
      <c r="G54" s="330">
        <f t="shared" ca="1" si="0"/>
        <v>2027</v>
      </c>
      <c r="H54" s="330">
        <f t="shared" ca="1" si="0"/>
        <v>2028</v>
      </c>
      <c r="I54" s="330">
        <f t="shared" ca="1" si="0"/>
        <v>2029</v>
      </c>
      <c r="J54" s="330">
        <f t="shared" ca="1" si="0"/>
        <v>2030</v>
      </c>
      <c r="K54" s="330">
        <f t="shared" ca="1" si="0"/>
        <v>2031</v>
      </c>
      <c r="L54" s="330">
        <f t="shared" ca="1" si="0"/>
        <v>2032</v>
      </c>
      <c r="M54" s="330">
        <f ca="1">L54+1</f>
        <v>2033</v>
      </c>
    </row>
    <row r="55" spans="1:13" s="2" customFormat="1" ht="12.75">
      <c r="A55" s="19" t="s">
        <v>343</v>
      </c>
      <c r="C55" s="630">
        <v>-100</v>
      </c>
      <c r="D55" s="630">
        <v>10</v>
      </c>
      <c r="E55" s="830">
        <f>D55*1.02</f>
        <v>10.199999999999999</v>
      </c>
      <c r="F55" s="830">
        <f t="shared" ref="F55:M55" si="1">E55*1.02</f>
        <v>10.404</v>
      </c>
      <c r="G55" s="830">
        <f t="shared" si="1"/>
        <v>10.612080000000001</v>
      </c>
      <c r="H55" s="830">
        <f t="shared" si="1"/>
        <v>10.824321600000001</v>
      </c>
      <c r="I55" s="830">
        <f t="shared" si="1"/>
        <v>11.040808032000001</v>
      </c>
      <c r="J55" s="830">
        <f t="shared" si="1"/>
        <v>11.261624192640001</v>
      </c>
      <c r="K55" s="830">
        <f t="shared" si="1"/>
        <v>11.486856676492801</v>
      </c>
      <c r="L55" s="830">
        <f t="shared" si="1"/>
        <v>11.716593810022657</v>
      </c>
      <c r="M55" s="830">
        <f t="shared" si="1"/>
        <v>11.95092568622311</v>
      </c>
    </row>
    <row r="56" spans="1:13" s="2" customFormat="1" ht="12.75">
      <c r="A56" s="19" t="s">
        <v>281</v>
      </c>
      <c r="C56" s="847">
        <v>0.05</v>
      </c>
      <c r="D56" s="630"/>
      <c r="E56" s="830"/>
      <c r="F56" s="830"/>
      <c r="G56" s="830"/>
      <c r="H56" s="830"/>
      <c r="I56" s="830"/>
      <c r="J56" s="830"/>
      <c r="K56" s="830"/>
      <c r="L56" s="830"/>
      <c r="M56" s="830"/>
    </row>
    <row r="57" spans="1:13" s="2" customFormat="1" ht="12.75">
      <c r="A57" s="19" t="s">
        <v>293</v>
      </c>
      <c r="C57" s="830">
        <v>1</v>
      </c>
      <c r="D57" s="830">
        <v>1.05</v>
      </c>
      <c r="E57" s="830">
        <f>D57*1.05</f>
        <v>1.1025</v>
      </c>
      <c r="F57" s="830">
        <f t="shared" ref="F57:M57" si="2">E57*1.05</f>
        <v>1.1576250000000001</v>
      </c>
      <c r="G57" s="830">
        <f t="shared" si="2"/>
        <v>1.2155062500000002</v>
      </c>
      <c r="H57" s="830">
        <f t="shared" si="2"/>
        <v>1.2762815625000004</v>
      </c>
      <c r="I57" s="830">
        <f t="shared" si="2"/>
        <v>1.3400956406250004</v>
      </c>
      <c r="J57" s="830">
        <f t="shared" si="2"/>
        <v>1.4071004226562505</v>
      </c>
      <c r="K57" s="830">
        <f t="shared" si="2"/>
        <v>1.477455443789063</v>
      </c>
      <c r="L57" s="830">
        <f t="shared" si="2"/>
        <v>1.5513282159785162</v>
      </c>
      <c r="M57" s="830">
        <f t="shared" si="2"/>
        <v>1.628894626777442</v>
      </c>
    </row>
    <row r="58" spans="1:13" s="2" customFormat="1" ht="12.75">
      <c r="A58" s="19" t="s">
        <v>1307</v>
      </c>
      <c r="C58" s="830">
        <f t="shared" ref="C58:M58" si="3">C55/C57</f>
        <v>-100</v>
      </c>
      <c r="D58" s="830">
        <f t="shared" si="3"/>
        <v>9.5238095238095237</v>
      </c>
      <c r="E58" s="830">
        <f t="shared" si="3"/>
        <v>9.2517006802721085</v>
      </c>
      <c r="F58" s="830">
        <f t="shared" si="3"/>
        <v>8.9873663751214767</v>
      </c>
      <c r="G58" s="830">
        <f t="shared" si="3"/>
        <v>8.7305844786894333</v>
      </c>
      <c r="H58" s="830">
        <f t="shared" si="3"/>
        <v>8.4811392078697345</v>
      </c>
      <c r="I58" s="830">
        <f t="shared" si="3"/>
        <v>8.2388209447877419</v>
      </c>
      <c r="J58" s="830">
        <f t="shared" si="3"/>
        <v>8.0034260606509502</v>
      </c>
      <c r="K58" s="830">
        <f t="shared" si="3"/>
        <v>7.7747567446323504</v>
      </c>
      <c r="L58" s="830">
        <f t="shared" si="3"/>
        <v>7.5526208376428547</v>
      </c>
      <c r="M58" s="830">
        <f t="shared" si="3"/>
        <v>7.3368316708530594</v>
      </c>
    </row>
    <row r="59" spans="1:13" s="2" customFormat="1" ht="12.75"/>
    <row r="60" spans="1:13" s="2" customFormat="1" ht="12.75">
      <c r="A60" s="2" t="s">
        <v>1308</v>
      </c>
    </row>
    <row r="61" spans="1:13" s="2" customFormat="1" ht="12.75">
      <c r="A61" s="852" t="str">
        <f>"The discount factor detailed in Row "&amp;ROW(A57)&amp;" can be rewritten as (1 + discount rate) compound annually (raised to the poer of the number of years from today)."</f>
        <v>The discount factor detailed in Row 57 can be rewritten as (1 + discount rate) compound annually (raised to the poer of the number of years from today).</v>
      </c>
    </row>
    <row r="62" spans="1:13" s="2" customFormat="1" ht="12.75">
      <c r="A62" s="19" t="s">
        <v>293</v>
      </c>
      <c r="C62" s="848" t="s">
        <v>1405</v>
      </c>
      <c r="D62" s="848" t="s">
        <v>1406</v>
      </c>
      <c r="E62" s="848" t="s">
        <v>1407</v>
      </c>
      <c r="F62" s="848" t="s">
        <v>1408</v>
      </c>
      <c r="G62" s="848" t="s">
        <v>1409</v>
      </c>
      <c r="H62" s="848" t="s">
        <v>1410</v>
      </c>
      <c r="I62" s="848" t="s">
        <v>1411</v>
      </c>
      <c r="J62" s="848" t="s">
        <v>1412</v>
      </c>
      <c r="K62" s="848" t="s">
        <v>1413</v>
      </c>
      <c r="L62" s="848" t="s">
        <v>1414</v>
      </c>
      <c r="M62" s="848" t="s">
        <v>1415</v>
      </c>
    </row>
    <row r="63" spans="1:13" s="2" customFormat="1" ht="12.75">
      <c r="A63" s="19" t="s">
        <v>1529</v>
      </c>
      <c r="C63" s="848"/>
      <c r="D63" s="848"/>
      <c r="E63" s="848"/>
      <c r="F63" s="848"/>
      <c r="G63" s="848"/>
      <c r="H63" s="848"/>
      <c r="I63" s="848"/>
      <c r="J63" s="848"/>
      <c r="K63" s="848"/>
      <c r="L63" s="848"/>
      <c r="M63" s="848"/>
    </row>
    <row r="64" spans="1:13" s="2" customFormat="1" ht="12.75">
      <c r="A64" s="19"/>
      <c r="C64" s="848"/>
      <c r="D64" s="848"/>
      <c r="E64" s="848"/>
      <c r="F64" s="848"/>
      <c r="G64" s="848"/>
      <c r="H64" s="848"/>
      <c r="I64" s="848"/>
      <c r="J64" s="848"/>
      <c r="K64" s="848"/>
      <c r="L64" s="848"/>
      <c r="M64" s="848"/>
    </row>
    <row r="65" spans="1:14" s="2" customFormat="1" ht="12.75">
      <c r="A65" s="68" t="s">
        <v>1095</v>
      </c>
      <c r="C65" s="848"/>
      <c r="D65" s="848"/>
      <c r="E65" s="848"/>
      <c r="F65" s="848"/>
      <c r="G65" s="848"/>
      <c r="H65" s="848"/>
      <c r="I65" s="848"/>
      <c r="J65" s="848"/>
      <c r="K65" s="848"/>
      <c r="L65" s="848"/>
      <c r="M65" s="848"/>
    </row>
    <row r="66" spans="1:14" s="2" customFormat="1" ht="12.75">
      <c r="A66" s="19" t="s">
        <v>1430</v>
      </c>
      <c r="C66" s="848"/>
      <c r="D66" s="848"/>
      <c r="E66" s="848"/>
      <c r="F66" s="848"/>
      <c r="G66" s="848"/>
      <c r="H66" s="848"/>
      <c r="I66" s="848"/>
      <c r="J66" s="848"/>
      <c r="K66" s="848"/>
      <c r="L66" s="848"/>
      <c r="M66" s="848"/>
    </row>
    <row r="67" spans="1:14" s="2" customFormat="1" ht="12.75"/>
    <row r="68" spans="1:14" s="2" customFormat="1" ht="12.75">
      <c r="A68" s="18" t="s">
        <v>1418</v>
      </c>
    </row>
    <row r="69" spans="1:14" s="825" customFormat="1" ht="12.75">
      <c r="A69" s="849" t="s">
        <v>918</v>
      </c>
    </row>
    <row r="70" spans="1:14" s="825" customFormat="1" ht="12.75">
      <c r="A70" s="2" t="s">
        <v>1530</v>
      </c>
    </row>
    <row r="71" spans="1:14" s="825" customFormat="1" ht="12.75">
      <c r="A71" s="849" t="s">
        <v>1419</v>
      </c>
    </row>
    <row r="72" spans="1:14" s="2" customFormat="1" ht="12.75">
      <c r="A72" s="2" t="s">
        <v>1420</v>
      </c>
    </row>
    <row r="73" spans="1:14" s="2" customFormat="1" ht="13.5" thickBot="1">
      <c r="A73" s="19" t="str">
        <f ca="1">"In the row below we provide the NPV using the Disounted Cash Flows in  Row "&amp;ROW(A58)&amp;" using the formula '"&amp;_xlfn.FORMULATEXT(B74)&amp;"'."</f>
        <v>In the row below we provide the NPV using the Disounted Cash Flows in  Row 58 using the formula '=SUM(C58:M58)'.</v>
      </c>
    </row>
    <row r="74" spans="1:14" s="2" customFormat="1" ht="13.5" thickBot="1">
      <c r="B74" s="914">
        <f>SUM(C58:M58)</f>
        <v>-16.118943475670768</v>
      </c>
    </row>
    <row r="75" spans="1:14" s="2" customFormat="1" ht="12.75"/>
    <row r="76" spans="1:14" s="2" customFormat="1" ht="12.75">
      <c r="A76" s="18" t="s">
        <v>1484</v>
      </c>
      <c r="D76" s="20"/>
      <c r="E76" s="20"/>
      <c r="F76" s="20"/>
      <c r="G76" s="20"/>
      <c r="H76" s="20"/>
      <c r="I76" s="20"/>
      <c r="J76" s="20"/>
      <c r="K76" s="20"/>
      <c r="L76" s="20"/>
      <c r="M76" s="20"/>
      <c r="N76" s="20"/>
    </row>
    <row r="77" spans="1:14" s="2" customFormat="1" ht="12.75">
      <c r="A77" s="2" t="s">
        <v>1421</v>
      </c>
      <c r="D77" s="20"/>
      <c r="E77" s="20"/>
      <c r="F77" s="20"/>
      <c r="G77" s="20"/>
      <c r="H77" s="20"/>
      <c r="I77" s="20"/>
      <c r="J77" s="20"/>
      <c r="K77" s="20"/>
      <c r="L77" s="20"/>
      <c r="M77" s="20"/>
      <c r="N77" s="20"/>
    </row>
    <row r="78" spans="1:14" s="2" customFormat="1" ht="12.75">
      <c r="A78" s="2" t="s">
        <v>1422</v>
      </c>
    </row>
    <row r="79" spans="1:14" s="2" customFormat="1" ht="12.75">
      <c r="A79" s="19" t="s">
        <v>1427</v>
      </c>
    </row>
    <row r="80" spans="1:14" s="2" customFormat="1" ht="12.75">
      <c r="A80" s="2" t="s">
        <v>1423</v>
      </c>
    </row>
    <row r="81" spans="1:14" s="2" customFormat="1" ht="12.75">
      <c r="A81" s="2" t="s">
        <v>1480</v>
      </c>
    </row>
    <row r="82" spans="1:14" s="2" customFormat="1" ht="12.75">
      <c r="A82" s="19" t="s">
        <v>1482</v>
      </c>
    </row>
    <row r="83" spans="1:14" s="2" customFormat="1" ht="12.75">
      <c r="A83" s="19" t="s">
        <v>1481</v>
      </c>
    </row>
    <row r="84" spans="1:14" s="2" customFormat="1" ht="12.75">
      <c r="A84" s="19" t="s">
        <v>1483</v>
      </c>
    </row>
    <row r="85" spans="1:14" s="2" customFormat="1" ht="12.75">
      <c r="A85" s="80" t="str">
        <f ca="1">"In the example above, the Terminal Value is the value of all of the cash flows after "&amp;M54&amp;"."</f>
        <v>In the example above, the Terminal Value is the value of all of the cash flows after 2033.</v>
      </c>
    </row>
    <row r="86" spans="1:14" s="2" customFormat="1" ht="12.75">
      <c r="A86" s="2" t="s">
        <v>1489</v>
      </c>
    </row>
    <row r="87" spans="1:14" s="2" customFormat="1" ht="12.75"/>
    <row r="88" spans="1:14" s="2" customFormat="1" ht="12.75">
      <c r="A88" s="2" t="s">
        <v>1590</v>
      </c>
    </row>
    <row r="89" spans="1:14" s="2" customFormat="1" ht="12.75">
      <c r="A89" s="18"/>
      <c r="D89" s="20"/>
      <c r="E89" s="20"/>
      <c r="F89" s="20"/>
      <c r="G89" s="20"/>
      <c r="H89" s="20"/>
      <c r="I89" s="20"/>
      <c r="J89" s="20"/>
      <c r="K89" s="20"/>
      <c r="L89" s="20"/>
      <c r="M89" s="20"/>
      <c r="N89" s="20"/>
    </row>
    <row r="90" spans="1:14" s="2" customFormat="1" ht="14.25">
      <c r="A90" s="18"/>
      <c r="B90" s="56" t="s">
        <v>1591</v>
      </c>
      <c r="D90" s="20"/>
      <c r="E90" s="20"/>
      <c r="F90" s="20"/>
      <c r="G90" s="20"/>
      <c r="H90" s="20"/>
      <c r="I90" s="20"/>
      <c r="J90" s="20"/>
      <c r="K90" s="20"/>
      <c r="L90" s="20"/>
      <c r="M90" s="20"/>
      <c r="N90" s="20"/>
    </row>
    <row r="91" spans="1:14" s="2" customFormat="1" ht="12.75">
      <c r="A91" s="18"/>
      <c r="D91" s="20"/>
      <c r="E91" s="20"/>
      <c r="F91" s="20"/>
      <c r="G91" s="20"/>
      <c r="H91" s="20"/>
      <c r="I91" s="20"/>
      <c r="J91" s="20"/>
      <c r="K91" s="20"/>
      <c r="L91" s="20"/>
      <c r="M91" s="20"/>
      <c r="N91" s="20"/>
    </row>
    <row r="92" spans="1:14" s="2" customFormat="1" ht="12.75">
      <c r="A92" s="2" t="s">
        <v>1597</v>
      </c>
      <c r="D92" s="20"/>
      <c r="E92" s="20"/>
      <c r="F92" s="20"/>
      <c r="G92" s="20"/>
      <c r="H92" s="20"/>
      <c r="I92" s="20"/>
      <c r="J92" s="20"/>
      <c r="K92" s="20"/>
      <c r="L92" s="20"/>
      <c r="M92" s="20"/>
      <c r="N92" s="20"/>
    </row>
    <row r="93" spans="1:14" s="2" customFormat="1" ht="12.75">
      <c r="D93" s="20"/>
      <c r="E93" s="20"/>
      <c r="F93" s="20"/>
      <c r="G93" s="20"/>
      <c r="H93" s="20"/>
      <c r="I93" s="20"/>
      <c r="J93" s="20"/>
      <c r="K93" s="20"/>
      <c r="L93" s="20"/>
      <c r="M93" s="20"/>
      <c r="N93" s="20"/>
    </row>
    <row r="94" spans="1:14" s="2" customFormat="1" ht="12.75">
      <c r="B94" s="56" t="s">
        <v>1592</v>
      </c>
      <c r="D94" s="20"/>
      <c r="E94" s="20"/>
      <c r="F94" s="20"/>
      <c r="G94" s="20"/>
      <c r="H94" s="20"/>
      <c r="I94" s="20"/>
      <c r="J94" s="20"/>
      <c r="K94" s="20"/>
      <c r="L94" s="20"/>
      <c r="M94" s="20"/>
      <c r="N94" s="20"/>
    </row>
    <row r="95" spans="1:14" s="2" customFormat="1" ht="12.75">
      <c r="D95" s="20"/>
      <c r="E95" s="20"/>
      <c r="F95" s="20"/>
      <c r="G95" s="20"/>
      <c r="H95" s="20"/>
      <c r="I95" s="20"/>
      <c r="J95" s="20"/>
      <c r="K95" s="20"/>
      <c r="L95" s="20"/>
      <c r="M95" s="20"/>
      <c r="N95" s="20"/>
    </row>
    <row r="96" spans="1:14" s="2" customFormat="1" ht="12.75">
      <c r="A96" s="2" t="s">
        <v>1593</v>
      </c>
      <c r="D96" s="20"/>
      <c r="E96" s="20"/>
      <c r="F96" s="20"/>
      <c r="G96" s="20"/>
      <c r="H96" s="20"/>
      <c r="I96" s="20"/>
      <c r="J96" s="20"/>
      <c r="K96" s="20"/>
      <c r="L96" s="20"/>
      <c r="M96" s="20"/>
      <c r="N96" s="20"/>
    </row>
    <row r="97" spans="1:14" s="2" customFormat="1" ht="12.75">
      <c r="A97" s="19" t="s">
        <v>1600</v>
      </c>
      <c r="D97" s="20"/>
      <c r="E97" s="20"/>
      <c r="F97" s="20"/>
      <c r="G97" s="20"/>
      <c r="H97" s="20"/>
      <c r="I97" s="20"/>
      <c r="J97" s="20"/>
      <c r="K97" s="20"/>
      <c r="L97" s="20"/>
      <c r="M97" s="20"/>
      <c r="N97" s="20"/>
    </row>
    <row r="98" spans="1:14" s="2" customFormat="1" ht="12.75">
      <c r="A98" s="19" t="str">
        <f ca="1">"Cash flows in the next year starting at $10 and growing at 2% annual through "&amp;M103&amp;"."</f>
        <v>Cash flows in the next year starting at $10 and growing at 2% annual through 2033.</v>
      </c>
      <c r="D98" s="20"/>
      <c r="E98" s="20"/>
      <c r="F98" s="20"/>
      <c r="G98" s="20"/>
      <c r="H98" s="20"/>
      <c r="I98" s="20"/>
      <c r="J98" s="20"/>
      <c r="K98" s="20"/>
      <c r="L98" s="20"/>
      <c r="M98" s="20"/>
      <c r="N98" s="20"/>
    </row>
    <row r="99" spans="1:14" s="2" customFormat="1" ht="12.75">
      <c r="A99" s="19" t="s">
        <v>1598</v>
      </c>
      <c r="D99" s="20"/>
      <c r="E99" s="20"/>
      <c r="F99" s="20"/>
      <c r="G99" s="20"/>
      <c r="H99" s="20"/>
      <c r="I99" s="20"/>
      <c r="J99" s="20"/>
      <c r="K99" s="20"/>
      <c r="L99" s="20"/>
      <c r="M99" s="20"/>
      <c r="N99" s="20"/>
    </row>
    <row r="100" spans="1:14" s="2" customFormat="1" ht="12.75">
      <c r="A100" s="19" t="s">
        <v>1599</v>
      </c>
      <c r="D100" s="20"/>
      <c r="E100" s="20"/>
      <c r="F100" s="20"/>
      <c r="G100" s="20"/>
      <c r="H100" s="20"/>
      <c r="I100" s="20"/>
      <c r="J100" s="20"/>
      <c r="K100" s="20"/>
      <c r="L100" s="20"/>
      <c r="M100" s="20"/>
      <c r="N100" s="20"/>
    </row>
    <row r="101" spans="1:14" s="2" customFormat="1" ht="12.75">
      <c r="D101" s="20"/>
      <c r="E101" s="20"/>
      <c r="F101" s="20"/>
      <c r="G101" s="20"/>
      <c r="H101" s="20"/>
      <c r="I101" s="20"/>
      <c r="J101" s="20"/>
      <c r="K101" s="20"/>
      <c r="L101" s="20"/>
      <c r="M101" s="20"/>
      <c r="N101" s="20"/>
    </row>
    <row r="102" spans="1:14" s="2" customFormat="1" ht="12.75">
      <c r="C102" s="54" t="s">
        <v>1531</v>
      </c>
      <c r="D102" s="417">
        <v>1</v>
      </c>
      <c r="E102" s="417">
        <v>2</v>
      </c>
      <c r="F102" s="417">
        <v>3</v>
      </c>
      <c r="G102" s="417">
        <v>4</v>
      </c>
      <c r="H102" s="417">
        <v>5</v>
      </c>
      <c r="I102" s="417">
        <v>6</v>
      </c>
      <c r="J102" s="417">
        <v>7</v>
      </c>
      <c r="K102" s="417">
        <v>8</v>
      </c>
      <c r="L102" s="417">
        <v>9</v>
      </c>
      <c r="M102" s="417">
        <v>10</v>
      </c>
      <c r="N102" s="910"/>
    </row>
    <row r="103" spans="1:14" s="2" customFormat="1" ht="12.75">
      <c r="C103" s="18">
        <f ca="1">YEAR(TODAY())</f>
        <v>2023</v>
      </c>
      <c r="D103" s="18">
        <f ca="1">C103+1</f>
        <v>2024</v>
      </c>
      <c r="E103" s="18">
        <f t="shared" ref="E103" ca="1" si="4">D103+1</f>
        <v>2025</v>
      </c>
      <c r="F103" s="18">
        <f t="shared" ref="F103" ca="1" si="5">E103+1</f>
        <v>2026</v>
      </c>
      <c r="G103" s="18">
        <f t="shared" ref="G103" ca="1" si="6">F103+1</f>
        <v>2027</v>
      </c>
      <c r="H103" s="18">
        <f t="shared" ref="H103" ca="1" si="7">G103+1</f>
        <v>2028</v>
      </c>
      <c r="I103" s="18">
        <f t="shared" ref="I103" ca="1" si="8">H103+1</f>
        <v>2029</v>
      </c>
      <c r="J103" s="18">
        <f t="shared" ref="J103" ca="1" si="9">I103+1</f>
        <v>2030</v>
      </c>
      <c r="K103" s="18">
        <f t="shared" ref="K103" ca="1" si="10">J103+1</f>
        <v>2031</v>
      </c>
      <c r="L103" s="18">
        <f t="shared" ref="L103" ca="1" si="11">K103+1</f>
        <v>2032</v>
      </c>
      <c r="M103" s="18">
        <f ca="1">L103+1</f>
        <v>2033</v>
      </c>
      <c r="N103" s="54"/>
    </row>
    <row r="104" spans="1:14" s="2" customFormat="1" ht="12.75">
      <c r="C104" s="18"/>
      <c r="D104" s="18"/>
      <c r="E104" s="18"/>
      <c r="F104" s="18"/>
      <c r="G104" s="18"/>
      <c r="H104" s="18"/>
      <c r="I104" s="18"/>
      <c r="J104" s="18"/>
      <c r="K104" s="18"/>
      <c r="L104" s="18"/>
      <c r="M104" s="18"/>
      <c r="N104" s="54"/>
    </row>
    <row r="105" spans="1:14" s="2" customFormat="1" ht="12.75">
      <c r="A105" s="19" t="s">
        <v>343</v>
      </c>
      <c r="C105" s="2">
        <v>-100</v>
      </c>
      <c r="D105" s="2">
        <v>10</v>
      </c>
      <c r="E105" s="830">
        <f>D105*1.02</f>
        <v>10.199999999999999</v>
      </c>
      <c r="F105" s="830">
        <f t="shared" ref="F105:L105" si="12">E105*1.02</f>
        <v>10.404</v>
      </c>
      <c r="G105" s="830">
        <f t="shared" si="12"/>
        <v>10.612080000000001</v>
      </c>
      <c r="H105" s="830">
        <f t="shared" si="12"/>
        <v>10.824321600000001</v>
      </c>
      <c r="I105" s="830">
        <f t="shared" si="12"/>
        <v>11.040808032000001</v>
      </c>
      <c r="J105" s="830">
        <f t="shared" si="12"/>
        <v>11.261624192640001</v>
      </c>
      <c r="K105" s="830">
        <f t="shared" si="12"/>
        <v>11.486856676492801</v>
      </c>
      <c r="L105" s="830">
        <f t="shared" si="12"/>
        <v>11.716593810022657</v>
      </c>
      <c r="M105" s="931">
        <f>L105*1.02</f>
        <v>11.95092568622311</v>
      </c>
    </row>
    <row r="106" spans="1:14" s="2" customFormat="1" ht="13.5" thickBot="1">
      <c r="A106" s="19" t="s">
        <v>293</v>
      </c>
      <c r="C106" s="830">
        <v>1</v>
      </c>
      <c r="D106" s="830">
        <f>1/(1+0.05)^D102</f>
        <v>0.95238095238095233</v>
      </c>
      <c r="E106" s="830">
        <f t="shared" ref="E106:M106" si="13">1/(1+0.05)^E102</f>
        <v>0.90702947845804982</v>
      </c>
      <c r="F106" s="830">
        <f t="shared" si="13"/>
        <v>0.86383759853147601</v>
      </c>
      <c r="G106" s="830">
        <f t="shared" si="13"/>
        <v>0.82270247479188197</v>
      </c>
      <c r="H106" s="830">
        <f t="shared" si="13"/>
        <v>0.78352616646845896</v>
      </c>
      <c r="I106" s="830">
        <f t="shared" si="13"/>
        <v>0.74621539663662761</v>
      </c>
      <c r="J106" s="830">
        <f t="shared" si="13"/>
        <v>0.71068133013012147</v>
      </c>
      <c r="K106" s="830">
        <f t="shared" si="13"/>
        <v>0.67683936202868722</v>
      </c>
      <c r="L106" s="830">
        <f t="shared" si="13"/>
        <v>0.64460891621779726</v>
      </c>
      <c r="M106" s="931">
        <f t="shared" si="13"/>
        <v>0.61391325354075932</v>
      </c>
      <c r="N106" s="931"/>
    </row>
    <row r="107" spans="1:14" s="2" customFormat="1" ht="13.5" thickBot="1">
      <c r="A107" s="19" t="s">
        <v>1307</v>
      </c>
      <c r="C107" s="830">
        <f>C106*C105</f>
        <v>-100</v>
      </c>
      <c r="D107" s="830">
        <f t="shared" ref="D107:L107" si="14">D106*D105</f>
        <v>9.5238095238095237</v>
      </c>
      <c r="E107" s="830">
        <f t="shared" si="14"/>
        <v>9.2517006802721067</v>
      </c>
      <c r="F107" s="830">
        <f t="shared" si="14"/>
        <v>8.9873663751214767</v>
      </c>
      <c r="G107" s="830">
        <f t="shared" si="14"/>
        <v>8.7305844786894351</v>
      </c>
      <c r="H107" s="830">
        <f t="shared" si="14"/>
        <v>8.4811392078697363</v>
      </c>
      <c r="I107" s="830">
        <f t="shared" si="14"/>
        <v>8.2388209447877454</v>
      </c>
      <c r="J107" s="830">
        <f t="shared" si="14"/>
        <v>8.003426060650952</v>
      </c>
      <c r="K107" s="830">
        <f t="shared" si="14"/>
        <v>7.774756744632354</v>
      </c>
      <c r="L107" s="830">
        <f t="shared" si="14"/>
        <v>7.5526208376428565</v>
      </c>
      <c r="M107" s="931">
        <f>M106*M105</f>
        <v>7.3368316708530612</v>
      </c>
      <c r="N107" s="933"/>
    </row>
    <row r="109" spans="1:14">
      <c r="A109" s="2" t="str">
        <f ca="1">"The Terminal Value in the last year (year 10) is the value of all future cash flows after the last year we forecast (cash flows starting in "&amp;'EXCEL Financial Functions'!L24+1&amp;")."</f>
        <v>The Terminal Value in the last year (year 10) is the value of all future cash flows after the last year we forecast (cash flows starting in 2034).</v>
      </c>
    </row>
    <row r="110" spans="1:14">
      <c r="A110" s="2" t="str">
        <f ca="1">"The formula '"&amp;_xlfn.FORMULATEXT(B112)&amp;"' in the below box accomplishes this."</f>
        <v>The formula '=M105*1.02/(0.05-0.02)' in the below box accomplishes this.</v>
      </c>
    </row>
    <row r="111" spans="1:14" ht="16.5" thickBot="1"/>
    <row r="112" spans="1:14" ht="16.5" thickBot="1">
      <c r="B112" s="933">
        <f>M105*1.02/(0.05-0.02)</f>
        <v>406.3314733315857</v>
      </c>
    </row>
    <row r="114" spans="1:14" s="2" customFormat="1" ht="12.75">
      <c r="A114" s="2" t="s">
        <v>1601</v>
      </c>
      <c r="C114" s="830"/>
      <c r="D114" s="830"/>
      <c r="E114" s="830"/>
      <c r="F114" s="830"/>
      <c r="G114" s="830"/>
      <c r="H114" s="830"/>
      <c r="I114" s="830"/>
      <c r="J114" s="830"/>
      <c r="K114" s="830"/>
      <c r="L114" s="830"/>
      <c r="M114" s="931"/>
      <c r="N114" s="932"/>
    </row>
    <row r="115" spans="1:14" s="2" customFormat="1" ht="12.75">
      <c r="A115" s="2" t="str">
        <f ca="1">"The formula '"&amp;_xlfn.FORMULATEXT(B117)&amp;"' in the below box accomplishes this."</f>
        <v>The formula '=B112/(1+5%)^10' in the below box accomplishes this.</v>
      </c>
      <c r="C115" s="830"/>
      <c r="D115" s="830"/>
      <c r="E115" s="830"/>
      <c r="F115" s="830"/>
      <c r="G115" s="830"/>
      <c r="H115" s="830"/>
      <c r="I115" s="830"/>
      <c r="J115" s="830"/>
      <c r="K115" s="830"/>
      <c r="L115" s="830"/>
      <c r="M115" s="931"/>
      <c r="N115" s="932"/>
    </row>
    <row r="116" spans="1:14" s="2" customFormat="1" ht="13.5" thickBot="1">
      <c r="A116" s="19"/>
      <c r="C116" s="830"/>
      <c r="D116" s="830"/>
      <c r="E116" s="830"/>
      <c r="G116" s="830"/>
      <c r="H116" s="830"/>
      <c r="I116" s="830"/>
      <c r="J116" s="830"/>
      <c r="K116" s="830"/>
      <c r="L116" s="830"/>
      <c r="M116" s="931"/>
      <c r="N116" s="932"/>
    </row>
    <row r="117" spans="1:14" s="2" customFormat="1" ht="13.5" thickBot="1">
      <c r="B117" s="914">
        <f>B112/(1+5%)^10</f>
        <v>249.45227680900405</v>
      </c>
      <c r="C117" s="830"/>
      <c r="D117" s="830"/>
      <c r="E117" s="830"/>
      <c r="G117" s="830"/>
      <c r="H117" s="830"/>
      <c r="I117" s="830"/>
      <c r="J117" s="830"/>
      <c r="K117" s="830"/>
      <c r="L117" s="830"/>
      <c r="M117" s="931"/>
      <c r="N117" s="932"/>
    </row>
    <row r="118" spans="1:14" s="2" customFormat="1" ht="12.75">
      <c r="A118" s="19"/>
      <c r="C118" s="830"/>
      <c r="D118" s="830"/>
      <c r="E118" s="830"/>
      <c r="F118" s="830"/>
      <c r="G118" s="830"/>
      <c r="H118" s="830"/>
      <c r="I118" s="830"/>
      <c r="J118" s="830"/>
      <c r="K118" s="830"/>
      <c r="L118" s="830"/>
      <c r="M118" s="830"/>
    </row>
    <row r="119" spans="1:14" s="2" customFormat="1" ht="12.75">
      <c r="A119" s="18" t="s">
        <v>1424</v>
      </c>
    </row>
    <row r="120" spans="1:14" s="2" customFormat="1" ht="12.75">
      <c r="A120" s="2" t="s">
        <v>1319</v>
      </c>
      <c r="N120" s="908"/>
    </row>
    <row r="121" spans="1:14" s="2" customFormat="1" ht="12.75">
      <c r="A121" s="2" t="s">
        <v>1425</v>
      </c>
      <c r="M121" s="908"/>
    </row>
    <row r="122" spans="1:14" s="2" customFormat="1" ht="12.75">
      <c r="A122" s="2" t="s">
        <v>1519</v>
      </c>
    </row>
    <row r="123" spans="1:14" s="2" customFormat="1" ht="12.75">
      <c r="A123" s="343" t="s">
        <v>1490</v>
      </c>
    </row>
    <row r="124" spans="1:14" s="2" customFormat="1" ht="12.75">
      <c r="A124" s="2" t="s">
        <v>1520</v>
      </c>
    </row>
    <row r="125" spans="1:14" s="2" customFormat="1" ht="12.75">
      <c r="A125" s="2" t="s">
        <v>1320</v>
      </c>
    </row>
    <row r="126" spans="1:14" s="2" customFormat="1" ht="12.75">
      <c r="A126" s="2" t="s">
        <v>1321</v>
      </c>
    </row>
    <row r="127" spans="1:14" s="2" customFormat="1" ht="12.75"/>
    <row r="128" spans="1:14" s="2" customFormat="1" ht="12.75">
      <c r="C128" s="54" t="s">
        <v>1531</v>
      </c>
      <c r="D128" s="417">
        <v>1</v>
      </c>
      <c r="E128" s="417">
        <v>2</v>
      </c>
      <c r="F128" s="417">
        <v>3</v>
      </c>
      <c r="G128" s="417">
        <v>4</v>
      </c>
      <c r="H128" s="417">
        <v>5</v>
      </c>
      <c r="I128" s="417">
        <v>6</v>
      </c>
      <c r="J128" s="417">
        <v>7</v>
      </c>
      <c r="K128" s="417">
        <v>8</v>
      </c>
      <c r="L128" s="417">
        <v>9</v>
      </c>
      <c r="M128" s="417">
        <v>10</v>
      </c>
    </row>
    <row r="129" spans="1:13" s="2" customFormat="1" ht="12.75">
      <c r="C129" s="18">
        <f ca="1">YEAR(TODAY())</f>
        <v>2023</v>
      </c>
      <c r="D129" s="18">
        <f ca="1">C129+1</f>
        <v>2024</v>
      </c>
      <c r="E129" s="18">
        <f t="shared" ref="E129" ca="1" si="15">D129+1</f>
        <v>2025</v>
      </c>
      <c r="F129" s="18">
        <f t="shared" ref="F129" ca="1" si="16">E129+1</f>
        <v>2026</v>
      </c>
      <c r="G129" s="18">
        <f t="shared" ref="G129" ca="1" si="17">F129+1</f>
        <v>2027</v>
      </c>
      <c r="H129" s="18">
        <f t="shared" ref="H129" ca="1" si="18">G129+1</f>
        <v>2028</v>
      </c>
      <c r="I129" s="18">
        <f t="shared" ref="I129" ca="1" si="19">H129+1</f>
        <v>2029</v>
      </c>
      <c r="J129" s="18">
        <f t="shared" ref="J129" ca="1" si="20">I129+1</f>
        <v>2030</v>
      </c>
      <c r="K129" s="18">
        <f t="shared" ref="K129" ca="1" si="21">J129+1</f>
        <v>2031</v>
      </c>
      <c r="L129" s="18">
        <f t="shared" ref="L129" ca="1" si="22">K129+1</f>
        <v>2032</v>
      </c>
      <c r="M129" s="18">
        <f ca="1">L129+1</f>
        <v>2033</v>
      </c>
    </row>
    <row r="130" spans="1:13" s="2" customFormat="1" ht="12.75"/>
    <row r="131" spans="1:13" s="2" customFormat="1" ht="12.75">
      <c r="A131" s="19" t="s">
        <v>992</v>
      </c>
      <c r="C131" s="2">
        <v>-500</v>
      </c>
      <c r="M131" s="2">
        <v>150</v>
      </c>
    </row>
    <row r="132" spans="1:13" s="2" customFormat="1" ht="12.75">
      <c r="A132" s="19" t="s">
        <v>1310</v>
      </c>
      <c r="D132" s="2">
        <v>50</v>
      </c>
      <c r="E132" s="2">
        <f>D132+50</f>
        <v>100</v>
      </c>
      <c r="F132" s="2">
        <f t="shared" ref="F132:M132" si="23">E132+50</f>
        <v>150</v>
      </c>
      <c r="G132" s="2">
        <f t="shared" si="23"/>
        <v>200</v>
      </c>
      <c r="H132" s="2">
        <f t="shared" si="23"/>
        <v>250</v>
      </c>
      <c r="I132" s="2">
        <f t="shared" si="23"/>
        <v>300</v>
      </c>
      <c r="J132" s="2">
        <f t="shared" si="23"/>
        <v>350</v>
      </c>
      <c r="K132" s="2">
        <f t="shared" si="23"/>
        <v>400</v>
      </c>
      <c r="L132" s="2">
        <f t="shared" si="23"/>
        <v>450</v>
      </c>
      <c r="M132" s="2">
        <f t="shared" si="23"/>
        <v>500</v>
      </c>
    </row>
    <row r="133" spans="1:13" s="2" customFormat="1" ht="12.75">
      <c r="A133" s="399" t="s">
        <v>1458</v>
      </c>
      <c r="D133" s="2">
        <f>D132*0.5</f>
        <v>25</v>
      </c>
      <c r="E133" s="2">
        <f t="shared" ref="E133:M133" si="24">E132*0.5</f>
        <v>50</v>
      </c>
      <c r="F133" s="2">
        <f t="shared" si="24"/>
        <v>75</v>
      </c>
      <c r="G133" s="2">
        <f t="shared" si="24"/>
        <v>100</v>
      </c>
      <c r="H133" s="2">
        <f t="shared" si="24"/>
        <v>125</v>
      </c>
      <c r="I133" s="2">
        <f t="shared" si="24"/>
        <v>150</v>
      </c>
      <c r="J133" s="2">
        <f t="shared" si="24"/>
        <v>175</v>
      </c>
      <c r="K133" s="2">
        <f t="shared" si="24"/>
        <v>200</v>
      </c>
      <c r="L133" s="2">
        <f t="shared" si="24"/>
        <v>225</v>
      </c>
      <c r="M133" s="2">
        <f t="shared" si="24"/>
        <v>250</v>
      </c>
    </row>
    <row r="134" spans="1:13" s="2" customFormat="1" ht="12.75">
      <c r="A134" s="19" t="s">
        <v>224</v>
      </c>
      <c r="D134" s="2">
        <v>-50</v>
      </c>
      <c r="E134" s="2">
        <f>D134</f>
        <v>-50</v>
      </c>
      <c r="F134" s="2">
        <f t="shared" ref="F134:L134" si="25">E134</f>
        <v>-50</v>
      </c>
      <c r="G134" s="2">
        <f t="shared" si="25"/>
        <v>-50</v>
      </c>
      <c r="H134" s="2">
        <f t="shared" si="25"/>
        <v>-50</v>
      </c>
      <c r="I134" s="2">
        <f t="shared" si="25"/>
        <v>-50</v>
      </c>
      <c r="J134" s="2">
        <f t="shared" si="25"/>
        <v>-50</v>
      </c>
      <c r="K134" s="2">
        <f t="shared" si="25"/>
        <v>-50</v>
      </c>
      <c r="L134" s="2">
        <f t="shared" si="25"/>
        <v>-50</v>
      </c>
      <c r="M134" s="2">
        <f>L134</f>
        <v>-50</v>
      </c>
    </row>
    <row r="135" spans="1:13" s="2" customFormat="1" ht="12.75">
      <c r="A135" s="19" t="s">
        <v>1312</v>
      </c>
      <c r="D135" s="2">
        <f>D132-D133</f>
        <v>25</v>
      </c>
      <c r="E135" s="2">
        <f t="shared" ref="E135:M135" si="26">E132-E133</f>
        <v>50</v>
      </c>
      <c r="F135" s="2">
        <f t="shared" si="26"/>
        <v>75</v>
      </c>
      <c r="G135" s="2">
        <f t="shared" si="26"/>
        <v>100</v>
      </c>
      <c r="H135" s="2">
        <f t="shared" si="26"/>
        <v>125</v>
      </c>
      <c r="I135" s="2">
        <f t="shared" si="26"/>
        <v>150</v>
      </c>
      <c r="J135" s="2">
        <f t="shared" si="26"/>
        <v>175</v>
      </c>
      <c r="K135" s="2">
        <f t="shared" si="26"/>
        <v>200</v>
      </c>
      <c r="L135" s="2">
        <f t="shared" si="26"/>
        <v>225</v>
      </c>
      <c r="M135" s="2">
        <f t="shared" si="26"/>
        <v>250</v>
      </c>
    </row>
    <row r="136" spans="1:13" s="2" customFormat="1" ht="12.75">
      <c r="A136" s="19" t="s">
        <v>1311</v>
      </c>
      <c r="D136" s="2">
        <f>(D135+D134)*0.4</f>
        <v>-10</v>
      </c>
      <c r="E136" s="2">
        <f t="shared" ref="E136:M136" si="27">(E135+E134)*0.4</f>
        <v>0</v>
      </c>
      <c r="F136" s="2">
        <f t="shared" si="27"/>
        <v>10</v>
      </c>
      <c r="G136" s="2">
        <f t="shared" si="27"/>
        <v>20</v>
      </c>
      <c r="H136" s="2">
        <f t="shared" si="27"/>
        <v>30</v>
      </c>
      <c r="I136" s="2">
        <f t="shared" si="27"/>
        <v>40</v>
      </c>
      <c r="J136" s="2">
        <f t="shared" si="27"/>
        <v>50</v>
      </c>
      <c r="K136" s="2">
        <f t="shared" si="27"/>
        <v>60</v>
      </c>
      <c r="L136" s="2">
        <f t="shared" si="27"/>
        <v>70</v>
      </c>
      <c r="M136" s="2">
        <f t="shared" si="27"/>
        <v>80</v>
      </c>
    </row>
    <row r="137" spans="1:13" s="2" customFormat="1" ht="12.75">
      <c r="A137" s="19" t="s">
        <v>1313</v>
      </c>
      <c r="D137" s="2">
        <f>D135-D136</f>
        <v>35</v>
      </c>
      <c r="E137" s="2">
        <f t="shared" ref="E137:M137" si="28">E135-E136</f>
        <v>50</v>
      </c>
      <c r="F137" s="2">
        <f t="shared" si="28"/>
        <v>65</v>
      </c>
      <c r="G137" s="2">
        <f t="shared" si="28"/>
        <v>80</v>
      </c>
      <c r="H137" s="2">
        <f t="shared" si="28"/>
        <v>95</v>
      </c>
      <c r="I137" s="2">
        <f t="shared" si="28"/>
        <v>110</v>
      </c>
      <c r="J137" s="2">
        <f t="shared" si="28"/>
        <v>125</v>
      </c>
      <c r="K137" s="2">
        <f t="shared" si="28"/>
        <v>140</v>
      </c>
      <c r="L137" s="2">
        <f t="shared" si="28"/>
        <v>155</v>
      </c>
      <c r="M137" s="2">
        <f t="shared" si="28"/>
        <v>170</v>
      </c>
    </row>
    <row r="138" spans="1:13" s="2" customFormat="1" ht="12.75">
      <c r="A138" s="19" t="s">
        <v>1314</v>
      </c>
      <c r="C138" s="2">
        <f>C131+C137</f>
        <v>-500</v>
      </c>
      <c r="D138" s="2">
        <f t="shared" ref="D138:M138" si="29">D131+D137</f>
        <v>35</v>
      </c>
      <c r="E138" s="2">
        <f t="shared" si="29"/>
        <v>50</v>
      </c>
      <c r="F138" s="2">
        <f t="shared" si="29"/>
        <v>65</v>
      </c>
      <c r="G138" s="2">
        <f t="shared" si="29"/>
        <v>80</v>
      </c>
      <c r="H138" s="2">
        <f t="shared" si="29"/>
        <v>95</v>
      </c>
      <c r="I138" s="2">
        <f t="shared" si="29"/>
        <v>110</v>
      </c>
      <c r="J138" s="2">
        <f t="shared" si="29"/>
        <v>125</v>
      </c>
      <c r="K138" s="2">
        <f t="shared" si="29"/>
        <v>140</v>
      </c>
      <c r="L138" s="2">
        <f t="shared" si="29"/>
        <v>155</v>
      </c>
      <c r="M138" s="2">
        <f t="shared" si="29"/>
        <v>320</v>
      </c>
    </row>
    <row r="139" spans="1:13" s="2" customFormat="1" ht="12.75">
      <c r="A139" s="19" t="s">
        <v>293</v>
      </c>
      <c r="C139" s="2">
        <v>1</v>
      </c>
      <c r="D139" s="908">
        <f>1/(1+0.05)^D128</f>
        <v>0.95238095238095233</v>
      </c>
      <c r="E139" s="908">
        <f t="shared" ref="E139:M139" si="30">1/(1+0.05)^E128</f>
        <v>0.90702947845804982</v>
      </c>
      <c r="F139" s="908">
        <f t="shared" si="30"/>
        <v>0.86383759853147601</v>
      </c>
      <c r="G139" s="908">
        <f t="shared" si="30"/>
        <v>0.82270247479188197</v>
      </c>
      <c r="H139" s="908">
        <f t="shared" si="30"/>
        <v>0.78352616646845896</v>
      </c>
      <c r="I139" s="908">
        <f t="shared" si="30"/>
        <v>0.74621539663662761</v>
      </c>
      <c r="J139" s="908">
        <f t="shared" si="30"/>
        <v>0.71068133013012147</v>
      </c>
      <c r="K139" s="908">
        <f t="shared" si="30"/>
        <v>0.67683936202868722</v>
      </c>
      <c r="L139" s="908">
        <f t="shared" si="30"/>
        <v>0.64460891621779726</v>
      </c>
      <c r="M139" s="908">
        <f t="shared" si="30"/>
        <v>0.61391325354075932</v>
      </c>
    </row>
    <row r="140" spans="1:13" s="2" customFormat="1" ht="12.75">
      <c r="A140" s="19" t="s">
        <v>1307</v>
      </c>
      <c r="C140" s="55">
        <f>C139*C138</f>
        <v>-500</v>
      </c>
      <c r="D140" s="55">
        <f t="shared" ref="D140:G140" si="31">D139*D138</f>
        <v>33.333333333333329</v>
      </c>
      <c r="E140" s="55">
        <f t="shared" si="31"/>
        <v>45.351473922902493</v>
      </c>
      <c r="F140" s="55">
        <f t="shared" si="31"/>
        <v>56.14944390454594</v>
      </c>
      <c r="G140" s="55">
        <f t="shared" si="31"/>
        <v>65.816197983350563</v>
      </c>
      <c r="H140" s="55">
        <f t="shared" ref="H140" si="32">H139*H138</f>
        <v>74.434985814503605</v>
      </c>
      <c r="I140" s="55">
        <f t="shared" ref="I140" si="33">I139*I138</f>
        <v>82.083693630029032</v>
      </c>
      <c r="J140" s="55">
        <f t="shared" ref="J140" si="34">J139*J138</f>
        <v>88.83516626626519</v>
      </c>
      <c r="K140" s="55">
        <f t="shared" ref="K140" si="35">K139*K138</f>
        <v>94.757510684016211</v>
      </c>
      <c r="L140" s="55">
        <f t="shared" ref="L140" si="36">L139*L138</f>
        <v>99.914382013758569</v>
      </c>
      <c r="M140" s="55">
        <f t="shared" ref="M140" si="37">M139*M138</f>
        <v>196.45224113304297</v>
      </c>
    </row>
    <row r="141" spans="1:13" s="2" customFormat="1" ht="12.75">
      <c r="A141" s="19"/>
      <c r="C141" s="630"/>
      <c r="D141" s="630"/>
      <c r="E141" s="630"/>
      <c r="F141" s="630"/>
      <c r="G141" s="630"/>
      <c r="H141" s="630"/>
      <c r="I141" s="630"/>
      <c r="J141" s="630"/>
      <c r="K141" s="630"/>
      <c r="L141" s="630"/>
      <c r="M141" s="630"/>
    </row>
    <row r="142" spans="1:13" s="2" customFormat="1" ht="13.5" thickBot="1">
      <c r="A142" s="2" t="s">
        <v>1338</v>
      </c>
    </row>
    <row r="143" spans="1:13" s="2" customFormat="1" ht="13.5" thickBot="1">
      <c r="B143" s="918">
        <f>SUM(C140:M140)</f>
        <v>337.12842868574785</v>
      </c>
      <c r="G143" s="904"/>
    </row>
    <row r="144" spans="1:13" s="2" customFormat="1" ht="12.75">
      <c r="A144" s="19" t="s">
        <v>1532</v>
      </c>
    </row>
    <row r="146" spans="3:7">
      <c r="C146" s="929"/>
      <c r="E146" s="929"/>
      <c r="G146" s="929"/>
    </row>
    <row r="147" spans="3:7">
      <c r="E147" s="929"/>
    </row>
    <row r="148" spans="3:7" s="2" customFormat="1" ht="12.75"/>
    <row r="149" spans="3:7" s="2" customFormat="1" ht="12.75"/>
    <row r="150" spans="3:7" s="2" customFormat="1" ht="12.75"/>
    <row r="151" spans="3:7" s="2" customFormat="1" ht="12.75"/>
    <row r="152" spans="3:7" s="2" customFormat="1" ht="12.75"/>
    <row r="153" spans="3:7" s="2" customFormat="1" ht="12.75"/>
  </sheetData>
  <sheetProtection algorithmName="SHA-512" hashValue="LB6riW2t9XiQf6eVwDs+ZD7rNytond0Ulmt0QJUA6mHaeI0vWw9sIxJTY0JIlAWjpTIJv1McgVi9N7wc+dTaIg==" saltValue="fC15y5plsEQj2OFgLZV/kw==" spinCount="100000" sheet="1" objects="1" scenarios="1"/>
  <phoneticPr fontId="12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FB94E-19DC-8F43-8CD3-D88ECF033F52}">
  <dimension ref="A1:AM251"/>
  <sheetViews>
    <sheetView topLeftCell="A203" zoomScale="133" zoomScaleNormal="133" workbookViewId="0">
      <selection activeCell="B89" sqref="B89"/>
    </sheetView>
  </sheetViews>
  <sheetFormatPr defaultColWidth="10.875" defaultRowHeight="12.75"/>
  <cols>
    <col min="1" max="12" width="10.875" style="2"/>
    <col min="13" max="13" width="11.625" style="2" customWidth="1"/>
    <col min="14" max="24" width="10.875" style="2"/>
    <col min="25" max="52" width="10.875" style="2" customWidth="1"/>
    <col min="53" max="16384" width="10.875" style="2"/>
  </cols>
  <sheetData>
    <row r="1" spans="1:11" ht="18.75">
      <c r="A1" s="149" t="s">
        <v>1141</v>
      </c>
      <c r="H1" s="1" t="s">
        <v>54</v>
      </c>
    </row>
    <row r="2" spans="1:11">
      <c r="A2" s="2" t="s">
        <v>757</v>
      </c>
      <c r="H2" s="1"/>
    </row>
    <row r="3" spans="1:11">
      <c r="A3" s="2" t="s">
        <v>1146</v>
      </c>
    </row>
    <row r="4" spans="1:11">
      <c r="A4" s="2" t="str">
        <f ca="1">"Sheet: "&amp;MID(CELL("filename",A1),FIND("]",CELL("filename",A1))+1,255)</f>
        <v>Sheet: EXCEL Financial Functions</v>
      </c>
    </row>
    <row r="5" spans="1:11" ht="13.5" thickBot="1"/>
    <row r="6" spans="1:11" ht="15.75">
      <c r="A6" s="150" t="s">
        <v>462</v>
      </c>
      <c r="B6" s="672"/>
      <c r="C6" s="672"/>
      <c r="D6" s="672"/>
      <c r="E6" s="672"/>
      <c r="F6" s="672"/>
      <c r="G6" s="672"/>
      <c r="H6" s="672"/>
      <c r="I6" s="672"/>
      <c r="J6" s="672"/>
      <c r="K6" s="673"/>
    </row>
    <row r="7" spans="1:11" s="43" customFormat="1" ht="15.75">
      <c r="A7" s="674" t="str">
        <f>"The material through Row "&amp;ROW(A73)&amp;" is a tutorial that will not contribute to your grade."</f>
        <v>The material through Row 73 is a tutorial that will not contribute to your grade.</v>
      </c>
      <c r="K7" s="675"/>
    </row>
    <row r="8" spans="1:11" s="43" customFormat="1" ht="15.75">
      <c r="A8" s="670" t="str">
        <f>"The Homework starting in Row "&amp;ROW(A75)&amp;" is Required."</f>
        <v>The Homework starting in Row 75 is Required.</v>
      </c>
      <c r="B8" s="44"/>
      <c r="C8" s="44"/>
      <c r="D8" s="44"/>
      <c r="E8" s="44"/>
      <c r="F8" s="44"/>
      <c r="G8" s="44"/>
      <c r="H8" s="44"/>
      <c r="I8" s="44"/>
      <c r="J8" s="44"/>
      <c r="K8" s="45"/>
    </row>
    <row r="9" spans="1:11" s="43" customFormat="1" ht="16.5" thickBot="1">
      <c r="A9" s="46" t="str">
        <f>"The Homework starting in Row "&amp;ROW(A123)&amp;" is Challenge."</f>
        <v>The Homework starting in Row 123 is Challenge.</v>
      </c>
      <c r="B9" s="47"/>
      <c r="C9" s="47"/>
      <c r="D9" s="47"/>
      <c r="E9" s="47"/>
      <c r="F9" s="47"/>
      <c r="G9" s="47"/>
      <c r="H9" s="47"/>
      <c r="I9" s="47"/>
      <c r="J9" s="47"/>
      <c r="K9" s="48"/>
    </row>
    <row r="11" spans="1:11" s="50" customFormat="1" ht="15.75">
      <c r="A11" s="49" t="s">
        <v>1317</v>
      </c>
    </row>
    <row r="12" spans="1:11">
      <c r="A12" s="50" t="str">
        <f>"Below (Row "&amp;ROW(A22)&amp;") is a 'Simple Model of Earnings Growth' in which earnings grow at a constant annual growth rate."</f>
        <v>Below (Row 22) is a 'Simple Model of Earnings Growth' in which earnings grow at a constant annual growth rate.</v>
      </c>
    </row>
    <row r="13" spans="1:11">
      <c r="A13" s="50" t="s">
        <v>916</v>
      </c>
    </row>
    <row r="14" spans="1:11" ht="13.5" thickBot="1">
      <c r="A14" s="50" t="s">
        <v>298</v>
      </c>
    </row>
    <row r="15" spans="1:11" ht="13.5" thickBot="1">
      <c r="B15" s="2" t="s">
        <v>657</v>
      </c>
      <c r="D15" s="148">
        <v>0.1</v>
      </c>
    </row>
    <row r="16" spans="1:11">
      <c r="A16" s="2" t="s">
        <v>299</v>
      </c>
    </row>
    <row r="17" spans="1:13" ht="13.5" thickBot="1">
      <c r="A17" s="2" t="s">
        <v>300</v>
      </c>
    </row>
    <row r="18" spans="1:13" ht="13.5" thickBot="1">
      <c r="B18" s="2" t="s">
        <v>281</v>
      </c>
      <c r="D18" s="148">
        <v>0.15</v>
      </c>
    </row>
    <row r="19" spans="1:13">
      <c r="A19" s="190" t="s">
        <v>1533</v>
      </c>
      <c r="D19" s="921"/>
    </row>
    <row r="20" spans="1:13">
      <c r="A20" s="2" t="s">
        <v>302</v>
      </c>
      <c r="B20" s="53"/>
    </row>
    <row r="21" spans="1:13">
      <c r="B21" s="53"/>
    </row>
    <row r="22" spans="1:13">
      <c r="A22" s="18" t="s">
        <v>304</v>
      </c>
      <c r="B22" s="53"/>
    </row>
    <row r="23" spans="1:13">
      <c r="A23" s="18"/>
      <c r="B23" s="909" t="s">
        <v>1534</v>
      </c>
      <c r="C23" s="51">
        <v>1</v>
      </c>
      <c r="D23" s="51">
        <v>2</v>
      </c>
      <c r="E23" s="51">
        <v>3</v>
      </c>
      <c r="F23" s="51">
        <v>4</v>
      </c>
      <c r="G23" s="51">
        <v>5</v>
      </c>
      <c r="H23" s="51">
        <v>6</v>
      </c>
      <c r="I23" s="51">
        <v>7</v>
      </c>
      <c r="J23" s="51">
        <v>8</v>
      </c>
      <c r="K23" s="51">
        <v>9</v>
      </c>
      <c r="L23" s="51">
        <v>10</v>
      </c>
      <c r="M23" s="425" t="s">
        <v>291</v>
      </c>
    </row>
    <row r="24" spans="1:13">
      <c r="B24" s="18">
        <f ca="1">C24-1</f>
        <v>2023</v>
      </c>
      <c r="C24" s="18">
        <f ca="1">YEAR(TODAY())+1</f>
        <v>2024</v>
      </c>
      <c r="D24" s="18">
        <f t="shared" ref="D24:L24" ca="1" si="0">C24+1</f>
        <v>2025</v>
      </c>
      <c r="E24" s="18">
        <f t="shared" ca="1" si="0"/>
        <v>2026</v>
      </c>
      <c r="F24" s="18">
        <f t="shared" ca="1" si="0"/>
        <v>2027</v>
      </c>
      <c r="G24" s="18">
        <f t="shared" ca="1" si="0"/>
        <v>2028</v>
      </c>
      <c r="H24" s="18">
        <f t="shared" ca="1" si="0"/>
        <v>2029</v>
      </c>
      <c r="I24" s="18">
        <f t="shared" ca="1" si="0"/>
        <v>2030</v>
      </c>
      <c r="J24" s="18">
        <f t="shared" ca="1" si="0"/>
        <v>2031</v>
      </c>
      <c r="K24" s="18">
        <f t="shared" ca="1" si="0"/>
        <v>2032</v>
      </c>
      <c r="L24" s="18">
        <f t="shared" ca="1" si="0"/>
        <v>2033</v>
      </c>
      <c r="M24" s="54" t="s">
        <v>896</v>
      </c>
    </row>
    <row r="25" spans="1:13">
      <c r="A25" s="2" t="s">
        <v>56</v>
      </c>
      <c r="B25" s="55">
        <v>100</v>
      </c>
      <c r="C25" s="55">
        <f t="shared" ref="C25:L25" si="1">B25*(1+$D$15)</f>
        <v>110.00000000000001</v>
      </c>
      <c r="D25" s="55">
        <f t="shared" si="1"/>
        <v>121.00000000000003</v>
      </c>
      <c r="E25" s="55">
        <f t="shared" si="1"/>
        <v>133.10000000000005</v>
      </c>
      <c r="F25" s="55">
        <f t="shared" si="1"/>
        <v>146.41000000000008</v>
      </c>
      <c r="G25" s="55">
        <f t="shared" si="1"/>
        <v>161.0510000000001</v>
      </c>
      <c r="H25" s="55">
        <f t="shared" si="1"/>
        <v>177.15610000000012</v>
      </c>
      <c r="I25" s="55">
        <f t="shared" si="1"/>
        <v>194.87171000000015</v>
      </c>
      <c r="J25" s="55">
        <f t="shared" si="1"/>
        <v>214.3588810000002</v>
      </c>
      <c r="K25" s="55">
        <f t="shared" si="1"/>
        <v>235.79476910000022</v>
      </c>
      <c r="L25" s="55">
        <f t="shared" si="1"/>
        <v>259.37424601000026</v>
      </c>
      <c r="M25" s="623">
        <f>L25*(1+D15)/(D18-D15)</f>
        <v>5706.2334122200073</v>
      </c>
    </row>
    <row r="26" spans="1:13">
      <c r="A26" s="2" t="s">
        <v>293</v>
      </c>
      <c r="B26" s="920">
        <v>1</v>
      </c>
      <c r="C26" s="920">
        <f>1/(1+$D$18)^C23</f>
        <v>0.86956521739130443</v>
      </c>
      <c r="D26" s="920">
        <f t="shared" ref="D26:L26" si="2">1/(1+$D$18)^D23</f>
        <v>0.7561436672967865</v>
      </c>
      <c r="E26" s="920">
        <f t="shared" si="2"/>
        <v>0.65751623243198831</v>
      </c>
      <c r="F26" s="920">
        <f t="shared" si="2"/>
        <v>0.57175324559303342</v>
      </c>
      <c r="G26" s="920">
        <f t="shared" si="2"/>
        <v>0.49717673529828987</v>
      </c>
      <c r="H26" s="920">
        <f t="shared" si="2"/>
        <v>0.43232759591155645</v>
      </c>
      <c r="I26" s="920">
        <f t="shared" si="2"/>
        <v>0.37593703992309269</v>
      </c>
      <c r="J26" s="920">
        <f t="shared" si="2"/>
        <v>0.32690177384616753</v>
      </c>
      <c r="K26" s="920">
        <f t="shared" si="2"/>
        <v>0.28426241204014574</v>
      </c>
      <c r="L26" s="920">
        <f t="shared" si="2"/>
        <v>0.24718470612186585</v>
      </c>
      <c r="M26" s="934">
        <f>L26</f>
        <v>0.24718470612186585</v>
      </c>
    </row>
    <row r="27" spans="1:13">
      <c r="A27" s="2" t="s">
        <v>1526</v>
      </c>
      <c r="B27" s="20">
        <f t="shared" ref="B27:M27" si="3">B25*B26</f>
        <v>100</v>
      </c>
      <c r="C27" s="20">
        <f t="shared" si="3"/>
        <v>95.652173913043498</v>
      </c>
      <c r="D27" s="20">
        <f t="shared" si="3"/>
        <v>91.493383742911192</v>
      </c>
      <c r="E27" s="20">
        <f t="shared" si="3"/>
        <v>87.515410536697672</v>
      </c>
      <c r="F27" s="20">
        <f t="shared" si="3"/>
        <v>83.71039268727607</v>
      </c>
      <c r="G27" s="20">
        <f t="shared" si="3"/>
        <v>80.070810396524934</v>
      </c>
      <c r="H27" s="20">
        <f t="shared" si="3"/>
        <v>76.58947081406734</v>
      </c>
      <c r="I27" s="20">
        <f t="shared" si="3"/>
        <v>73.259493822151398</v>
      </c>
      <c r="J27" s="20">
        <f t="shared" si="3"/>
        <v>70.074298438579603</v>
      </c>
      <c r="K27" s="20">
        <f t="shared" si="3"/>
        <v>67.027589810815286</v>
      </c>
      <c r="L27" s="20">
        <f t="shared" si="3"/>
        <v>64.113346775562448</v>
      </c>
      <c r="M27" s="623">
        <f t="shared" si="3"/>
        <v>1410.4936290623743</v>
      </c>
    </row>
    <row r="28" spans="1:13">
      <c r="A28" s="2" t="s">
        <v>301</v>
      </c>
      <c r="B28" s="57">
        <f t="shared" ref="B28:L28" si="4">B27/$B$58</f>
        <v>4.3478260869565147E-2</v>
      </c>
      <c r="C28" s="57">
        <f t="shared" si="4"/>
        <v>4.1587901701323197E-2</v>
      </c>
      <c r="D28" s="57">
        <f t="shared" si="4"/>
        <v>3.977973206213524E-2</v>
      </c>
      <c r="E28" s="58">
        <f t="shared" si="4"/>
        <v>3.8050178494216318E-2</v>
      </c>
      <c r="F28" s="58">
        <f t="shared" si="4"/>
        <v>3.6395822907511276E-2</v>
      </c>
      <c r="G28" s="58">
        <f t="shared" si="4"/>
        <v>3.4813395824576002E-2</v>
      </c>
      <c r="H28" s="58">
        <f t="shared" si="4"/>
        <v>3.3299769919159658E-2</v>
      </c>
      <c r="I28" s="58">
        <f t="shared" si="4"/>
        <v>3.1851953835717949E-2</v>
      </c>
      <c r="J28" s="58">
        <f t="shared" si="4"/>
        <v>3.0467086277643256E-2</v>
      </c>
      <c r="K28" s="58">
        <f t="shared" si="4"/>
        <v>2.914243035252834E-2</v>
      </c>
      <c r="L28" s="58">
        <f t="shared" si="4"/>
        <v>2.7875368163287978E-2</v>
      </c>
      <c r="M28" s="57">
        <f>M27/$B$63</f>
        <v>0.61325809959233568</v>
      </c>
    </row>
    <row r="29" spans="1:13">
      <c r="B29" s="56"/>
      <c r="C29" s="20"/>
      <c r="D29" s="20"/>
      <c r="E29" s="20"/>
      <c r="F29" s="20"/>
      <c r="G29" s="20"/>
      <c r="H29" s="20"/>
      <c r="I29" s="20"/>
      <c r="J29" s="20"/>
      <c r="K29" s="20"/>
      <c r="L29" s="20"/>
      <c r="M29" s="20"/>
    </row>
    <row r="30" spans="1:13">
      <c r="A30" s="2" t="s">
        <v>305</v>
      </c>
      <c r="B30" s="56"/>
      <c r="C30" s="20"/>
      <c r="D30" s="20"/>
      <c r="E30" s="20"/>
      <c r="F30" s="20"/>
      <c r="G30" s="20"/>
      <c r="H30" s="20"/>
      <c r="I30" s="20"/>
      <c r="J30" s="20"/>
      <c r="K30" s="20"/>
      <c r="L30" s="20"/>
      <c r="M30" s="20"/>
    </row>
    <row r="31" spans="1:13">
      <c r="A31" s="2" t="s">
        <v>915</v>
      </c>
      <c r="B31" s="56"/>
      <c r="C31" s="20"/>
      <c r="D31" s="20"/>
      <c r="E31" s="20"/>
      <c r="F31" s="20"/>
      <c r="G31" s="20"/>
      <c r="H31" s="20"/>
      <c r="I31" s="20"/>
      <c r="J31" s="20"/>
      <c r="K31" s="20"/>
      <c r="L31" s="20"/>
      <c r="M31" s="20"/>
    </row>
    <row r="32" spans="1:13" customFormat="1" ht="15.75">
      <c r="A32" s="2" t="s">
        <v>1594</v>
      </c>
    </row>
    <row r="33" spans="1:13">
      <c r="A33" s="2" t="s">
        <v>926</v>
      </c>
      <c r="B33" s="56"/>
      <c r="C33" s="20"/>
      <c r="D33" s="20"/>
      <c r="E33" s="20"/>
      <c r="F33" s="20"/>
      <c r="G33" s="20"/>
      <c r="H33" s="20"/>
      <c r="I33" s="20"/>
      <c r="J33" s="20"/>
      <c r="K33" s="20"/>
      <c r="L33" s="20"/>
      <c r="M33" s="20"/>
    </row>
    <row r="34" spans="1:13">
      <c r="A34" s="19" t="s">
        <v>1535</v>
      </c>
      <c r="B34" s="56"/>
      <c r="C34" s="20"/>
      <c r="D34" s="20"/>
      <c r="E34" s="20"/>
      <c r="F34" s="20"/>
      <c r="G34" s="20"/>
      <c r="H34" s="20"/>
      <c r="I34" s="20"/>
      <c r="J34" s="20"/>
      <c r="K34" s="20"/>
      <c r="L34" s="20"/>
      <c r="M34" s="20"/>
    </row>
    <row r="35" spans="1:13">
      <c r="B35" s="56"/>
      <c r="C35" s="20"/>
      <c r="D35" s="20"/>
      <c r="E35" s="20"/>
      <c r="F35" s="20"/>
      <c r="G35" s="20"/>
      <c r="H35" s="20"/>
      <c r="I35" s="20"/>
      <c r="J35" s="920"/>
      <c r="K35" s="20"/>
      <c r="L35" s="20"/>
      <c r="M35" s="20"/>
    </row>
    <row r="36" spans="1:13">
      <c r="A36" s="18" t="s">
        <v>919</v>
      </c>
      <c r="B36" s="56"/>
      <c r="C36" s="20"/>
      <c r="D36" s="20"/>
      <c r="E36" s="20"/>
      <c r="F36" s="20"/>
      <c r="G36" s="20"/>
      <c r="H36" s="20"/>
      <c r="I36" s="20"/>
      <c r="J36" s="20"/>
      <c r="K36" s="20"/>
      <c r="L36" s="20"/>
      <c r="M36" s="20"/>
    </row>
    <row r="37" spans="1:13">
      <c r="A37" s="2" t="s">
        <v>730</v>
      </c>
      <c r="B37" s="56"/>
      <c r="C37" s="20"/>
      <c r="D37" s="20"/>
      <c r="E37" s="20"/>
      <c r="F37" s="20"/>
      <c r="G37" s="20"/>
      <c r="H37" s="20"/>
      <c r="I37" s="20"/>
      <c r="J37" s="20"/>
      <c r="K37" s="20"/>
      <c r="L37" s="20"/>
      <c r="M37" s="20"/>
    </row>
    <row r="38" spans="1:13">
      <c r="A38" s="2" t="s">
        <v>1187</v>
      </c>
      <c r="B38" s="56"/>
      <c r="C38" s="20"/>
      <c r="D38" s="20"/>
      <c r="E38" s="20"/>
      <c r="F38" s="20"/>
      <c r="G38" s="20"/>
      <c r="H38" s="20"/>
      <c r="I38" s="20"/>
      <c r="J38" s="20"/>
      <c r="K38" s="20"/>
      <c r="L38" s="20"/>
      <c r="M38" s="20"/>
    </row>
    <row r="39" spans="1:13">
      <c r="A39" s="2" t="s">
        <v>314</v>
      </c>
      <c r="B39" s="56"/>
      <c r="C39" s="20"/>
      <c r="D39" s="20"/>
      <c r="E39" s="20"/>
      <c r="F39" s="20"/>
      <c r="G39" s="20"/>
      <c r="H39" s="20"/>
      <c r="I39" s="20"/>
      <c r="J39" s="20"/>
      <c r="K39" s="20"/>
      <c r="L39" s="20"/>
      <c r="M39" s="20"/>
    </row>
    <row r="40" spans="1:13">
      <c r="B40" s="56"/>
      <c r="C40" s="20"/>
      <c r="D40" s="20"/>
      <c r="E40" s="20"/>
      <c r="F40" s="20"/>
      <c r="G40" s="20"/>
      <c r="H40" s="20"/>
      <c r="I40" s="20"/>
      <c r="J40" s="20"/>
      <c r="K40" s="20"/>
      <c r="L40" s="20"/>
      <c r="M40" s="20"/>
    </row>
    <row r="41" spans="1:13">
      <c r="A41" s="2" t="s">
        <v>1506</v>
      </c>
      <c r="B41" s="56"/>
      <c r="C41" s="20"/>
      <c r="D41" s="20"/>
      <c r="E41" s="20"/>
      <c r="F41" s="20"/>
      <c r="G41" s="20"/>
      <c r="H41" s="20"/>
      <c r="I41" s="20"/>
      <c r="J41" s="20"/>
      <c r="K41" s="20"/>
      <c r="L41" s="20"/>
      <c r="M41" s="20"/>
    </row>
    <row r="42" spans="1:13">
      <c r="A42" s="19" t="s">
        <v>1595</v>
      </c>
      <c r="B42" s="56"/>
      <c r="C42" s="20"/>
      <c r="D42" s="20"/>
      <c r="E42" s="20"/>
      <c r="F42" s="20"/>
      <c r="G42" s="20"/>
      <c r="H42" s="20"/>
      <c r="I42" s="20"/>
      <c r="J42" s="20"/>
      <c r="K42" s="20"/>
      <c r="L42" s="20"/>
      <c r="M42" s="20"/>
    </row>
    <row r="43" spans="1:13">
      <c r="A43" s="80" t="str">
        <f ca="1">"So, you will use the expression '"&amp;_xlfn.FORMULATEXT(B45)&amp;"'."</f>
        <v>So, you will use the expression '=NPV(D18,C25:L25)'.</v>
      </c>
      <c r="C43" s="20"/>
      <c r="D43" s="20"/>
      <c r="E43" s="20"/>
      <c r="F43" s="20"/>
      <c r="G43" s="20"/>
      <c r="H43" s="20"/>
      <c r="I43" s="20"/>
      <c r="J43" s="20"/>
      <c r="K43" s="20"/>
      <c r="L43" s="20"/>
      <c r="M43" s="20"/>
    </row>
    <row r="44" spans="1:13" ht="13.5" thickBot="1">
      <c r="A44" s="80"/>
      <c r="C44" s="20"/>
      <c r="D44" s="20"/>
      <c r="E44" s="20"/>
      <c r="F44" s="20"/>
      <c r="G44" s="20"/>
      <c r="H44" s="20"/>
      <c r="I44" s="20"/>
      <c r="J44" s="20"/>
      <c r="K44" s="20"/>
      <c r="L44" s="20"/>
      <c r="M44" s="20"/>
    </row>
    <row r="45" spans="1:13" ht="13.5" thickBot="1">
      <c r="A45" s="19"/>
      <c r="B45" s="935">
        <f>NPV(D18,C25:L25)</f>
        <v>789.5063709376293</v>
      </c>
      <c r="C45" s="20"/>
      <c r="D45" s="20"/>
      <c r="E45" s="20"/>
      <c r="F45" s="20"/>
      <c r="G45" s="20"/>
      <c r="H45" s="20"/>
      <c r="I45" s="20"/>
      <c r="J45" s="20"/>
      <c r="K45" s="20"/>
      <c r="L45" s="20"/>
      <c r="M45" s="20"/>
    </row>
    <row r="47" spans="1:13">
      <c r="A47" s="80" t="s">
        <v>1527</v>
      </c>
      <c r="B47" s="21"/>
    </row>
    <row r="48" spans="1:13">
      <c r="A48" s="80" t="s">
        <v>1538</v>
      </c>
      <c r="B48" s="21"/>
    </row>
    <row r="49" spans="1:13" ht="15">
      <c r="A49" s="163" t="s">
        <v>1536</v>
      </c>
      <c r="B49" s="21"/>
    </row>
    <row r="50" spans="1:13">
      <c r="A50" s="163" t="s">
        <v>1537</v>
      </c>
      <c r="B50" s="21"/>
    </row>
    <row r="51" spans="1:13">
      <c r="A51" s="19" t="s">
        <v>1596</v>
      </c>
      <c r="B51" s="21"/>
    </row>
    <row r="52" spans="1:13">
      <c r="A52" s="19" t="str">
        <f ca="1">"You must also add the Terminal Value discounted to the current year '"&amp;_xlfn.FORMULATEXT(B54)&amp; "'."</f>
        <v>You must also add the Terminal Value discounted to the current year '=M25/(1+D18)^10'.</v>
      </c>
      <c r="B52" s="21"/>
    </row>
    <row r="53" spans="1:13" ht="13.5" thickBot="1">
      <c r="A53" s="19"/>
      <c r="B53" s="21"/>
    </row>
    <row r="54" spans="1:13" ht="13.5" thickBot="1">
      <c r="A54" s="19"/>
      <c r="B54" s="147">
        <f>M25/(1+D18)^10</f>
        <v>1410.4936290623743</v>
      </c>
    </row>
    <row r="55" spans="1:13">
      <c r="A55" s="19"/>
      <c r="B55" s="21"/>
    </row>
    <row r="56" spans="1:13">
      <c r="A56" s="19" t="str">
        <f ca="1">"Therefore, to calculate the total Net Present Value of all cash flows, you will use the expression '"&amp;_xlfn.FORMULATEXT(B58)&amp;"'."</f>
        <v>Therefore, to calculate the total Net Present Value of all cash flows, you will use the expression '=+B25+NPV(D18,C25:L25)+M25/(1+D18)^10'.</v>
      </c>
      <c r="B56" s="21"/>
    </row>
    <row r="57" spans="1:13" ht="13.5" thickBot="1">
      <c r="A57" s="80"/>
      <c r="B57" s="21"/>
    </row>
    <row r="58" spans="1:13" ht="13.5" thickBot="1">
      <c r="A58" s="19"/>
      <c r="B58" s="147">
        <f>+B25+NPV(D18,C25:L25)+M25/(1+D18)^10</f>
        <v>2300.0000000000036</v>
      </c>
      <c r="C58" s="20"/>
      <c r="D58" s="20"/>
      <c r="E58" s="20"/>
      <c r="F58" s="20"/>
      <c r="G58" s="20"/>
      <c r="H58" s="20"/>
      <c r="I58" s="20"/>
      <c r="J58" s="20"/>
      <c r="K58" s="20"/>
      <c r="L58" s="20"/>
      <c r="M58" s="20"/>
    </row>
    <row r="59" spans="1:13">
      <c r="A59" s="80"/>
      <c r="B59" s="21"/>
    </row>
    <row r="60" spans="1:13">
      <c r="A60" s="2" t="s">
        <v>296</v>
      </c>
      <c r="B60" s="21"/>
    </row>
    <row r="61" spans="1:13">
      <c r="A61" s="19" t="s">
        <v>1540</v>
      </c>
      <c r="B61" s="21"/>
    </row>
    <row r="62" spans="1:13" ht="13.5" thickBot="1">
      <c r="A62" s="19" t="str">
        <f ca="1">"Click on the Function in the box immediately below to see the expression '"&amp;_xlfn.FORMULATEXT(B63)&amp;"'."</f>
        <v>Click on the Function in the box immediately below to see the expression '=SUM(B27:M27)'.</v>
      </c>
      <c r="B62" s="21"/>
    </row>
    <row r="63" spans="1:13" ht="13.5" thickBot="1">
      <c r="B63" s="147">
        <f>SUM(B27:M27)</f>
        <v>2300.0000000000036</v>
      </c>
    </row>
    <row r="64" spans="1:13">
      <c r="A64" s="19" t="s">
        <v>1539</v>
      </c>
      <c r="B64" s="21"/>
    </row>
    <row r="65" spans="1:11">
      <c r="A65" s="19"/>
      <c r="B65" s="21"/>
    </row>
    <row r="66" spans="1:11">
      <c r="A66" s="2" t="s">
        <v>297</v>
      </c>
      <c r="B66" s="21"/>
    </row>
    <row r="67" spans="1:11" ht="13.5" thickBot="1">
      <c r="A67" s="19" t="str">
        <f ca="1">"Click on the box immediately below to see the expression '"&amp;_xlfn.FORMULATEXT(B68)&amp;"'."</f>
        <v>Click on the box immediately below to see the expression '=SUMPRODUCT(B25:M25,B26:M26)'.</v>
      </c>
      <c r="B67" s="21"/>
    </row>
    <row r="68" spans="1:11" ht="13.5" thickBot="1">
      <c r="B68" s="147">
        <f>SUMPRODUCT(B25:M25,B26:M26)</f>
        <v>2300.0000000000036</v>
      </c>
    </row>
    <row r="69" spans="1:11">
      <c r="A69" s="19" t="str">
        <f>"This calculation is included to briefly introduce the SUMPRODUCT function to students who did not learn about it in the challenge content in the 'EXCEL Complex Functions' Sheet of "&amp;INDEX(Workbook,6)&amp;"."</f>
        <v>This calculation is included to briefly introduce the SUMPRODUCT function to students who did not learn about it in the challenge content in the 'EXCEL Complex Functions' Sheet of Cash Flow Statement (Workbook 6).</v>
      </c>
      <c r="B69" s="59"/>
    </row>
    <row r="70" spans="1:11">
      <c r="A70" s="19" t="s">
        <v>303</v>
      </c>
      <c r="B70" s="21"/>
    </row>
    <row r="71" spans="1:11">
      <c r="A71" s="19" t="s">
        <v>318</v>
      </c>
      <c r="B71" s="21"/>
    </row>
    <row r="72" spans="1:11">
      <c r="A72" s="19" t="s">
        <v>910</v>
      </c>
      <c r="B72" s="21"/>
    </row>
    <row r="73" spans="1:11">
      <c r="A73" s="19" t="s">
        <v>911</v>
      </c>
    </row>
    <row r="74" spans="1:11">
      <c r="B74" s="21"/>
    </row>
    <row r="75" spans="1:11" s="50" customFormat="1" ht="15.75">
      <c r="A75" s="60" t="s">
        <v>459</v>
      </c>
      <c r="B75" s="61"/>
      <c r="C75" s="61"/>
      <c r="D75" s="61"/>
      <c r="E75" s="61"/>
      <c r="F75" s="61"/>
      <c r="G75" s="61"/>
      <c r="H75" s="61"/>
      <c r="I75" s="61"/>
      <c r="J75" s="61"/>
      <c r="K75" s="61"/>
    </row>
    <row r="76" spans="1:11">
      <c r="B76" s="21"/>
    </row>
    <row r="77" spans="1:11">
      <c r="A77" s="2" t="str">
        <f>"In "&amp;INDEX(Workbook,11)&amp;", we will introduce the concept of valuing a stock as the Net Present Value (NPV) of future cash flows (Discunted Cash Flows or DCF)."</f>
        <v>In Equity Valuation (Workbook 11), we will introduce the concept of valuing a stock as the Net Present Value (NPV) of future cash flows (Discunted Cash Flows or DCF).</v>
      </c>
      <c r="B77" s="21"/>
    </row>
    <row r="78" spans="1:11">
      <c r="A78" s="2" t="s">
        <v>461</v>
      </c>
      <c r="B78" s="21"/>
    </row>
    <row r="79" spans="1:11">
      <c r="A79" s="2" t="s">
        <v>701</v>
      </c>
      <c r="B79" s="21"/>
    </row>
    <row r="80" spans="1:11">
      <c r="A80" s="2" t="str">
        <f ca="1">"The company has stated its intent of reintroducing a dividend of $2.00 in "&amp;E84&amp;" and increasing the dividend by 5% every year thereafter."</f>
        <v>The company has stated its intent of reintroducing a dividend of $2.00 in 2025 and increasing the dividend by 5% every year thereafter.</v>
      </c>
      <c r="B80" s="21"/>
    </row>
    <row r="81" spans="1:39">
      <c r="A81" s="2" t="s">
        <v>1096</v>
      </c>
      <c r="B81" s="21"/>
    </row>
    <row r="82" spans="1:39">
      <c r="B82" s="21"/>
    </row>
    <row r="83" spans="1:39">
      <c r="C83" s="915" t="s">
        <v>1505</v>
      </c>
      <c r="D83" s="18">
        <v>1</v>
      </c>
      <c r="E83" s="18">
        <v>2</v>
      </c>
      <c r="F83" s="18">
        <v>3</v>
      </c>
      <c r="G83" s="18">
        <v>4</v>
      </c>
      <c r="H83" s="54"/>
    </row>
    <row r="84" spans="1:39" ht="13.5" thickBot="1">
      <c r="C84" s="18">
        <f ca="1">D84-1</f>
        <v>2023</v>
      </c>
      <c r="D84" s="18">
        <f ca="1">YEAR(TODAY())+1</f>
        <v>2024</v>
      </c>
      <c r="E84" s="18">
        <f ca="1">D84+1</f>
        <v>2025</v>
      </c>
      <c r="F84" s="18">
        <f ca="1">E84+1</f>
        <v>2026</v>
      </c>
      <c r="G84" s="18">
        <f ca="1">F84+1</f>
        <v>2027</v>
      </c>
      <c r="H84" s="54"/>
      <c r="I84" s="18"/>
      <c r="J84" s="18"/>
      <c r="K84" s="18"/>
      <c r="L84" s="18"/>
      <c r="M84" s="54"/>
      <c r="AH84" s="18"/>
      <c r="AI84" s="18"/>
      <c r="AJ84" s="18"/>
      <c r="AK84" s="18"/>
      <c r="AL84" s="18"/>
      <c r="AM84" s="54"/>
    </row>
    <row r="85" spans="1:39" ht="13.5" thickBot="1">
      <c r="B85" s="54" t="s">
        <v>460</v>
      </c>
      <c r="C85" s="62">
        <v>0</v>
      </c>
      <c r="D85" s="62">
        <f>C85*(1+$D$15)</f>
        <v>0</v>
      </c>
      <c r="E85" s="63">
        <v>2</v>
      </c>
      <c r="F85" s="63">
        <f>E85*(1+5%)</f>
        <v>2.1</v>
      </c>
      <c r="G85" s="63">
        <f>F85*(1+5%)</f>
        <v>2.2050000000000001</v>
      </c>
      <c r="H85" s="951"/>
      <c r="I85" s="62"/>
      <c r="J85" s="952"/>
      <c r="K85" s="62"/>
      <c r="L85" s="62"/>
    </row>
    <row r="86" spans="1:39">
      <c r="B86" s="21"/>
    </row>
    <row r="87" spans="1:39">
      <c r="A87" s="2" t="s">
        <v>702</v>
      </c>
      <c r="B87" s="21"/>
    </row>
    <row r="88" spans="1:39" ht="13.5" thickBot="1">
      <c r="A88" s="2" t="str">
        <f ca="1">"In the yellow cell below write a formular to calculate the terminal value in year "&amp;G84&amp;"."</f>
        <v>In the yellow cell below write a formular to calculate the terminal value in year 2027.</v>
      </c>
      <c r="B88" s="21"/>
    </row>
    <row r="89" spans="1:39" ht="13.5" thickBot="1">
      <c r="B89" s="64">
        <f>G85*(1+5%)/5%</f>
        <v>46.305</v>
      </c>
      <c r="I89" s="624"/>
    </row>
    <row r="90" spans="1:39" ht="13.5" thickBot="1">
      <c r="A90" s="2" t="s">
        <v>1605</v>
      </c>
      <c r="B90" s="21"/>
    </row>
    <row r="91" spans="1:39" ht="13.5" thickBot="1">
      <c r="B91" s="64"/>
    </row>
    <row r="92" spans="1:39" ht="13.5" thickBot="1">
      <c r="A92" s="2" t="str">
        <f>"In the yellow cell below write a formula that calculates the Net Present Value (NPV) of the dividend stream modeled in Row "&amp;ROW(B85)&amp;"."</f>
        <v>In the yellow cell below write a formula that calculates the Net Present Value (NPV) of the dividend stream modeled in Row 85.</v>
      </c>
      <c r="B92" s="21"/>
    </row>
    <row r="93" spans="1:39" ht="13.5" thickBot="1">
      <c r="B93" s="64">
        <f>+C85+NPV(10%,D85:G85)+B89/(1+10%)^4</f>
        <v>36.363636363636353</v>
      </c>
    </row>
    <row r="94" spans="1:39">
      <c r="A94" s="19" t="s">
        <v>1543</v>
      </c>
      <c r="B94" s="919"/>
    </row>
    <row r="95" spans="1:39">
      <c r="A95" s="19"/>
      <c r="B95" s="919"/>
    </row>
    <row r="96" spans="1:39" s="930" customFormat="1">
      <c r="A96" s="51" t="s">
        <v>1587</v>
      </c>
    </row>
    <row r="97" spans="1:2" s="930" customFormat="1">
      <c r="A97" s="930" t="s">
        <v>1586</v>
      </c>
    </row>
    <row r="98" spans="1:2" s="930" customFormat="1">
      <c r="A98" s="930" t="s">
        <v>1585</v>
      </c>
    </row>
    <row r="99" spans="1:2" s="930" customFormat="1">
      <c r="B99" s="930" t="str">
        <f>"= "&amp;INDEX(Column,2,COLUMN(B100))&amp;ROW(B100)</f>
        <v>= B100</v>
      </c>
    </row>
    <row r="100" spans="1:2" s="930" customFormat="1">
      <c r="B100" s="930" t="str">
        <f>"= "&amp;INDEX(Column,2,COLUMN(B99))&amp;ROW(B99)</f>
        <v>= B99</v>
      </c>
    </row>
    <row r="101" spans="1:2" s="930" customFormat="1">
      <c r="A101" s="930" t="s">
        <v>1584</v>
      </c>
    </row>
    <row r="102" spans="1:2" s="930" customFormat="1">
      <c r="A102" s="930" t="s">
        <v>1583</v>
      </c>
    </row>
    <row r="103" spans="1:2" s="930" customFormat="1"/>
    <row r="104" spans="1:2" s="930" customFormat="1"/>
    <row r="105" spans="1:2" s="930" customFormat="1"/>
    <row r="106" spans="1:2" s="930" customFormat="1"/>
    <row r="107" spans="1:2" s="930" customFormat="1"/>
    <row r="108" spans="1:2" s="930" customFormat="1"/>
    <row r="109" spans="1:2" s="930" customFormat="1"/>
    <row r="110" spans="1:2" s="930" customFormat="1"/>
    <row r="111" spans="1:2" s="930" customFormat="1"/>
    <row r="112" spans="1:2" s="930" customFormat="1"/>
    <row r="113" spans="1:11" s="930" customFormat="1"/>
    <row r="114" spans="1:11" s="930" customFormat="1"/>
    <row r="115" spans="1:11" s="930" customFormat="1">
      <c r="A115" s="930" t="s">
        <v>1582</v>
      </c>
    </row>
    <row r="116" spans="1:11" s="930" customFormat="1">
      <c r="B116" s="930" t="str">
        <f>"= "&amp;INDEX(Column,2,COLUMN(B117))&amp;ROW(B117)</f>
        <v>= B117</v>
      </c>
    </row>
    <row r="117" spans="1:11" s="930" customFormat="1">
      <c r="B117" s="930" t="str">
        <f>"= "&amp;INDEX(Column,2,COLUMN(B118))&amp;ROW(B118)</f>
        <v>= B118</v>
      </c>
    </row>
    <row r="118" spans="1:11" s="930" customFormat="1">
      <c r="B118" s="930" t="str">
        <f>"= "&amp;INDEX(Column,2,COLUMN(B116))&amp;ROW(B116)</f>
        <v>= B116</v>
      </c>
    </row>
    <row r="119" spans="1:11" s="930" customFormat="1">
      <c r="A119" s="930" t="s">
        <v>1581</v>
      </c>
    </row>
    <row r="120" spans="1:11">
      <c r="A120" s="2" t="s">
        <v>1588</v>
      </c>
    </row>
    <row r="121" spans="1:11">
      <c r="A121" s="2" t="s">
        <v>1589</v>
      </c>
    </row>
    <row r="122" spans="1:11">
      <c r="B122" s="21"/>
    </row>
    <row r="123" spans="1:11" s="50" customFormat="1" ht="15.75">
      <c r="A123" s="65" t="s">
        <v>458</v>
      </c>
      <c r="B123" s="66"/>
      <c r="C123" s="66"/>
      <c r="D123" s="66"/>
      <c r="E123" s="66"/>
      <c r="F123" s="66"/>
      <c r="G123" s="66"/>
      <c r="H123" s="66"/>
      <c r="I123" s="66"/>
      <c r="J123" s="66"/>
      <c r="K123" s="66"/>
    </row>
    <row r="124" spans="1:11">
      <c r="B124" s="21"/>
    </row>
    <row r="125" spans="1:11" s="50" customFormat="1" ht="15.75">
      <c r="A125" s="39" t="s">
        <v>280</v>
      </c>
    </row>
    <row r="126" spans="1:11" s="50" customFormat="1" ht="15" customHeight="1">
      <c r="A126" s="50" t="s">
        <v>319</v>
      </c>
    </row>
    <row r="127" spans="1:11" s="50" customFormat="1">
      <c r="A127" s="67"/>
    </row>
    <row r="128" spans="1:11" s="50" customFormat="1">
      <c r="A128" s="68" t="s">
        <v>313</v>
      </c>
    </row>
    <row r="129" spans="1:13" s="50" customFormat="1">
      <c r="A129" s="68"/>
    </row>
    <row r="130" spans="1:13">
      <c r="B130" s="18">
        <f ca="1">C130-1</f>
        <v>2023</v>
      </c>
      <c r="C130" s="18">
        <f ca="1">YEAR(TODAY())+1</f>
        <v>2024</v>
      </c>
      <c r="D130" s="18">
        <f t="shared" ref="D130:L130" ca="1" si="5">C130+1</f>
        <v>2025</v>
      </c>
      <c r="E130" s="18">
        <f t="shared" ca="1" si="5"/>
        <v>2026</v>
      </c>
      <c r="F130" s="18">
        <f t="shared" ca="1" si="5"/>
        <v>2027</v>
      </c>
      <c r="G130" s="18">
        <f t="shared" ca="1" si="5"/>
        <v>2028</v>
      </c>
      <c r="H130" s="18">
        <f t="shared" ca="1" si="5"/>
        <v>2029</v>
      </c>
      <c r="I130" s="18">
        <f t="shared" ca="1" si="5"/>
        <v>2030</v>
      </c>
      <c r="J130" s="18">
        <f t="shared" ca="1" si="5"/>
        <v>2031</v>
      </c>
      <c r="K130" s="18">
        <f t="shared" ca="1" si="5"/>
        <v>2032</v>
      </c>
      <c r="L130" s="18">
        <f t="shared" ca="1" si="5"/>
        <v>2033</v>
      </c>
      <c r="M130" s="54"/>
    </row>
    <row r="131" spans="1:13">
      <c r="A131" s="18" t="s">
        <v>312</v>
      </c>
      <c r="B131" s="69">
        <v>-500</v>
      </c>
      <c r="C131" s="55">
        <v>100</v>
      </c>
      <c r="D131" s="55">
        <f t="shared" ref="D131:L131" si="6">C131*(1+$D$15)</f>
        <v>110.00000000000001</v>
      </c>
      <c r="E131" s="55">
        <f t="shared" si="6"/>
        <v>121.00000000000003</v>
      </c>
      <c r="F131" s="55">
        <f t="shared" si="6"/>
        <v>133.10000000000005</v>
      </c>
      <c r="G131" s="55">
        <f t="shared" si="6"/>
        <v>146.41000000000008</v>
      </c>
      <c r="H131" s="55">
        <f t="shared" si="6"/>
        <v>161.0510000000001</v>
      </c>
      <c r="I131" s="55">
        <f t="shared" si="6"/>
        <v>177.15610000000012</v>
      </c>
      <c r="J131" s="55">
        <f t="shared" si="6"/>
        <v>194.87171000000015</v>
      </c>
      <c r="K131" s="55">
        <f t="shared" si="6"/>
        <v>214.3588810000002</v>
      </c>
      <c r="L131" s="55">
        <f t="shared" si="6"/>
        <v>235.79476910000022</v>
      </c>
      <c r="M131" s="20"/>
    </row>
    <row r="132" spans="1:13" s="50" customFormat="1">
      <c r="A132" s="67"/>
    </row>
    <row r="133" spans="1:13" s="50" customFormat="1">
      <c r="A133" s="50" t="s">
        <v>317</v>
      </c>
    </row>
    <row r="134" spans="1:13" s="50" customFormat="1">
      <c r="A134" s="50" t="s">
        <v>703</v>
      </c>
    </row>
    <row r="135" spans="1:13" s="50" customFormat="1" ht="13.5" thickBot="1">
      <c r="A135" s="52" t="str">
        <f ca="1">"Click on the Function in the box immediately below to see the expression '"&amp;_xlfn.FORMULATEXT(B136)&amp;"'."</f>
        <v>Click on the Function in the box immediately below to see the expression '=IRR(B131:L131)'.</v>
      </c>
    </row>
    <row r="136" spans="1:13" s="50" customFormat="1" ht="13.5" thickBot="1">
      <c r="B136" s="146">
        <f>IRR(B131:L131)</f>
        <v>0.23929899757049089</v>
      </c>
    </row>
    <row r="137" spans="1:13" s="50" customFormat="1">
      <c r="A137" s="50" t="s">
        <v>1097</v>
      </c>
      <c r="B137" s="53"/>
    </row>
    <row r="138" spans="1:13" s="50" customFormat="1">
      <c r="B138" s="53"/>
    </row>
    <row r="139" spans="1:13">
      <c r="B139" s="18">
        <f ca="1">C139-1</f>
        <v>2023</v>
      </c>
      <c r="C139" s="18">
        <f ca="1">YEAR(TODAY())+1</f>
        <v>2024</v>
      </c>
      <c r="D139" s="18">
        <f t="shared" ref="D139:L139" ca="1" si="7">C139+1</f>
        <v>2025</v>
      </c>
      <c r="E139" s="18">
        <f t="shared" ca="1" si="7"/>
        <v>2026</v>
      </c>
      <c r="F139" s="18">
        <f t="shared" ca="1" si="7"/>
        <v>2027</v>
      </c>
      <c r="G139" s="18">
        <f t="shared" ca="1" si="7"/>
        <v>2028</v>
      </c>
      <c r="H139" s="18">
        <f t="shared" ca="1" si="7"/>
        <v>2029</v>
      </c>
      <c r="I139" s="18">
        <f t="shared" ca="1" si="7"/>
        <v>2030</v>
      </c>
      <c r="J139" s="18">
        <f t="shared" ca="1" si="7"/>
        <v>2031</v>
      </c>
      <c r="K139" s="18">
        <f t="shared" ca="1" si="7"/>
        <v>2032</v>
      </c>
      <c r="L139" s="18">
        <f t="shared" ca="1" si="7"/>
        <v>2033</v>
      </c>
      <c r="M139" s="54"/>
    </row>
    <row r="140" spans="1:13" ht="13.5" thickBot="1">
      <c r="A140" s="18" t="s">
        <v>312</v>
      </c>
      <c r="B140" s="69">
        <v>-1000</v>
      </c>
      <c r="C140" s="55">
        <v>100</v>
      </c>
      <c r="D140" s="55">
        <f t="shared" ref="D140:L140" si="8">C140*(1+$D$15)</f>
        <v>110.00000000000001</v>
      </c>
      <c r="E140" s="55">
        <f t="shared" si="8"/>
        <v>121.00000000000003</v>
      </c>
      <c r="F140" s="55">
        <f t="shared" si="8"/>
        <v>133.10000000000005</v>
      </c>
      <c r="G140" s="55">
        <f t="shared" si="8"/>
        <v>146.41000000000008</v>
      </c>
      <c r="H140" s="55">
        <f t="shared" si="8"/>
        <v>161.0510000000001</v>
      </c>
      <c r="I140" s="55">
        <f t="shared" si="8"/>
        <v>177.15610000000012</v>
      </c>
      <c r="J140" s="55">
        <f t="shared" si="8"/>
        <v>194.87171000000015</v>
      </c>
      <c r="K140" s="55">
        <f t="shared" si="8"/>
        <v>214.3588810000002</v>
      </c>
      <c r="L140" s="55">
        <f t="shared" si="8"/>
        <v>235.79476910000022</v>
      </c>
      <c r="M140" s="20"/>
    </row>
    <row r="141" spans="1:13" s="50" customFormat="1" ht="13.5" thickBot="1">
      <c r="A141" s="51" t="s">
        <v>274</v>
      </c>
      <c r="B141" s="70">
        <f>IRR(B140:L140)</f>
        <v>8.1339506633279157E-2</v>
      </c>
    </row>
    <row r="142" spans="1:13">
      <c r="B142" s="21"/>
    </row>
    <row r="143" spans="1:13" ht="15.75">
      <c r="A143" s="39" t="s">
        <v>315</v>
      </c>
    </row>
    <row r="144" spans="1:13" s="50" customFormat="1">
      <c r="A144" s="50" t="s">
        <v>307</v>
      </c>
    </row>
    <row r="145" spans="1:2" s="50" customFormat="1">
      <c r="A145" s="52" t="s">
        <v>836</v>
      </c>
    </row>
    <row r="146" spans="1:2" s="50" customFormat="1">
      <c r="A146" s="68" t="s">
        <v>1098</v>
      </c>
    </row>
    <row r="147" spans="1:2" s="50" customFormat="1">
      <c r="A147" s="52" t="s">
        <v>917</v>
      </c>
    </row>
    <row r="148" spans="1:2" s="50" customFormat="1">
      <c r="A148" s="52" t="s">
        <v>920</v>
      </c>
    </row>
    <row r="149" spans="1:2" s="50" customFormat="1">
      <c r="A149" s="52" t="s">
        <v>1099</v>
      </c>
    </row>
    <row r="150" spans="1:2" s="50" customFormat="1">
      <c r="A150" s="40" t="str">
        <f>"If you know how to simultaneously view multiple Sheets skip to Row "&amp;ROW(A178)&amp;"."</f>
        <v>If you know how to simultaneously view multiple Sheets skip to Row 178.</v>
      </c>
    </row>
    <row r="151" spans="1:2" s="50" customFormat="1">
      <c r="A151" s="52"/>
    </row>
    <row r="152" spans="1:2" s="50" customFormat="1">
      <c r="A152" s="41" t="s">
        <v>913</v>
      </c>
    </row>
    <row r="153" spans="1:2" s="50" customFormat="1">
      <c r="A153" s="2" t="s">
        <v>912</v>
      </c>
    </row>
    <row r="154" spans="1:2" s="50" customFormat="1">
      <c r="A154" s="68" t="s">
        <v>744</v>
      </c>
    </row>
    <row r="155" spans="1:2" s="50" customFormat="1">
      <c r="A155" s="68" t="s">
        <v>805</v>
      </c>
    </row>
    <row r="156" spans="1:2">
      <c r="A156" s="40" t="str">
        <f>"The data table(s) related to this Sheet start on row "&amp;ROW('DATA TABLES'!A10)&amp;" of the 'DATA TABLES' Sheet."</f>
        <v>The data table(s) related to this Sheet start on row 10 of the 'DATA TABLES' Sheet.</v>
      </c>
    </row>
    <row r="158" spans="1:2" s="50" customFormat="1">
      <c r="A158" s="52" t="s">
        <v>745</v>
      </c>
    </row>
    <row r="159" spans="1:2" s="50" customFormat="1">
      <c r="A159" s="50">
        <v>1</v>
      </c>
      <c r="B159" s="50" t="s">
        <v>746</v>
      </c>
    </row>
    <row r="160" spans="1:2" s="50" customFormat="1">
      <c r="A160" s="50">
        <v>2</v>
      </c>
      <c r="B160" s="68" t="s">
        <v>1100</v>
      </c>
    </row>
    <row r="161" spans="1:12" s="50" customFormat="1" ht="206.1" customHeight="1">
      <c r="A161" s="52"/>
    </row>
    <row r="162" spans="1:12" s="50" customFormat="1">
      <c r="A162" s="50">
        <v>3</v>
      </c>
      <c r="B162" s="68" t="s">
        <v>747</v>
      </c>
    </row>
    <row r="163" spans="1:12" s="50" customFormat="1">
      <c r="B163" s="50" t="s">
        <v>1101</v>
      </c>
    </row>
    <row r="164" spans="1:12" s="50" customFormat="1">
      <c r="A164" s="50">
        <v>4</v>
      </c>
      <c r="B164" s="50" t="s">
        <v>748</v>
      </c>
    </row>
    <row r="165" spans="1:12" s="50" customFormat="1" ht="120" customHeight="1"/>
    <row r="166" spans="1:12" s="50" customFormat="1">
      <c r="B166" s="50" t="s">
        <v>749</v>
      </c>
    </row>
    <row r="167" spans="1:12" s="50" customFormat="1">
      <c r="A167" s="50">
        <v>5</v>
      </c>
      <c r="B167" s="50" t="s">
        <v>750</v>
      </c>
    </row>
    <row r="168" spans="1:12" s="50" customFormat="1">
      <c r="A168" s="50">
        <v>6</v>
      </c>
      <c r="B168" s="50" t="s">
        <v>751</v>
      </c>
    </row>
    <row r="169" spans="1:12" s="50" customFormat="1"/>
    <row r="170" spans="1:12" s="50" customFormat="1">
      <c r="A170" s="52" t="s">
        <v>752</v>
      </c>
    </row>
    <row r="171" spans="1:12" s="50" customFormat="1">
      <c r="A171" s="50">
        <v>1</v>
      </c>
      <c r="B171" s="42" t="s">
        <v>753</v>
      </c>
    </row>
    <row r="172" spans="1:12" s="50" customFormat="1" ht="72" customHeight="1">
      <c r="L172" s="42"/>
    </row>
    <row r="173" spans="1:12" s="50" customFormat="1">
      <c r="A173" s="50">
        <v>2</v>
      </c>
      <c r="B173" s="42" t="s">
        <v>754</v>
      </c>
    </row>
    <row r="174" spans="1:12" s="50" customFormat="1">
      <c r="B174" s="50" t="s">
        <v>749</v>
      </c>
      <c r="L174" s="42" t="s">
        <v>755</v>
      </c>
    </row>
    <row r="175" spans="1:12" s="50" customFormat="1">
      <c r="A175" s="50">
        <v>3</v>
      </c>
      <c r="B175" s="50" t="s">
        <v>750</v>
      </c>
      <c r="L175" s="42"/>
    </row>
    <row r="176" spans="1:12" s="50" customFormat="1">
      <c r="A176" s="50">
        <v>4</v>
      </c>
      <c r="B176" s="50" t="s">
        <v>751</v>
      </c>
    </row>
    <row r="178" spans="1:25" s="50" customFormat="1">
      <c r="A178" s="51" t="s">
        <v>914</v>
      </c>
    </row>
    <row r="179" spans="1:25" s="50" customFormat="1">
      <c r="A179" s="50" t="s">
        <v>1023</v>
      </c>
    </row>
    <row r="180" spans="1:25" s="50" customFormat="1">
      <c r="A180" s="50" t="s">
        <v>1027</v>
      </c>
    </row>
    <row r="181" spans="1:25" s="50" customFormat="1">
      <c r="A181" s="904" t="s">
        <v>1499</v>
      </c>
    </row>
    <row r="182" spans="1:25" s="50" customFormat="1"/>
    <row r="183" spans="1:25" s="50" customFormat="1">
      <c r="B183" s="50" t="s">
        <v>1024</v>
      </c>
    </row>
    <row r="184" spans="1:25" s="50" customFormat="1"/>
    <row r="185" spans="1:25" s="50" customFormat="1">
      <c r="A185" s="50" t="s">
        <v>1025</v>
      </c>
    </row>
    <row r="186" spans="1:25" s="50" customFormat="1" ht="13.5" thickBot="1">
      <c r="A186" s="50" t="str">
        <f>"The 'Growth Rate' is in row "&amp;ROW('DATA TABLES'!C12)&amp;" and the 'Discount Rate' is in row "&amp;ROW('DATA TABLES'!C13)&amp;" of the 'DATA TABLES' Sheet."</f>
        <v>The 'Growth Rate' is in row 12 and the 'Discount Rate' is in row 13 of the 'DATA TABLES' Sheet.</v>
      </c>
    </row>
    <row r="187" spans="1:25" s="50" customFormat="1" ht="13.5" thickBot="1">
      <c r="B187" s="905">
        <f>100*(1+'DATA TABLES'!C12)/('DATA TABLES'!C13-'DATA TABLES'!C12)</f>
        <v>2649.9999999999995</v>
      </c>
      <c r="Y187" s="77">
        <f>100*(1+'DATA TABLES'!$C$12)/('DATA TABLES'!$C$13-'DATA TABLES'!$C$12)</f>
        <v>2649.9999999999995</v>
      </c>
    </row>
    <row r="188" spans="1:25" s="50" customFormat="1">
      <c r="A188" s="904" t="s">
        <v>1500</v>
      </c>
      <c r="B188" s="903"/>
    </row>
    <row r="189" spans="1:25" s="50" customFormat="1">
      <c r="A189" s="904"/>
      <c r="B189" s="903"/>
    </row>
    <row r="190" spans="1:25" s="50" customFormat="1">
      <c r="A190" s="68" t="s">
        <v>308</v>
      </c>
    </row>
    <row r="191" spans="1:25" s="50" customFormat="1">
      <c r="A191" s="52" t="str">
        <f>"We have done that in "&amp;INDEX(Column,2,COLUMN('INTRO Multiperiod Models'!B16))&amp;ROW('DATA TABLES'!B16)&amp;":"&amp;INDEX(Column,2,COLUMN('DATA TABLES'!G16))&amp;ROW('DATA TABLES'!G21)&amp;" on the 'DATA TABLES' Sheet."</f>
        <v>We have done that in B16:G21 on the 'DATA TABLES' Sheet.</v>
      </c>
    </row>
    <row r="192" spans="1:25" s="50" customFormat="1">
      <c r="A192" s="19" t="str">
        <f>"We have also set the 'Growth Rate' range "&amp;INDEX(Column,2,COLUMN('DATA TABLES'!C16))&amp;ROW('DATA TABLES'!C16)&amp;":"&amp;INDEX(Column,2,COLUMN('DATA TABLES'!G16))&amp;ROW('DATA TABLES'!G16)&amp;" from 2% to 10%, in increments of 2%."</f>
        <v>We have also set the 'Growth Rate' range C16:G16 from 2% to 10%, in increments of 2%.</v>
      </c>
    </row>
    <row r="193" spans="1:9" s="50" customFormat="1">
      <c r="A193" s="19" t="str">
        <f>"We have set the 'Discount Rate' range "&amp;INDEX(Column,2,COLUMN('DATA TABLES'!B17))&amp;ROW('DATA TABLES'!B17)&amp;":"&amp;INDEX(Column,2,COLUMN('DATA TABLES'!B21))&amp;ROW('DATA TABLES'!B21)&amp;" from 6% to 14% also in increments of 2%."</f>
        <v>We have set the 'Discount Rate' range B17:B21 from 6% to 14% also in increments of 2%.</v>
      </c>
    </row>
    <row r="194" spans="1:9">
      <c r="A194" s="19" t="str">
        <f>"Finally, the upper left cell, "&amp;INDEX(Column,2,COLUMN('DATA TABLES'!B16))&amp;ROW('DATA TABLES'!B16)&amp;", must be set equal to the result of the model, "&amp;INDEX(Column,2,COLUMN('DATA TABLES'!C182))&amp;ROW(B187)&amp;" on this Sheet."</f>
        <v>Finally, the upper left cell, B16, must be set equal to the result of the model, C187 on this Sheet.</v>
      </c>
    </row>
    <row r="195" spans="1:9">
      <c r="I195" s="630"/>
    </row>
    <row r="196" spans="1:9">
      <c r="A196" s="2" t="s">
        <v>289</v>
      </c>
      <c r="I196" s="630"/>
    </row>
    <row r="197" spans="1:9" s="50" customFormat="1">
      <c r="A197" s="50">
        <v>1</v>
      </c>
      <c r="B197" s="50" t="str">
        <f>"Select the full range (shaded in grey) of the Data Table, "&amp;INDEX(Column,2,COLUMN('DATA TABLES'!B16))&amp;ROW('DATA TABLES'!B16)&amp;":"&amp;INDEX(Column,2,COLUMN('DATA TABLES'!G21))&amp;ROW('DATA TABLES'!G21)&amp;" of the 'DATA TABLE' Sheet."</f>
        <v>Select the full range (shaded in grey) of the Data Table, B16:G21 of the 'DATA TABLE' Sheet.</v>
      </c>
    </row>
    <row r="198" spans="1:9" s="50" customFormat="1">
      <c r="A198" s="50">
        <v>2</v>
      </c>
      <c r="B198" s="50" t="s">
        <v>287</v>
      </c>
    </row>
    <row r="199" spans="1:9" s="50" customFormat="1">
      <c r="A199" s="50">
        <v>3</v>
      </c>
      <c r="B199" s="50" t="s">
        <v>288</v>
      </c>
    </row>
    <row r="200" spans="1:9" s="50" customFormat="1">
      <c r="A200" s="50">
        <v>4</v>
      </c>
      <c r="B200" s="50" t="s">
        <v>316</v>
      </c>
    </row>
    <row r="201" spans="1:9" s="50" customFormat="1">
      <c r="A201" s="50">
        <v>5</v>
      </c>
      <c r="B201" s="71" t="str">
        <f>"In the 'Row input cell:' box enter or click on cell '"&amp;INDEX(Column,2,COLUMN('DATA TABLES'!C12))&amp;ROW('DATA TABLES'!C12)&amp;"' of the 'DATA TABLES' Sheet."</f>
        <v>In the 'Row input cell:' box enter or click on cell 'C12' of the 'DATA TABLES' Sheet.</v>
      </c>
    </row>
    <row r="202" spans="1:9">
      <c r="A202" s="50">
        <v>6</v>
      </c>
      <c r="B202" s="71" t="str">
        <f>"In the 'Column input cell:' box enter or click on cell '"&amp;INDEX(Column,2,COLUMN('DATA TABLES'!C13))&amp;ROW('DATA TABLES'!C13)&amp;"' of the 'DATA TABLES' Sheet."</f>
        <v>In the 'Column input cell:' box enter or click on cell 'C13' of the 'DATA TABLES' Sheet.</v>
      </c>
    </row>
    <row r="203" spans="1:9">
      <c r="A203" s="50">
        <v>7</v>
      </c>
      <c r="B203" s="2" t="s">
        <v>290</v>
      </c>
    </row>
    <row r="204" spans="1:9">
      <c r="A204" s="2" t="s">
        <v>294</v>
      </c>
    </row>
    <row r="205" spans="1:9">
      <c r="A205" s="2" t="s">
        <v>295</v>
      </c>
    </row>
    <row r="206" spans="1:9" s="50" customFormat="1">
      <c r="A206" s="50" t="str">
        <f>IFERROR("In the above case, the NPV of your earnings varies from "&amp;ROUND(MIN('DATA TABLES'!C17:G21),0)&amp;" to "&amp;ROUND(MAX('DATA TABLES'!C17:G21),0)&amp;", a huge swing.","")</f>
        <v>In the above case, the NPV of your earnings varies from 0 to 0, a huge swing.</v>
      </c>
      <c r="I206" s="712"/>
    </row>
    <row r="207" spans="1:9" s="412" customFormat="1">
      <c r="A207" s="735" t="s">
        <v>1250</v>
      </c>
    </row>
    <row r="208" spans="1:9" s="50" customFormat="1">
      <c r="A208" s="904" t="s">
        <v>1502</v>
      </c>
    </row>
    <row r="209" spans="1:13" s="50" customFormat="1" ht="13.5" thickBot="1">
      <c r="A209" s="50" t="s">
        <v>1026</v>
      </c>
    </row>
    <row r="210" spans="1:13" s="50" customFormat="1" ht="13.5" thickBot="1">
      <c r="B210" s="752">
        <f>'DATA TABLES'!D18</f>
        <v>0</v>
      </c>
    </row>
    <row r="211" spans="1:13">
      <c r="B211" s="21"/>
    </row>
    <row r="212" spans="1:13" ht="15.75">
      <c r="A212" s="166" t="s">
        <v>306</v>
      </c>
    </row>
    <row r="213" spans="1:13">
      <c r="A213" s="2" t="s">
        <v>309</v>
      </c>
    </row>
    <row r="215" spans="1:13">
      <c r="B215" s="18">
        <f ca="1">C215-1</f>
        <v>2023</v>
      </c>
      <c r="C215" s="18">
        <f ca="1">YEAR(TODAY())+1</f>
        <v>2024</v>
      </c>
      <c r="D215" s="18">
        <f t="shared" ref="D215:L215" ca="1" si="9">C215+1</f>
        <v>2025</v>
      </c>
      <c r="E215" s="18">
        <f t="shared" ca="1" si="9"/>
        <v>2026</v>
      </c>
      <c r="F215" s="18">
        <f t="shared" ca="1" si="9"/>
        <v>2027</v>
      </c>
      <c r="G215" s="18">
        <f t="shared" ca="1" si="9"/>
        <v>2028</v>
      </c>
      <c r="H215" s="18">
        <f t="shared" ca="1" si="9"/>
        <v>2029</v>
      </c>
      <c r="I215" s="18">
        <f t="shared" ca="1" si="9"/>
        <v>2030</v>
      </c>
      <c r="J215" s="18">
        <f t="shared" ca="1" si="9"/>
        <v>2031</v>
      </c>
      <c r="K215" s="18">
        <f t="shared" ca="1" si="9"/>
        <v>2032</v>
      </c>
      <c r="L215" s="18">
        <f t="shared" ca="1" si="9"/>
        <v>2033</v>
      </c>
      <c r="M215" s="54"/>
    </row>
    <row r="216" spans="1:13">
      <c r="A216" s="18" t="s">
        <v>312</v>
      </c>
      <c r="B216" s="73">
        <v>-500</v>
      </c>
      <c r="C216" s="55">
        <v>100</v>
      </c>
      <c r="D216" s="55">
        <f t="shared" ref="D216:L216" si="10">C216*(1+$D$15)</f>
        <v>110.00000000000001</v>
      </c>
      <c r="E216" s="55">
        <f t="shared" si="10"/>
        <v>121.00000000000003</v>
      </c>
      <c r="F216" s="55">
        <f t="shared" si="10"/>
        <v>133.10000000000005</v>
      </c>
      <c r="G216" s="55">
        <f t="shared" si="10"/>
        <v>146.41000000000008</v>
      </c>
      <c r="H216" s="55">
        <f t="shared" si="10"/>
        <v>161.0510000000001</v>
      </c>
      <c r="I216" s="55">
        <f t="shared" si="10"/>
        <v>177.15610000000012</v>
      </c>
      <c r="J216" s="55">
        <f t="shared" si="10"/>
        <v>194.87171000000015</v>
      </c>
      <c r="K216" s="55">
        <f t="shared" si="10"/>
        <v>214.3588810000002</v>
      </c>
      <c r="L216" s="55">
        <f t="shared" si="10"/>
        <v>235.79476910000022</v>
      </c>
      <c r="M216" s="20"/>
    </row>
    <row r="217" spans="1:13">
      <c r="A217" s="18" t="s">
        <v>274</v>
      </c>
      <c r="B217" s="38">
        <f>IRR(B216:L216)</f>
        <v>0.23929899757049089</v>
      </c>
    </row>
    <row r="218" spans="1:13">
      <c r="B218" s="23"/>
    </row>
    <row r="219" spans="1:13">
      <c r="A219" s="2" t="str">
        <f>"For example, suppose you want to determine the largest investment you could make (cell "&amp;INDEX(Column,2,COLUMN(B216))&amp;ROW(B216)&amp;") that will result in a 12% IRR."</f>
        <v>For example, suppose you want to determine the largest investment you could make (cell B216) that will result in a 12% IRR.</v>
      </c>
    </row>
    <row r="220" spans="1:13">
      <c r="A220" s="50">
        <v>1</v>
      </c>
      <c r="B220" s="50" t="s">
        <v>287</v>
      </c>
    </row>
    <row r="221" spans="1:13">
      <c r="A221" s="50">
        <v>2</v>
      </c>
      <c r="B221" s="50" t="s">
        <v>909</v>
      </c>
      <c r="G221" s="361"/>
    </row>
    <row r="222" spans="1:13">
      <c r="A222" s="50">
        <v>3</v>
      </c>
      <c r="B222" s="50" t="s">
        <v>310</v>
      </c>
      <c r="G222" s="361"/>
    </row>
    <row r="223" spans="1:13" s="50" customFormat="1">
      <c r="A223" s="50">
        <v>4</v>
      </c>
      <c r="B223" s="50" t="str">
        <f>"In the 'Set Cell:' box enter or click in "&amp;INDEX(Column,2,COLUMN(B217))&amp;ROW(B217)</f>
        <v>In the 'Set Cell:' box enter or click in B217</v>
      </c>
      <c r="G223" s="361"/>
    </row>
    <row r="224" spans="1:13" s="50" customFormat="1">
      <c r="A224" s="50">
        <v>5</v>
      </c>
      <c r="B224" s="50" t="s">
        <v>311</v>
      </c>
      <c r="G224" s="202"/>
    </row>
    <row r="225" spans="1:7" s="50" customFormat="1">
      <c r="A225" s="50">
        <v>6</v>
      </c>
      <c r="B225" s="71" t="str">
        <f>"By 'Changing Cell:' box enter or click in "&amp;INDEX(Column,2,COLUMN(B216))&amp;ROW(B216)</f>
        <v>By 'Changing Cell:' box enter or click in B216</v>
      </c>
      <c r="G225" s="362"/>
    </row>
    <row r="226" spans="1:7" s="50" customFormat="1">
      <c r="A226" s="50">
        <v>7</v>
      </c>
      <c r="B226" s="50" t="s">
        <v>290</v>
      </c>
      <c r="G226" s="363"/>
    </row>
    <row r="227" spans="1:7">
      <c r="A227" s="2" t="str">
        <f>"You can see that the value in "&amp;INDEX(Column,2,COLUMN(B217))&amp;ROW(B217)&amp;" is 12%"</f>
        <v>You can see that the value in B217 is 12%</v>
      </c>
    </row>
    <row r="228" spans="1:7" ht="13.5" thickBot="1">
      <c r="A228" s="2" t="s">
        <v>367</v>
      </c>
    </row>
    <row r="229" spans="1:7" ht="13.5" thickBot="1">
      <c r="B229" s="72">
        <f>ABS(B216)</f>
        <v>500</v>
      </c>
    </row>
    <row r="230" spans="1:7">
      <c r="B230" s="2" t="str">
        <f>"Hint: the value should be the absolute value of what is calculatd by the 'Goal Seek' capability in "&amp;INDEX(Column,2,COLUMN(B216))&amp;ROW(B216)</f>
        <v>Hint: the value should be the absolute value of what is calculatd by the 'Goal Seek' capability in B216</v>
      </c>
    </row>
    <row r="232" spans="1:7" ht="15.75">
      <c r="A232" s="166" t="s">
        <v>1185</v>
      </c>
    </row>
    <row r="233" spans="1:7">
      <c r="A233" s="202" t="s">
        <v>1167</v>
      </c>
    </row>
    <row r="234" spans="1:7">
      <c r="A234" s="202" t="s">
        <v>1168</v>
      </c>
    </row>
    <row r="235" spans="1:7" s="202" customFormat="1">
      <c r="A235" s="202" t="s">
        <v>1169</v>
      </c>
    </row>
    <row r="236" spans="1:7" s="202" customFormat="1">
      <c r="A236" s="202" t="s">
        <v>1194</v>
      </c>
    </row>
    <row r="237" spans="1:7" s="202" customFormat="1">
      <c r="A237" s="202" t="s">
        <v>1170</v>
      </c>
    </row>
    <row r="238" spans="1:7" s="202" customFormat="1"/>
    <row r="239" spans="1:7" s="202" customFormat="1" ht="15.75">
      <c r="A239" s="831" t="s">
        <v>1136</v>
      </c>
    </row>
    <row r="240" spans="1:7" s="202" customFormat="1">
      <c r="A240" s="202" t="s">
        <v>1135</v>
      </c>
    </row>
    <row r="241" spans="1:1" s="202" customFormat="1">
      <c r="A241" s="202" t="s">
        <v>1137</v>
      </c>
    </row>
    <row r="242" spans="1:1" s="202" customFormat="1">
      <c r="A242" s="202" t="s">
        <v>1134</v>
      </c>
    </row>
    <row r="243" spans="1:1" s="202" customFormat="1"/>
    <row r="244" spans="1:1" s="202" customFormat="1">
      <c r="A244" s="202" t="s">
        <v>1133</v>
      </c>
    </row>
    <row r="245" spans="1:1" s="202" customFormat="1" ht="182.1" customHeight="1"/>
    <row r="246" spans="1:1" s="202" customFormat="1">
      <c r="A246" s="202" t="s">
        <v>1195</v>
      </c>
    </row>
    <row r="247" spans="1:1" s="202" customFormat="1">
      <c r="A247" s="202" t="s">
        <v>1132</v>
      </c>
    </row>
    <row r="248" spans="1:1" s="202" customFormat="1">
      <c r="A248" s="202" t="s">
        <v>1138</v>
      </c>
    </row>
    <row r="249" spans="1:1" s="202" customFormat="1">
      <c r="A249" s="202" t="s">
        <v>1139</v>
      </c>
    </row>
    <row r="250" spans="1:1">
      <c r="A250" s="2" t="str">
        <f>"Complete the two questions starting in row "&amp;ROW('DATA TABLES'!A23)&amp;" of the 'DATA TABLES' Sheet."</f>
        <v>Complete the two questions starting in row 23 of the 'DATA TABLES' Sheet.</v>
      </c>
    </row>
    <row r="251" spans="1:1">
      <c r="A251" s="2" t="s">
        <v>1161</v>
      </c>
    </row>
  </sheetData>
  <sheetProtection algorithmName="SHA-512" hashValue="wlNYROoNMWZibp0vkbN33IEt6CG+/2mwa3Lxqbq955D2LFW5dx/vXHIUzS1p9FxiOfKgmpjsCsOHJiuRvDYlyA==" saltValue="8t0DP2Crt4+OypexkbfdWA==" spinCount="100000" sheet="1" objects="1" scenarios="1"/>
  <conditionalFormatting sqref="B210">
    <cfRule type="expression" dxfId="25" priority="3">
      <formula>AND(Graded,$B$210&lt;&gt;"",$AC$210=0)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 id="{F7D72445-6225-8F42-82E3-DD8D6473FE2A}">
            <xm:f>AND(Graded,X!$E$51=0)</xm:f>
            <x14:dxf>
              <font>
                <color rgb="FF9C0006"/>
              </font>
              <fill>
                <patternFill>
                  <bgColor rgb="FFFFC7CE"/>
                </patternFill>
              </fill>
            </x14:dxf>
          </x14:cfRule>
          <xm:sqref>B89</xm:sqref>
        </x14:conditionalFormatting>
        <x14:conditionalFormatting xmlns:xm="http://schemas.microsoft.com/office/excel/2006/main">
          <x14:cfRule type="expression" priority="1" id="{5ED908EE-116B-1645-A7B9-384B679A9ECC}">
            <xm:f>AND(Graded,X!$E$51=0)</xm:f>
            <x14:dxf>
              <font>
                <color rgb="FF9C0006"/>
              </font>
              <fill>
                <patternFill>
                  <bgColor rgb="FFFFC7CE"/>
                </patternFill>
              </fill>
            </x14:dxf>
          </x14:cfRule>
          <xm:sqref>B91</xm:sqref>
        </x14:conditionalFormatting>
        <x14:conditionalFormatting xmlns:xm="http://schemas.microsoft.com/office/excel/2006/main">
          <x14:cfRule type="expression" priority="155" id="{00000000-000E-0000-0300-00000D000000}">
            <xm:f>AND(Graded,X!$E$51=0)</xm:f>
            <x14:dxf>
              <font>
                <color rgb="FF9C0006"/>
              </font>
              <fill>
                <patternFill>
                  <bgColor rgb="FFFFC7CE"/>
                </patternFill>
              </fill>
            </x14:dxf>
          </x14:cfRule>
          <xm:sqref>B93:B121</xm:sqref>
        </x14:conditionalFormatting>
        <x14:conditionalFormatting xmlns:xm="http://schemas.microsoft.com/office/excel/2006/main">
          <x14:cfRule type="expression" priority="156" id="{00000000-000E-0000-0300-000003000000}">
            <xm:f>AND(Graded,X!S48=0)</xm:f>
            <x14:dxf>
              <font>
                <color rgb="FF9C0006"/>
              </font>
              <fill>
                <patternFill>
                  <bgColor rgb="FFFFC7CE"/>
                </patternFill>
              </fill>
            </x14:dxf>
          </x14:cfRule>
          <xm:sqref>E85:H85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531BF-2F6C-2646-B16C-C1A2178502F1}">
  <sheetPr published="0"/>
  <dimension ref="A1:P52"/>
  <sheetViews>
    <sheetView topLeftCell="A27" zoomScale="150" zoomScaleNormal="150" workbookViewId="0">
      <selection activeCell="C38" sqref="C38"/>
    </sheetView>
  </sheetViews>
  <sheetFormatPr defaultColWidth="11.125" defaultRowHeight="15.75"/>
  <cols>
    <col min="1" max="1" width="12.875" style="84" customWidth="1"/>
    <col min="2" max="16384" width="11.125" style="84"/>
  </cols>
  <sheetData>
    <row r="1" spans="1:12" s="81" customFormat="1" ht="18.75">
      <c r="A1" s="149" t="s">
        <v>1141</v>
      </c>
      <c r="H1" s="82" t="s">
        <v>54</v>
      </c>
    </row>
    <row r="2" spans="1:12" s="81" customFormat="1" ht="12.75">
      <c r="A2" s="83" t="s">
        <v>757</v>
      </c>
      <c r="H2" s="82"/>
    </row>
    <row r="3" spans="1:12" s="81" customFormat="1" ht="12.75">
      <c r="A3" s="2" t="s">
        <v>1146</v>
      </c>
    </row>
    <row r="4" spans="1:12" s="81" customFormat="1" ht="12.75">
      <c r="A4" s="83" t="str">
        <f ca="1">"Sheet: "&amp;MID(CELL("filename",A1),FIND("]",CELL("filename",A1))+1,255)</f>
        <v>Sheet: DATA TABLES</v>
      </c>
      <c r="K4" s="83"/>
    </row>
    <row r="5" spans="1:12" s="81" customFormat="1" ht="13.5" thickBot="1">
      <c r="A5" s="83"/>
      <c r="K5" s="83"/>
    </row>
    <row r="6" spans="1:12">
      <c r="A6" s="129" t="s">
        <v>462</v>
      </c>
      <c r="B6" s="687"/>
      <c r="C6" s="687"/>
      <c r="D6" s="687"/>
      <c r="E6" s="687"/>
      <c r="F6" s="687"/>
      <c r="G6" s="687"/>
      <c r="H6" s="687"/>
      <c r="I6" s="687"/>
      <c r="J6" s="687"/>
      <c r="K6" s="687"/>
      <c r="L6" s="688"/>
    </row>
    <row r="7" spans="1:12">
      <c r="A7" s="692" t="s">
        <v>742</v>
      </c>
      <c r="B7" s="693"/>
      <c r="C7" s="693"/>
      <c r="D7" s="693"/>
      <c r="E7" s="693"/>
      <c r="F7" s="693"/>
      <c r="G7" s="693"/>
      <c r="H7" s="693"/>
      <c r="I7" s="693"/>
      <c r="J7" s="693"/>
      <c r="K7" s="693"/>
      <c r="L7" s="694"/>
    </row>
    <row r="8" spans="1:12" ht="16.5" thickBot="1">
      <c r="A8" s="689" t="s">
        <v>806</v>
      </c>
      <c r="B8" s="690"/>
      <c r="C8" s="690"/>
      <c r="D8" s="690"/>
      <c r="E8" s="690"/>
      <c r="F8" s="690"/>
      <c r="G8" s="690"/>
      <c r="H8" s="690"/>
      <c r="I8" s="690"/>
      <c r="J8" s="690"/>
      <c r="K8" s="690"/>
      <c r="L8" s="691"/>
    </row>
    <row r="10" spans="1:12">
      <c r="A10" s="85" t="s">
        <v>819</v>
      </c>
    </row>
    <row r="11" spans="1:12" ht="16.5" thickBot="1">
      <c r="A11" s="85"/>
    </row>
    <row r="12" spans="1:12" ht="16.5" thickBot="1">
      <c r="A12" s="83" t="s">
        <v>657</v>
      </c>
      <c r="C12" s="86">
        <v>0.06</v>
      </c>
      <c r="E12" s="906" t="s">
        <v>1501</v>
      </c>
      <c r="F12" s="906"/>
    </row>
    <row r="13" spans="1:12" ht="16.5" thickBot="1">
      <c r="A13" s="83" t="s">
        <v>281</v>
      </c>
      <c r="C13" s="86">
        <v>0.1</v>
      </c>
    </row>
    <row r="14" spans="1:12">
      <c r="A14" s="85"/>
    </row>
    <row r="15" spans="1:12" s="87" customFormat="1" ht="12.75">
      <c r="E15" s="88" t="s">
        <v>283</v>
      </c>
    </row>
    <row r="16" spans="1:12" s="87" customFormat="1" ht="12.75">
      <c r="B16" s="89">
        <f>'EXCEL Financial Functions'!B187</f>
        <v>2649.9999999999995</v>
      </c>
      <c r="C16" s="90">
        <v>0.02</v>
      </c>
      <c r="D16" s="90">
        <v>0.04</v>
      </c>
      <c r="E16" s="90">
        <v>0.06</v>
      </c>
      <c r="F16" s="90">
        <v>0.08</v>
      </c>
      <c r="G16" s="90">
        <v>0.1</v>
      </c>
    </row>
    <row r="17" spans="1:9" s="87" customFormat="1" ht="12.75">
      <c r="B17" s="90">
        <v>0.06</v>
      </c>
      <c r="C17" s="1079"/>
      <c r="D17" s="944"/>
      <c r="E17" s="944"/>
      <c r="F17" s="944"/>
      <c r="G17" s="944"/>
    </row>
    <row r="18" spans="1:9" s="87" customFormat="1" ht="12.75">
      <c r="B18" s="90">
        <v>0.08</v>
      </c>
      <c r="C18" s="944"/>
      <c r="D18" s="944"/>
      <c r="E18" s="944"/>
      <c r="F18" s="944"/>
      <c r="G18" s="944"/>
      <c r="I18" s="91"/>
    </row>
    <row r="19" spans="1:9" s="87" customFormat="1" ht="12.75">
      <c r="A19" s="88" t="s">
        <v>281</v>
      </c>
      <c r="B19" s="90">
        <v>0.1</v>
      </c>
      <c r="C19" s="944"/>
      <c r="D19" s="944"/>
      <c r="E19" s="944"/>
      <c r="F19" s="944"/>
      <c r="G19" s="944"/>
    </row>
    <row r="20" spans="1:9" s="87" customFormat="1" ht="15.95" customHeight="1">
      <c r="B20" s="90">
        <v>0.12</v>
      </c>
      <c r="C20" s="944"/>
      <c r="D20" s="944"/>
      <c r="E20" s="944"/>
      <c r="F20" s="944"/>
      <c r="G20" s="944"/>
    </row>
    <row r="21" spans="1:9" s="87" customFormat="1" ht="12.75">
      <c r="B21" s="90">
        <v>0.14000000000000001</v>
      </c>
      <c r="C21" s="944"/>
      <c r="D21" s="944"/>
      <c r="E21" s="944"/>
      <c r="F21" s="944"/>
      <c r="G21" s="944"/>
    </row>
    <row r="22" spans="1:9">
      <c r="A22" s="85"/>
    </row>
    <row r="23" spans="1:9">
      <c r="A23" s="144" t="s">
        <v>1140</v>
      </c>
    </row>
    <row r="24" spans="1:9" s="87" customFormat="1" ht="12.75"/>
    <row r="25" spans="1:9" s="361" customFormat="1" ht="13.5" thickBot="1">
      <c r="B25" s="361" t="s">
        <v>1131</v>
      </c>
    </row>
    <row r="26" spans="1:9" s="361" customFormat="1" ht="13.5" thickBot="1">
      <c r="C26" s="143"/>
    </row>
    <row r="27" spans="1:9" s="361" customFormat="1" ht="13.5" thickBot="1">
      <c r="B27" s="361" t="s">
        <v>1251</v>
      </c>
    </row>
    <row r="28" spans="1:9" s="361" customFormat="1" ht="13.5" thickBot="1">
      <c r="C28" s="143"/>
      <c r="G28" s="364" t="s">
        <v>1130</v>
      </c>
      <c r="H28" s="364" t="s">
        <v>1129</v>
      </c>
      <c r="I28" s="364" t="s">
        <v>1128</v>
      </c>
    </row>
    <row r="29" spans="1:9">
      <c r="A29" s="85"/>
    </row>
    <row r="30" spans="1:9">
      <c r="A30" s="85" t="s">
        <v>820</v>
      </c>
    </row>
    <row r="31" spans="1:9">
      <c r="A31" s="950" t="s">
        <v>1603</v>
      </c>
    </row>
    <row r="32" spans="1:9" ht="16.5" thickBot="1"/>
    <row r="33" spans="1:15" ht="16.5" thickBot="1">
      <c r="B33" s="92" t="s">
        <v>1074</v>
      </c>
      <c r="C33" s="93">
        <v>150</v>
      </c>
    </row>
    <row r="34" spans="1:15" ht="16.5" thickBot="1">
      <c r="B34" s="92" t="s">
        <v>281</v>
      </c>
      <c r="C34" s="94">
        <v>0.12</v>
      </c>
      <c r="E34" s="95"/>
    </row>
    <row r="36" spans="1:15" s="96" customFormat="1" ht="12.75">
      <c r="D36" s="97" t="s">
        <v>1074</v>
      </c>
    </row>
    <row r="37" spans="1:15" s="96" customFormat="1" ht="12.75">
      <c r="B37" s="98">
        <f>'MODEL Manufacturing Strategy'!D145</f>
        <v>0</v>
      </c>
      <c r="C37" s="99">
        <v>100</v>
      </c>
      <c r="D37" s="99">
        <v>150</v>
      </c>
      <c r="E37" s="99">
        <v>300</v>
      </c>
      <c r="F37" s="100"/>
      <c r="G37" s="100"/>
      <c r="H37" s="100"/>
    </row>
    <row r="38" spans="1:15" s="96" customFormat="1" ht="12.75">
      <c r="B38" s="101">
        <v>0.08</v>
      </c>
      <c r="C38" s="116"/>
      <c r="D38" s="116"/>
      <c r="E38" s="116"/>
      <c r="F38" s="102"/>
      <c r="G38" s="102"/>
      <c r="H38" s="102"/>
      <c r="I38" s="945"/>
    </row>
    <row r="39" spans="1:15" s="96" customFormat="1" ht="12.75">
      <c r="A39" s="103" t="s">
        <v>659</v>
      </c>
      <c r="B39" s="101">
        <v>0.1</v>
      </c>
      <c r="C39" s="116"/>
      <c r="D39" s="116"/>
      <c r="E39" s="116"/>
      <c r="F39" s="102"/>
      <c r="G39" s="102"/>
      <c r="H39" s="102"/>
      <c r="J39" s="104"/>
    </row>
    <row r="40" spans="1:15" s="96" customFormat="1" ht="12.75">
      <c r="A40" s="103" t="s">
        <v>658</v>
      </c>
      <c r="B40" s="101">
        <v>0.12</v>
      </c>
      <c r="C40" s="116"/>
      <c r="D40" s="116"/>
      <c r="E40" s="116"/>
      <c r="F40" s="102"/>
      <c r="G40" s="102"/>
      <c r="H40" s="102"/>
    </row>
    <row r="41" spans="1:15" s="96" customFormat="1" ht="12.75">
      <c r="B41" s="101">
        <v>0.14000000000000001</v>
      </c>
      <c r="C41" s="116"/>
      <c r="D41" s="116"/>
      <c r="E41" s="116"/>
      <c r="F41" s="102"/>
      <c r="G41" s="102"/>
      <c r="H41" s="102"/>
    </row>
    <row r="43" spans="1:15">
      <c r="A43" s="85" t="s">
        <v>821</v>
      </c>
    </row>
    <row r="44" spans="1:15" ht="16.5" thickBot="1"/>
    <row r="45" spans="1:15" s="105" customFormat="1" ht="16.5" thickBot="1">
      <c r="B45" s="106" t="str">
        <f>C48</f>
        <v>Months to Advertise</v>
      </c>
      <c r="C45" s="76" t="s">
        <v>635</v>
      </c>
      <c r="D45" s="13"/>
      <c r="E45" s="84"/>
      <c r="F45" s="84"/>
      <c r="K45" s="107" t="s">
        <v>635</v>
      </c>
      <c r="N45" s="15"/>
      <c r="O45" s="15"/>
    </row>
    <row r="46" spans="1:15" s="105" customFormat="1" ht="13.5" thickBot="1">
      <c r="B46" s="14" t="s">
        <v>634</v>
      </c>
      <c r="C46" s="618">
        <v>0.01</v>
      </c>
      <c r="D46" s="13"/>
      <c r="E46" s="13"/>
      <c r="K46" s="108" t="s">
        <v>636</v>
      </c>
      <c r="N46" s="15"/>
      <c r="O46" s="15"/>
    </row>
    <row r="48" spans="1:15" s="105" customFormat="1" ht="12.75">
      <c r="A48" s="109"/>
      <c r="C48" s="1061" t="s">
        <v>1022</v>
      </c>
      <c r="D48" s="1062"/>
      <c r="E48" s="13"/>
      <c r="F48" s="110"/>
    </row>
    <row r="49" spans="1:16" s="105" customFormat="1" ht="12.75">
      <c r="B49" s="78">
        <f ca="1">'MODEL Product Introduction'!B238</f>
        <v>38.425365489737615</v>
      </c>
      <c r="C49" s="79" t="s">
        <v>635</v>
      </c>
      <c r="D49" s="75" t="s">
        <v>636</v>
      </c>
      <c r="E49" s="13"/>
      <c r="F49" s="14"/>
    </row>
    <row r="50" spans="1:16" s="105" customFormat="1" ht="17.100000000000001" customHeight="1">
      <c r="A50" s="111" t="s">
        <v>1021</v>
      </c>
      <c r="B50" s="616">
        <v>0.01</v>
      </c>
      <c r="C50" s="946"/>
      <c r="D50" s="946"/>
      <c r="E50" s="13"/>
      <c r="F50" s="13"/>
      <c r="I50" s="947"/>
    </row>
    <row r="51" spans="1:16" s="105" customFormat="1" ht="12.75">
      <c r="A51" s="111" t="s">
        <v>283</v>
      </c>
      <c r="B51" s="617">
        <v>1.4999999999999999E-2</v>
      </c>
      <c r="C51" s="946"/>
      <c r="D51" s="946"/>
      <c r="E51" s="112"/>
      <c r="F51" s="13"/>
    </row>
    <row r="52" spans="1:16" s="105" customFormat="1" ht="12.75">
      <c r="C52" s="13"/>
      <c r="D52" s="13"/>
      <c r="E52" s="13"/>
      <c r="F52" s="13"/>
      <c r="O52" s="15"/>
      <c r="P52" s="15"/>
    </row>
  </sheetData>
  <mergeCells count="1">
    <mergeCell ref="C48:D48"/>
  </mergeCells>
  <dataValidations count="1">
    <dataValidation type="list" allowBlank="1" showInputMessage="1" showErrorMessage="1" sqref="C45" xr:uid="{BCA4D6D9-B533-B049-8330-FA3B992D72E7}">
      <formula1>$K$45:$K$46</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F6EF-9B9D-4A46-ADE4-E00FF41BA71C}">
  <dimension ref="A1:AG100"/>
  <sheetViews>
    <sheetView tabSelected="1" topLeftCell="A47" zoomScale="120" zoomScaleNormal="120" workbookViewId="0">
      <selection activeCell="H94" sqref="H94"/>
    </sheetView>
  </sheetViews>
  <sheetFormatPr defaultColWidth="10.875" defaultRowHeight="12.75"/>
  <cols>
    <col min="1" max="1" width="5.875" style="2" customWidth="1"/>
    <col min="2" max="2" width="10.875" style="2"/>
    <col min="3" max="3" width="17.625" style="2" customWidth="1"/>
    <col min="4" max="24" width="10.875" style="2"/>
    <col min="25" max="26" width="10.875" style="2" customWidth="1"/>
    <col min="27" max="27" width="10.875" style="372" customWidth="1"/>
    <col min="28" max="52" width="10.875" style="2" customWidth="1"/>
    <col min="53" max="16384" width="10.875" style="2"/>
  </cols>
  <sheetData>
    <row r="1" spans="1:33" s="365" customFormat="1" ht="18.75">
      <c r="A1" s="149" t="s">
        <v>1141</v>
      </c>
      <c r="D1" s="366"/>
      <c r="E1" s="367"/>
      <c r="F1" s="366"/>
      <c r="G1" s="368" t="s">
        <v>54</v>
      </c>
      <c r="K1" s="369"/>
      <c r="AA1" s="370"/>
    </row>
    <row r="2" spans="1:33" s="365" customFormat="1">
      <c r="A2" s="2" t="s">
        <v>757</v>
      </c>
      <c r="D2" s="366"/>
      <c r="E2" s="367"/>
      <c r="F2" s="366"/>
      <c r="G2" s="366"/>
      <c r="H2" s="368"/>
      <c r="AA2" s="370"/>
    </row>
    <row r="3" spans="1:33" s="365" customFormat="1">
      <c r="A3" s="2" t="s">
        <v>1146</v>
      </c>
      <c r="D3" s="366"/>
      <c r="E3" s="367"/>
      <c r="F3" s="371"/>
      <c r="G3" s="367"/>
      <c r="H3" s="371"/>
      <c r="AA3" s="370"/>
    </row>
    <row r="4" spans="1:33" s="365" customFormat="1">
      <c r="A4" s="2" t="str">
        <f ca="1">"Sheet: "&amp;MID(CELL("filename",A1),FIND("]",CELL("filename",A1))+1,255)</f>
        <v>Sheet: MODEL Simple Company</v>
      </c>
      <c r="D4" s="366"/>
      <c r="E4" s="367"/>
      <c r="F4" s="366"/>
      <c r="G4" s="367"/>
      <c r="H4" s="371"/>
      <c r="AA4" s="370"/>
    </row>
    <row r="5" spans="1:33" ht="13.5" thickBot="1">
      <c r="A5" s="83"/>
    </row>
    <row r="6" spans="1:33" s="153" customFormat="1" ht="15.75">
      <c r="A6" s="150" t="s">
        <v>462</v>
      </c>
      <c r="B6" s="151"/>
      <c r="C6" s="151"/>
      <c r="D6" s="151"/>
      <c r="E6" s="151"/>
      <c r="F6" s="151"/>
      <c r="G6" s="151"/>
      <c r="H6" s="151"/>
      <c r="I6" s="151"/>
      <c r="J6" s="151"/>
      <c r="K6" s="152"/>
      <c r="M6"/>
      <c r="N6"/>
      <c r="O6"/>
      <c r="P6"/>
      <c r="Q6"/>
      <c r="R6"/>
      <c r="S6"/>
      <c r="T6"/>
      <c r="U6"/>
      <c r="V6"/>
      <c r="W6"/>
      <c r="X6"/>
      <c r="Y6"/>
      <c r="Z6"/>
      <c r="AA6"/>
      <c r="AB6"/>
      <c r="AC6"/>
      <c r="AD6"/>
      <c r="AE6"/>
      <c r="AF6"/>
      <c r="AG6"/>
    </row>
    <row r="7" spans="1:33" s="3" customFormat="1" ht="16.5" thickBot="1">
      <c r="A7" s="671" t="s">
        <v>1175</v>
      </c>
      <c r="B7" s="157"/>
      <c r="C7" s="157"/>
      <c r="D7" s="157"/>
      <c r="E7" s="157"/>
      <c r="F7" s="157"/>
      <c r="G7" s="157"/>
      <c r="H7" s="157"/>
      <c r="I7" s="157"/>
      <c r="J7" s="157"/>
      <c r="K7" s="158"/>
    </row>
    <row r="9" spans="1:33" s="33" customFormat="1">
      <c r="A9" s="373" t="s">
        <v>822</v>
      </c>
      <c r="B9" s="374"/>
      <c r="C9" s="374"/>
      <c r="D9" s="374"/>
      <c r="E9" s="374"/>
      <c r="F9" s="374"/>
      <c r="G9" s="374"/>
      <c r="H9" s="374"/>
      <c r="I9" s="374"/>
      <c r="J9" s="374"/>
      <c r="K9" s="375"/>
    </row>
    <row r="10" spans="1:33" s="33" customFormat="1">
      <c r="A10" s="376" t="s">
        <v>927</v>
      </c>
      <c r="K10" s="377"/>
    </row>
    <row r="11" spans="1:33" s="33" customFormat="1">
      <c r="A11" s="376" t="s">
        <v>928</v>
      </c>
      <c r="K11" s="377"/>
    </row>
    <row r="12" spans="1:33" s="33" customFormat="1">
      <c r="A12" s="373" t="s">
        <v>1210</v>
      </c>
      <c r="B12" s="374"/>
      <c r="C12" s="374"/>
      <c r="D12" s="374"/>
      <c r="E12" s="374"/>
      <c r="F12" s="374"/>
      <c r="G12" s="374"/>
      <c r="H12" s="374"/>
      <c r="I12" s="374"/>
      <c r="J12" s="374"/>
      <c r="K12" s="375"/>
    </row>
    <row r="13" spans="1:33" s="33" customFormat="1">
      <c r="A13" s="378" t="s">
        <v>827</v>
      </c>
      <c r="B13" s="379"/>
      <c r="C13" s="379"/>
      <c r="D13" s="379"/>
      <c r="E13" s="379"/>
      <c r="F13" s="379"/>
      <c r="G13" s="379"/>
      <c r="H13" s="379"/>
      <c r="I13" s="379"/>
      <c r="J13" s="379"/>
      <c r="K13" s="380"/>
    </row>
    <row r="14" spans="1:33" s="33" customFormat="1">
      <c r="A14" s="381"/>
    </row>
    <row r="15" spans="1:33">
      <c r="A15" s="2" t="str">
        <f>"In "&amp;INDEX(Workbook,18)&amp;", we introduced you to our Strategic Financial Analysis Model (SFAM)."</f>
        <v>In Financial Statement Analysis (Section III, Workbooks 3-6), we introduced you to our Strategic Financial Analysis Model (SFAM).</v>
      </c>
    </row>
    <row r="16" spans="1:33">
      <c r="A16" s="52" t="s">
        <v>1142</v>
      </c>
    </row>
    <row r="17" spans="1:2">
      <c r="A17" s="19" t="s">
        <v>1143</v>
      </c>
    </row>
    <row r="18" spans="1:2">
      <c r="A18" s="19" t="s">
        <v>1144</v>
      </c>
    </row>
    <row r="19" spans="1:2">
      <c r="A19" s="19" t="s">
        <v>737</v>
      </c>
    </row>
    <row r="20" spans="1:2">
      <c r="A20" s="168" t="s">
        <v>1145</v>
      </c>
    </row>
    <row r="21" spans="1:2">
      <c r="A21" s="2" t="s">
        <v>440</v>
      </c>
    </row>
    <row r="22" spans="1:2">
      <c r="A22" s="19" t="s">
        <v>441</v>
      </c>
    </row>
    <row r="23" spans="1:2">
      <c r="A23" s="19" t="s">
        <v>442</v>
      </c>
    </row>
    <row r="24" spans="1:2">
      <c r="A24" s="19" t="s">
        <v>443</v>
      </c>
    </row>
    <row r="25" spans="1:2">
      <c r="A25" s="168" t="s">
        <v>444</v>
      </c>
    </row>
    <row r="26" spans="1:2">
      <c r="A26" s="19" t="s">
        <v>666</v>
      </c>
    </row>
    <row r="27" spans="1:2">
      <c r="A27" s="19" t="s">
        <v>667</v>
      </c>
    </row>
    <row r="28" spans="1:2">
      <c r="A28" s="168" t="str">
        <f>"To answer the question in column "&amp;INDEX(Column,2,COLUMN(H28))&amp;", click on the yellow box to see the possible multiple choice answers and choose the correct answer."</f>
        <v>To answer the question in column H, click on the yellow box to see the possible multiple choice answers and choose the correct answer.</v>
      </c>
    </row>
    <row r="29" spans="1:2">
      <c r="A29" s="19" t="s">
        <v>629</v>
      </c>
    </row>
    <row r="30" spans="1:2">
      <c r="A30" s="19"/>
      <c r="B30" s="2" t="s">
        <v>704</v>
      </c>
    </row>
    <row r="31" spans="1:2">
      <c r="A31" s="19"/>
      <c r="B31" s="2" t="s">
        <v>731</v>
      </c>
    </row>
    <row r="32" spans="1:2">
      <c r="A32" s="19"/>
      <c r="B32" s="2" t="s">
        <v>796</v>
      </c>
    </row>
    <row r="33" spans="1:10">
      <c r="A33" s="913" t="s">
        <v>929</v>
      </c>
    </row>
    <row r="34" spans="1:10">
      <c r="A34" s="168" t="s">
        <v>732</v>
      </c>
    </row>
    <row r="35" spans="1:10">
      <c r="A35" s="19" t="s">
        <v>682</v>
      </c>
    </row>
    <row r="36" spans="1:10">
      <c r="A36" s="19" t="s">
        <v>718</v>
      </c>
    </row>
    <row r="37" spans="1:10">
      <c r="A37" s="19" t="s">
        <v>738</v>
      </c>
    </row>
    <row r="39" spans="1:10">
      <c r="B39" s="382" t="s">
        <v>683</v>
      </c>
      <c r="C39" s="383"/>
      <c r="D39" s="383"/>
      <c r="E39" s="383"/>
      <c r="F39" s="383"/>
      <c r="G39" s="383"/>
      <c r="H39" s="383"/>
      <c r="I39" s="383"/>
      <c r="J39" s="384"/>
    </row>
    <row r="40" spans="1:10">
      <c r="B40" s="385" t="s">
        <v>684</v>
      </c>
      <c r="C40" s="164"/>
      <c r="D40" s="164"/>
      <c r="E40" s="164"/>
      <c r="F40" s="164"/>
      <c r="G40" s="164"/>
      <c r="H40" s="164"/>
      <c r="I40" s="164"/>
      <c r="J40" s="386"/>
    </row>
    <row r="41" spans="1:10">
      <c r="B41" s="385" t="s">
        <v>685</v>
      </c>
      <c r="C41" s="164"/>
      <c r="D41" s="164"/>
      <c r="E41" s="164"/>
      <c r="F41" s="164"/>
      <c r="G41" s="164"/>
      <c r="H41" s="164"/>
      <c r="I41" s="164"/>
      <c r="J41" s="386"/>
    </row>
    <row r="42" spans="1:10">
      <c r="B42" s="385" t="str">
        <f>"So, first solve for the Revenues in the forecast year in column "&amp;INDEX(Column,2,COLUMN(F42))&amp;" by growing the prior year by the growth rate provided in red."</f>
        <v>So, first solve for the Revenues in the forecast year in column F by growing the prior year by the growth rate provided in red.</v>
      </c>
      <c r="C42" s="164"/>
      <c r="D42" s="164"/>
      <c r="E42" s="164"/>
      <c r="F42" s="164"/>
      <c r="G42" s="164"/>
      <c r="H42" s="164"/>
      <c r="I42" s="164"/>
      <c r="J42" s="386"/>
    </row>
    <row r="43" spans="1:10">
      <c r="B43" s="387" t="str">
        <f ca="1">"The formula in cell "&amp;INDEX(Column,2,COLUMN(F57))&amp;ROW(F57)&amp;" should calculate the "&amp;E55+1&amp;" Revenues based on the "&amp;E55&amp;" Revenues and the "&amp;E55&amp;" Growth Rate."</f>
        <v>The formula in cell F57 should calculate the 2023 Revenues based on the 2022 Revenues and the 2022 Growth Rate.</v>
      </c>
      <c r="C43" s="164"/>
      <c r="D43" s="164"/>
      <c r="E43" s="164"/>
      <c r="F43" s="164"/>
      <c r="G43" s="164"/>
      <c r="H43" s="164"/>
      <c r="I43" s="164"/>
      <c r="J43" s="386"/>
    </row>
    <row r="44" spans="1:10">
      <c r="B44" s="387" t="s">
        <v>686</v>
      </c>
      <c r="C44" s="164"/>
      <c r="D44" s="164"/>
      <c r="E44" s="164"/>
      <c r="F44" s="164"/>
      <c r="G44" s="164"/>
      <c r="H44" s="164"/>
      <c r="I44" s="164"/>
      <c r="J44" s="386"/>
    </row>
    <row r="45" spans="1:10">
      <c r="B45" s="387" t="s">
        <v>733</v>
      </c>
      <c r="C45" s="164"/>
      <c r="D45" s="164"/>
      <c r="E45" s="164"/>
      <c r="F45" s="164"/>
      <c r="G45" s="164"/>
      <c r="H45" s="164"/>
      <c r="I45" s="164"/>
      <c r="J45" s="386"/>
    </row>
    <row r="46" spans="1:10">
      <c r="B46" s="388" t="str">
        <f>"So, your next steps it calculate the historical Gross Profits (in "&amp;INDEX(Column,2,COLUMN(D57))&amp;ROW(D57)&amp;" and "&amp;INDEX(Column,2,COLUMN(E57))&amp;ROW(E57)&amp;") and the historical Gross Margin (in "&amp;INDEX(Column,2,COLUMN(D58))&amp;ROW(D58)&amp;" and "&amp;INDEX(Column,2,COLUMN(E58))&amp;ROW(E58)&amp;")."</f>
        <v>So, your next steps it calculate the historical Gross Profits (in D57 and E57) and the historical Gross Margin (in D58 and E58).</v>
      </c>
      <c r="C46" s="164"/>
      <c r="D46" s="164"/>
      <c r="E46" s="164"/>
      <c r="F46" s="164"/>
      <c r="G46" s="164"/>
      <c r="H46" s="164"/>
      <c r="I46" s="164"/>
      <c r="J46" s="386"/>
    </row>
    <row r="47" spans="1:10">
      <c r="B47" s="385" t="s">
        <v>687</v>
      </c>
      <c r="C47" s="164"/>
      <c r="D47" s="164"/>
      <c r="E47" s="164"/>
      <c r="F47" s="164"/>
      <c r="G47" s="164"/>
      <c r="H47" s="164"/>
      <c r="I47" s="164"/>
      <c r="J47" s="386"/>
    </row>
    <row r="48" spans="1:10">
      <c r="B48" s="385" t="s">
        <v>734</v>
      </c>
      <c r="C48" s="164"/>
      <c r="D48" s="164"/>
      <c r="E48" s="164"/>
      <c r="F48" s="164"/>
      <c r="G48" s="164"/>
      <c r="H48" s="164"/>
      <c r="I48" s="164"/>
      <c r="J48" s="386"/>
    </row>
    <row r="49" spans="1:27">
      <c r="B49" s="385" t="s">
        <v>688</v>
      </c>
      <c r="C49" s="164"/>
      <c r="D49" s="164"/>
      <c r="E49" s="164"/>
      <c r="F49" s="164"/>
      <c r="G49" s="164"/>
      <c r="H49" s="164"/>
      <c r="I49" s="164"/>
      <c r="J49" s="386"/>
    </row>
    <row r="50" spans="1:27">
      <c r="B50" s="387" t="s">
        <v>689</v>
      </c>
      <c r="C50" s="164"/>
      <c r="D50" s="164"/>
      <c r="E50" s="164"/>
      <c r="F50" s="164"/>
      <c r="G50" s="164"/>
      <c r="H50" s="164"/>
      <c r="I50" s="164"/>
      <c r="J50" s="386"/>
    </row>
    <row r="51" spans="1:27">
      <c r="B51" s="389" t="str">
        <f ca="1">"The formula in cell "&amp;INDEX(Column,2,COLUMN(F59))&amp;ROW(F59)&amp;" should calculate the "&amp;E55+1&amp;" Gross Profits based on the "&amp;E55+1&amp;" forecast Gross Margin and the "&amp;E55+1&amp;" forecast Revenues."</f>
        <v>The formula in cell F59 should calculate the 2023 Gross Profits based on the 2023 forecast Gross Margin and the 2023 forecast Revenues.</v>
      </c>
      <c r="C51" s="390"/>
      <c r="D51" s="390"/>
      <c r="E51" s="390"/>
      <c r="F51" s="390"/>
      <c r="G51" s="390"/>
      <c r="H51" s="390"/>
      <c r="I51" s="390"/>
      <c r="J51" s="391"/>
    </row>
    <row r="53" spans="1:27">
      <c r="A53" s="168" t="s">
        <v>1114</v>
      </c>
    </row>
    <row r="55" spans="1:27">
      <c r="D55" s="18">
        <f ca="1">E55-1</f>
        <v>2021</v>
      </c>
      <c r="E55" s="18">
        <f ca="1">YEAR(TODAY())-1</f>
        <v>2022</v>
      </c>
      <c r="F55" s="54" t="str">
        <f ca="1">E55+1&amp;"E"</f>
        <v>2023E</v>
      </c>
      <c r="H55" s="392" t="s">
        <v>426</v>
      </c>
      <c r="J55" s="18" t="s">
        <v>857</v>
      </c>
    </row>
    <row r="56" spans="1:27" ht="13.5" thickBot="1">
      <c r="A56" s="18" t="s">
        <v>75</v>
      </c>
      <c r="H56" s="393"/>
    </row>
    <row r="57" spans="1:27" ht="13.5" thickBot="1">
      <c r="B57" s="2" t="s">
        <v>81</v>
      </c>
      <c r="D57" s="367">
        <f>10000+X!$CJ$2</f>
        <v>10005</v>
      </c>
      <c r="E57" s="367">
        <f>D57*(1+E58)</f>
        <v>11005.5</v>
      </c>
      <c r="F57" s="7">
        <f>E57*(1+F58)</f>
        <v>12106.050000000001</v>
      </c>
      <c r="H57" s="393" t="s">
        <v>374</v>
      </c>
      <c r="J57" s="2" t="s">
        <v>427</v>
      </c>
      <c r="AA57" s="912" t="s">
        <v>424</v>
      </c>
    </row>
    <row r="58" spans="1:27" ht="13.5" thickBot="1">
      <c r="B58" s="19" t="s">
        <v>292</v>
      </c>
      <c r="E58" s="394">
        <v>0.1</v>
      </c>
      <c r="F58" s="395">
        <f>$E$58</f>
        <v>0.1</v>
      </c>
      <c r="H58" s="393" t="s">
        <v>425</v>
      </c>
      <c r="AA58" s="912" t="s">
        <v>374</v>
      </c>
    </row>
    <row r="59" spans="1:27" ht="13.5" thickBot="1">
      <c r="B59" s="2" t="s">
        <v>66</v>
      </c>
      <c r="D59" s="367">
        <f>$D$57*0.6</f>
        <v>6003</v>
      </c>
      <c r="E59" s="367">
        <f>$E$57*0.61</f>
        <v>6713.3549999999996</v>
      </c>
      <c r="F59" s="7">
        <f>F57-F60</f>
        <v>7384.6905000000006</v>
      </c>
      <c r="H59" s="393" t="s">
        <v>424</v>
      </c>
      <c r="AA59" s="912" t="s">
        <v>425</v>
      </c>
    </row>
    <row r="60" spans="1:27" ht="13.5" thickBot="1">
      <c r="B60" s="2" t="s">
        <v>282</v>
      </c>
      <c r="D60" s="7">
        <f>D57-D59</f>
        <v>4002</v>
      </c>
      <c r="E60" s="7">
        <f>E57-E59</f>
        <v>4292.1450000000004</v>
      </c>
      <c r="F60" s="7">
        <f>F61*F57</f>
        <v>4721.3595000000005</v>
      </c>
      <c r="H60" s="393" t="s">
        <v>374</v>
      </c>
      <c r="J60" s="2" t="s">
        <v>851</v>
      </c>
      <c r="AA60" s="2"/>
    </row>
    <row r="61" spans="1:27" ht="13.5" thickBot="1">
      <c r="B61" s="19" t="s">
        <v>82</v>
      </c>
      <c r="D61" s="8">
        <f>D60/D57</f>
        <v>0.4</v>
      </c>
      <c r="E61" s="8">
        <f>E60/E57</f>
        <v>0.39</v>
      </c>
      <c r="F61" s="396">
        <f>$E$61</f>
        <v>0.39</v>
      </c>
      <c r="H61" s="393" t="s">
        <v>425</v>
      </c>
      <c r="AA61" s="2"/>
    </row>
    <row r="62" spans="1:27" ht="13.5" thickBot="1">
      <c r="B62" s="2" t="s">
        <v>412</v>
      </c>
      <c r="D62" s="2">
        <v>1500</v>
      </c>
      <c r="E62" s="2">
        <v>1700</v>
      </c>
      <c r="F62" s="7">
        <f>F57*F63</f>
        <v>1870</v>
      </c>
      <c r="H62" s="393" t="s">
        <v>374</v>
      </c>
      <c r="J62" s="2" t="s">
        <v>852</v>
      </c>
      <c r="AA62" s="2"/>
    </row>
    <row r="63" spans="1:27" ht="13.5" thickBot="1">
      <c r="B63" s="19" t="s">
        <v>439</v>
      </c>
      <c r="D63" s="8">
        <f>D62/D57</f>
        <v>0.14992503748125938</v>
      </c>
      <c r="E63" s="8">
        <f>E62/E57</f>
        <v>0.15446822043523692</v>
      </c>
      <c r="F63" s="396">
        <f>$E$63</f>
        <v>0.15446822043523692</v>
      </c>
      <c r="H63" s="393" t="s">
        <v>425</v>
      </c>
      <c r="AA63" s="2"/>
    </row>
    <row r="64" spans="1:27" ht="13.5" thickBot="1">
      <c r="B64" s="2" t="s">
        <v>227</v>
      </c>
      <c r="D64" s="7">
        <f>D60-D62</f>
        <v>2502</v>
      </c>
      <c r="E64" s="7">
        <f>E60-E62</f>
        <v>2592.1450000000004</v>
      </c>
      <c r="F64" s="7">
        <f>F60-F62</f>
        <v>2851.3595000000005</v>
      </c>
      <c r="H64" s="393" t="s">
        <v>424</v>
      </c>
      <c r="J64" s="2" t="s">
        <v>853</v>
      </c>
    </row>
    <row r="65" spans="1:27" ht="13.5" thickBot="1">
      <c r="B65" s="2" t="s">
        <v>478</v>
      </c>
      <c r="D65" s="705">
        <f>D73*D66</f>
        <v>50.400000000000006</v>
      </c>
      <c r="E65" s="20">
        <f>D73*E66</f>
        <v>50.400000000000006</v>
      </c>
      <c r="F65" s="7">
        <f>F66*E73</f>
        <v>340.58500000000004</v>
      </c>
      <c r="H65" s="393" t="s">
        <v>374</v>
      </c>
      <c r="J65" s="2" t="s">
        <v>1504</v>
      </c>
    </row>
    <row r="66" spans="1:27" ht="13.5" thickBot="1">
      <c r="B66" s="19" t="s">
        <v>59</v>
      </c>
      <c r="D66" s="22">
        <v>0.05</v>
      </c>
      <c r="E66" s="394">
        <v>0.05</v>
      </c>
      <c r="F66" s="397">
        <f>E66</f>
        <v>0.05</v>
      </c>
      <c r="H66" s="393" t="s">
        <v>425</v>
      </c>
    </row>
    <row r="67" spans="1:27" ht="13.5" thickBot="1">
      <c r="B67" s="2" t="s">
        <v>438</v>
      </c>
      <c r="D67" s="7">
        <f>D64+D65</f>
        <v>2552.4</v>
      </c>
      <c r="E67" s="7">
        <f>E64+E65</f>
        <v>2642.5450000000005</v>
      </c>
      <c r="F67" s="7">
        <f>F64+F65</f>
        <v>3191.9445000000005</v>
      </c>
      <c r="H67" s="398" t="s">
        <v>424</v>
      </c>
      <c r="J67" s="2" t="s">
        <v>854</v>
      </c>
    </row>
    <row r="68" spans="1:27" ht="13.5" thickBot="1">
      <c r="B68" s="2" t="s">
        <v>60</v>
      </c>
      <c r="D68" s="20">
        <f>D67*0.3</f>
        <v>765.72</v>
      </c>
      <c r="E68" s="20">
        <f>E67*0.29</f>
        <v>766.33805000000007</v>
      </c>
      <c r="F68" s="750">
        <f>F69*F67</f>
        <v>906.43780331551272</v>
      </c>
      <c r="H68" s="393" t="s">
        <v>374</v>
      </c>
      <c r="J68" s="2" t="s">
        <v>855</v>
      </c>
    </row>
    <row r="69" spans="1:27" ht="13.5" thickBot="1">
      <c r="B69" s="19" t="s">
        <v>61</v>
      </c>
      <c r="D69" s="8">
        <f>D67/D70</f>
        <v>0.3001058201058201</v>
      </c>
      <c r="E69" s="8">
        <f>E67/E70</f>
        <v>0.28397668045779384</v>
      </c>
      <c r="F69" s="396">
        <f>$E$69</f>
        <v>0.28397668045779384</v>
      </c>
      <c r="H69" s="393" t="s">
        <v>425</v>
      </c>
    </row>
    <row r="70" spans="1:27" ht="13.5" thickBot="1">
      <c r="B70" s="2" t="s">
        <v>56</v>
      </c>
      <c r="D70" s="7">
        <f>D57-D62</f>
        <v>8505</v>
      </c>
      <c r="E70" s="7">
        <f>E57-E62</f>
        <v>9305.5</v>
      </c>
      <c r="F70" s="7">
        <f>F57-F62</f>
        <v>10236.050000000001</v>
      </c>
      <c r="H70" s="34" t="s">
        <v>424</v>
      </c>
      <c r="AA70" s="2" t="s">
        <v>424</v>
      </c>
    </row>
    <row r="71" spans="1:27">
      <c r="H71" s="393"/>
      <c r="AA71" s="2"/>
    </row>
    <row r="72" spans="1:27" ht="13.5" thickBot="1">
      <c r="A72" s="18" t="s">
        <v>76</v>
      </c>
      <c r="D72" s="56"/>
      <c r="E72" s="56"/>
      <c r="F72" s="56"/>
      <c r="H72" s="393"/>
      <c r="AA72" s="2"/>
    </row>
    <row r="73" spans="1:27" ht="13.5" thickBot="1">
      <c r="B73" s="343" t="s">
        <v>284</v>
      </c>
      <c r="D73" s="367">
        <f>1000+X!CJ3</f>
        <v>1008</v>
      </c>
      <c r="E73" s="7">
        <f>D73+D99</f>
        <v>6811.7000000000007</v>
      </c>
      <c r="F73" s="7">
        <f>E73+E99</f>
        <v>13195.7</v>
      </c>
      <c r="H73" s="393" t="s">
        <v>424</v>
      </c>
      <c r="J73" s="2" t="s">
        <v>1606</v>
      </c>
      <c r="AA73" s="2"/>
    </row>
    <row r="74" spans="1:27" ht="13.5" thickBot="1">
      <c r="B74" s="343" t="s">
        <v>63</v>
      </c>
      <c r="D74" s="20">
        <v>1500</v>
      </c>
      <c r="E74" s="20">
        <v>1600</v>
      </c>
      <c r="F74" s="7">
        <f>(F57*F75)/365</f>
        <v>1760</v>
      </c>
      <c r="H74" s="34" t="s">
        <v>374</v>
      </c>
      <c r="J74" s="2" t="s">
        <v>1126</v>
      </c>
      <c r="AA74" s="2" t="s">
        <v>374</v>
      </c>
    </row>
    <row r="75" spans="1:27" ht="13.5" thickBot="1">
      <c r="B75" s="399" t="s">
        <v>285</v>
      </c>
      <c r="D75" s="7">
        <f>(D74/D57)*365</f>
        <v>54.722638680659671</v>
      </c>
      <c r="E75" s="7">
        <f>(E74/E57)*365</f>
        <v>53.064376902457859</v>
      </c>
      <c r="F75" s="400">
        <f>$E$75</f>
        <v>53.064376902457859</v>
      </c>
      <c r="H75" s="34" t="s">
        <v>425</v>
      </c>
      <c r="J75" s="2" t="s">
        <v>1124</v>
      </c>
      <c r="AA75" s="2" t="s">
        <v>425</v>
      </c>
    </row>
    <row r="76" spans="1:27" ht="13.5" thickBot="1">
      <c r="B76" s="343" t="s">
        <v>68</v>
      </c>
      <c r="D76" s="367">
        <f>15000+X!CJ4</f>
        <v>15007</v>
      </c>
      <c r="E76" s="7">
        <f>D76+E96+E93</f>
        <v>15507.7</v>
      </c>
      <c r="F76" s="7">
        <f>E76+F96-F93</f>
        <v>12956.93</v>
      </c>
      <c r="H76" s="393" t="s">
        <v>424</v>
      </c>
      <c r="J76" s="2" t="s">
        <v>856</v>
      </c>
      <c r="AA76" s="2"/>
    </row>
    <row r="77" spans="1:27" ht="13.5" thickBot="1">
      <c r="B77" s="343" t="s">
        <v>67</v>
      </c>
      <c r="D77" s="20">
        <v>1000</v>
      </c>
      <c r="E77" s="20">
        <v>1200</v>
      </c>
      <c r="F77" s="24">
        <f>(F59*F78)/365</f>
        <v>1320.0000000000002</v>
      </c>
      <c r="H77" s="393" t="s">
        <v>374</v>
      </c>
      <c r="J77" s="2" t="s">
        <v>1127</v>
      </c>
      <c r="AA77" s="2"/>
    </row>
    <row r="78" spans="1:27" ht="13.5" thickBot="1">
      <c r="B78" s="399" t="s">
        <v>286</v>
      </c>
      <c r="D78" s="7">
        <f>(D77/D59)*365</f>
        <v>60.802931867399636</v>
      </c>
      <c r="E78" s="7">
        <f>(E77/E59)*365</f>
        <v>65.243086355480983</v>
      </c>
      <c r="F78" s="400">
        <f>$E$78</f>
        <v>65.243086355480983</v>
      </c>
      <c r="H78" s="393" t="s">
        <v>425</v>
      </c>
      <c r="J78" s="2" t="s">
        <v>1125</v>
      </c>
      <c r="AA78" s="2"/>
    </row>
    <row r="79" spans="1:27" ht="13.5" thickBot="1">
      <c r="B79" s="343" t="s">
        <v>88</v>
      </c>
      <c r="D79" s="20">
        <v>12500</v>
      </c>
      <c r="E79" s="7">
        <f>D79+E70-E97</f>
        <v>25527.7</v>
      </c>
      <c r="F79" s="7">
        <f>E79+F70-F97</f>
        <v>39858.17</v>
      </c>
      <c r="H79" s="34" t="s">
        <v>424</v>
      </c>
      <c r="J79" s="2" t="s">
        <v>1105</v>
      </c>
      <c r="AA79" s="2" t="s">
        <v>424</v>
      </c>
    </row>
    <row r="80" spans="1:27">
      <c r="D80" s="20"/>
      <c r="E80" s="20"/>
      <c r="F80" s="20"/>
      <c r="H80" s="393"/>
      <c r="J80" s="2" t="s">
        <v>908</v>
      </c>
    </row>
    <row r="81" spans="1:10">
      <c r="B81" s="401" t="s">
        <v>673</v>
      </c>
      <c r="C81" s="383"/>
      <c r="D81" s="402"/>
      <c r="E81" s="402"/>
      <c r="F81" s="402"/>
      <c r="G81" s="383"/>
      <c r="H81" s="403"/>
    </row>
    <row r="82" spans="1:10">
      <c r="B82" s="387" t="s">
        <v>674</v>
      </c>
      <c r="C82" s="164"/>
      <c r="D82" s="404"/>
      <c r="E82" s="404"/>
      <c r="F82" s="404"/>
      <c r="G82" s="164"/>
      <c r="H82" s="405"/>
    </row>
    <row r="83" spans="1:10">
      <c r="B83" s="387" t="s">
        <v>677</v>
      </c>
      <c r="C83" s="164"/>
      <c r="D83" s="404"/>
      <c r="E83" s="404"/>
      <c r="F83" s="404"/>
      <c r="G83" s="164"/>
      <c r="H83" s="405"/>
    </row>
    <row r="84" spans="1:10">
      <c r="B84" s="406" t="s">
        <v>735</v>
      </c>
      <c r="C84" s="164"/>
      <c r="D84" s="404"/>
      <c r="E84" s="404"/>
      <c r="F84" s="404"/>
      <c r="G84" s="164"/>
      <c r="H84" s="405"/>
    </row>
    <row r="85" spans="1:10">
      <c r="B85" s="387" t="s">
        <v>678</v>
      </c>
      <c r="C85" s="164"/>
      <c r="D85" s="404"/>
      <c r="E85" s="404"/>
      <c r="F85" s="404"/>
      <c r="G85" s="164"/>
      <c r="H85" s="405"/>
    </row>
    <row r="86" spans="1:10">
      <c r="B86" s="387" t="s">
        <v>680</v>
      </c>
      <c r="C86" s="164"/>
      <c r="D86" s="404"/>
      <c r="E86" s="404"/>
      <c r="F86" s="404"/>
      <c r="G86" s="164"/>
      <c r="H86" s="405"/>
    </row>
    <row r="87" spans="1:10">
      <c r="B87" s="387" t="s">
        <v>679</v>
      </c>
      <c r="C87" s="164"/>
      <c r="D87" s="404"/>
      <c r="E87" s="404"/>
      <c r="F87" s="404"/>
      <c r="G87" s="164"/>
      <c r="H87" s="405"/>
    </row>
    <row r="88" spans="1:10">
      <c r="B88" s="407" t="s">
        <v>675</v>
      </c>
      <c r="C88" s="164"/>
      <c r="D88" s="404"/>
      <c r="E88" s="404"/>
      <c r="F88" s="404"/>
      <c r="G88" s="164"/>
      <c r="H88" s="405"/>
    </row>
    <row r="89" spans="1:10">
      <c r="B89" s="389" t="s">
        <v>676</v>
      </c>
      <c r="C89" s="390"/>
      <c r="D89" s="408"/>
      <c r="E89" s="408"/>
      <c r="F89" s="408"/>
      <c r="G89" s="390"/>
      <c r="H89" s="409"/>
    </row>
    <row r="90" spans="1:10">
      <c r="D90" s="20"/>
      <c r="E90" s="20"/>
      <c r="F90" s="20"/>
      <c r="H90" s="393"/>
    </row>
    <row r="91" spans="1:10" ht="13.5" thickBot="1">
      <c r="A91" s="18" t="s">
        <v>77</v>
      </c>
      <c r="D91" s="20"/>
      <c r="E91" s="20"/>
      <c r="F91" s="20"/>
      <c r="H91" s="393"/>
    </row>
    <row r="92" spans="1:10" ht="13.5" thickBot="1">
      <c r="B92" s="2" t="s">
        <v>56</v>
      </c>
      <c r="D92" s="7">
        <f>D70</f>
        <v>8505</v>
      </c>
      <c r="E92" s="7">
        <f>E70</f>
        <v>9305.5</v>
      </c>
      <c r="F92" s="7">
        <f>F70</f>
        <v>10236.050000000001</v>
      </c>
      <c r="H92" s="393" t="s">
        <v>424</v>
      </c>
    </row>
    <row r="93" spans="1:10" ht="13.5" thickBot="1">
      <c r="B93" s="410" t="s">
        <v>437</v>
      </c>
      <c r="D93" s="20">
        <f>D76*10%</f>
        <v>1500.7</v>
      </c>
      <c r="E93" s="7">
        <f>D76*10%</f>
        <v>1500.7</v>
      </c>
      <c r="F93" s="7">
        <f>E76*10%</f>
        <v>1550.7700000000002</v>
      </c>
      <c r="H93" s="393" t="s">
        <v>424</v>
      </c>
      <c r="J93" s="2" t="s">
        <v>1542</v>
      </c>
    </row>
    <row r="94" spans="1:10" ht="13.5" thickBot="1">
      <c r="B94" s="411" t="s">
        <v>433</v>
      </c>
      <c r="C94" s="412"/>
      <c r="D94" s="413">
        <v>0</v>
      </c>
      <c r="E94" s="25">
        <f>E74-D74</f>
        <v>100</v>
      </c>
      <c r="F94" s="25">
        <f>F74-E74</f>
        <v>160</v>
      </c>
      <c r="G94" s="412"/>
      <c r="H94" s="34" t="s">
        <v>424</v>
      </c>
      <c r="J94" s="2" t="s">
        <v>850</v>
      </c>
    </row>
    <row r="95" spans="1:10" ht="13.5" thickBot="1">
      <c r="B95" s="307" t="s">
        <v>434</v>
      </c>
      <c r="D95" s="367">
        <v>0</v>
      </c>
      <c r="E95" s="7">
        <f>E77-D77</f>
        <v>200</v>
      </c>
      <c r="F95" s="7">
        <f>F77-E77</f>
        <v>120.00000000000023</v>
      </c>
      <c r="H95" s="393" t="s">
        <v>424</v>
      </c>
      <c r="J95" s="2" t="s">
        <v>849</v>
      </c>
    </row>
    <row r="96" spans="1:10" ht="13.5" thickBot="1">
      <c r="B96" s="411" t="s">
        <v>435</v>
      </c>
      <c r="C96" s="412"/>
      <c r="D96" s="413">
        <v>-800</v>
      </c>
      <c r="E96" s="413">
        <v>-1000</v>
      </c>
      <c r="F96" s="413">
        <v>-1000</v>
      </c>
      <c r="H96" s="393" t="s">
        <v>424</v>
      </c>
    </row>
    <row r="97" spans="2:27" ht="13.5" thickBot="1">
      <c r="B97" s="411" t="s">
        <v>436</v>
      </c>
      <c r="C97" s="412"/>
      <c r="D97" s="413">
        <f>-D92*40%</f>
        <v>-3402</v>
      </c>
      <c r="E97" s="413">
        <f>-E92*40%</f>
        <v>-3722.2000000000003</v>
      </c>
      <c r="F97" s="25">
        <f>-F92*F98</f>
        <v>-4094.4200000000005</v>
      </c>
      <c r="H97" s="393" t="s">
        <v>424</v>
      </c>
      <c r="J97" s="2" t="s">
        <v>1123</v>
      </c>
    </row>
    <row r="98" spans="2:27" ht="13.5" thickBot="1">
      <c r="B98" s="415" t="s">
        <v>62</v>
      </c>
      <c r="D98" s="394">
        <f>IFERROR(-D97/D70,"")</f>
        <v>0.4</v>
      </c>
      <c r="E98" s="394">
        <f>IFERROR(-E97/E70,"")</f>
        <v>0.4</v>
      </c>
      <c r="F98" s="397">
        <f>$E$98</f>
        <v>0.4</v>
      </c>
      <c r="H98" s="393" t="s">
        <v>374</v>
      </c>
      <c r="AA98" s="2"/>
    </row>
    <row r="99" spans="2:27" ht="13.5" thickBot="1">
      <c r="B99" s="416" t="s">
        <v>445</v>
      </c>
      <c r="C99" s="18"/>
      <c r="D99" s="417">
        <f>SUM(D92:D97)</f>
        <v>5803.7000000000007</v>
      </c>
      <c r="E99" s="16">
        <f>SUM(E92:E97)</f>
        <v>6384</v>
      </c>
      <c r="F99" s="16">
        <f>SUM(F92:F97)</f>
        <v>6972.4000000000015</v>
      </c>
      <c r="H99" s="393" t="s">
        <v>424</v>
      </c>
    </row>
    <row r="100" spans="2:27">
      <c r="H100" s="393"/>
    </row>
  </sheetData>
  <sheetProtection algorithmName="SHA-512" hashValue="GpWFqrwaVl5ILvEcnunSIF0azru02bGPHyWFzAUNjfqf6FeAutzSexFEHG9SrN+YGbrp+bPPxqjclwjIQNU39g==" saltValue="37HaZHq6zxXJMHVEkCAiZw==" spinCount="100000" sheet="1" objects="1" scenarios="1"/>
  <conditionalFormatting sqref="H70 H74:H75 H79">
    <cfRule type="expression" dxfId="23" priority="1">
      <formula>AND($H70&lt;&gt;"",$H70&lt;&gt;$AA70)</formula>
    </cfRule>
  </conditionalFormatting>
  <dataValidations count="1">
    <dataValidation type="list" allowBlank="1" showInputMessage="1" showErrorMessage="1" sqref="H70 H74:H75 H79 H94" xr:uid="{39488AB6-099D-3540-AA42-0C72D4AF12C0}">
      <formula1>$AA$57:$AA$59</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7AAD5-10AC-6746-8D2F-683D4F9CA6A5}">
  <dimension ref="A1:AL149"/>
  <sheetViews>
    <sheetView topLeftCell="A93" zoomScale="130" zoomScaleNormal="130" workbookViewId="0">
      <selection activeCell="B113" sqref="B113"/>
    </sheetView>
  </sheetViews>
  <sheetFormatPr defaultColWidth="10.625" defaultRowHeight="15.75"/>
  <cols>
    <col min="2" max="2" width="12.625" customWidth="1"/>
    <col min="4" max="8" width="8.875" customWidth="1"/>
    <col min="9" max="9" width="4.125" customWidth="1"/>
    <col min="10" max="14" width="8.875" customWidth="1"/>
    <col min="25" max="54" width="10.625" customWidth="1"/>
  </cols>
  <sheetData>
    <row r="1" spans="1:33" s="365" customFormat="1" ht="18.75">
      <c r="A1" s="149" t="s">
        <v>1141</v>
      </c>
      <c r="G1" s="368" t="s">
        <v>54</v>
      </c>
      <c r="L1" s="369"/>
    </row>
    <row r="2" spans="1:33" s="365" customFormat="1" ht="12.75">
      <c r="A2" s="2" t="s">
        <v>757</v>
      </c>
      <c r="G2" s="368"/>
    </row>
    <row r="3" spans="1:33" s="365" customFormat="1" ht="12.75">
      <c r="A3" s="2" t="s">
        <v>1146</v>
      </c>
    </row>
    <row r="4" spans="1:33" s="365" customFormat="1" ht="12.75">
      <c r="A4" s="2" t="str">
        <f ca="1">"Sheet: "&amp;MID(CELL("filename",A1),FIND("]",CELL("filename",A1))+1,255)</f>
        <v>Sheet: MODEL Marketing Stratagy</v>
      </c>
      <c r="H4" s="369"/>
    </row>
    <row r="5" spans="1:33" s="2" customFormat="1" ht="13.5" thickBot="1"/>
    <row r="6" spans="1:33" s="153" customFormat="1">
      <c r="A6" s="150" t="s">
        <v>462</v>
      </c>
      <c r="B6" s="151"/>
      <c r="C6" s="151"/>
      <c r="D6" s="151"/>
      <c r="E6" s="151"/>
      <c r="F6" s="151"/>
      <c r="G6" s="151"/>
      <c r="H6" s="151"/>
      <c r="I6" s="151"/>
      <c r="J6" s="151"/>
      <c r="K6" s="152"/>
      <c r="M6"/>
      <c r="N6"/>
      <c r="O6"/>
      <c r="P6"/>
      <c r="Q6"/>
      <c r="R6"/>
      <c r="S6"/>
      <c r="T6"/>
      <c r="U6"/>
      <c r="V6"/>
      <c r="W6"/>
      <c r="X6"/>
      <c r="Y6"/>
      <c r="Z6"/>
      <c r="AA6"/>
      <c r="AB6"/>
      <c r="AC6"/>
      <c r="AD6"/>
      <c r="AE6"/>
      <c r="AF6"/>
      <c r="AG6"/>
    </row>
    <row r="7" spans="1:33" s="3" customFormat="1" ht="16.5" thickBot="1">
      <c r="A7" s="671" t="s">
        <v>1175</v>
      </c>
      <c r="B7" s="157"/>
      <c r="C7" s="157"/>
      <c r="D7" s="157"/>
      <c r="E7" s="157"/>
      <c r="F7" s="157"/>
      <c r="G7" s="157"/>
      <c r="H7" s="157"/>
      <c r="I7" s="157"/>
      <c r="J7" s="157"/>
      <c r="K7" s="158"/>
    </row>
    <row r="8" spans="1:33" s="2" customFormat="1" ht="12.75"/>
    <row r="9" spans="1:33" s="381" customFormat="1" ht="12.75">
      <c r="A9" s="373" t="s">
        <v>822</v>
      </c>
      <c r="B9" s="418"/>
      <c r="C9" s="418"/>
      <c r="D9" s="418"/>
      <c r="E9" s="418"/>
      <c r="F9" s="418"/>
      <c r="G9" s="418"/>
      <c r="H9" s="418"/>
      <c r="I9" s="418"/>
      <c r="J9" s="418"/>
      <c r="K9" s="419"/>
    </row>
    <row r="10" spans="1:33" s="381" customFormat="1" ht="14.1" customHeight="1">
      <c r="A10" s="420" t="s">
        <v>846</v>
      </c>
      <c r="K10" s="421"/>
    </row>
    <row r="11" spans="1:33" s="381" customFormat="1" ht="14.1" customHeight="1">
      <c r="A11" s="420" t="s">
        <v>847</v>
      </c>
      <c r="K11" s="421"/>
    </row>
    <row r="12" spans="1:33" s="381" customFormat="1" ht="14.1" customHeight="1">
      <c r="A12" s="420" t="s">
        <v>825</v>
      </c>
      <c r="K12" s="421"/>
    </row>
    <row r="13" spans="1:33" s="381" customFormat="1" ht="12.75">
      <c r="A13" s="373" t="s">
        <v>1210</v>
      </c>
      <c r="B13" s="418"/>
      <c r="C13" s="418"/>
      <c r="D13" s="418"/>
      <c r="E13" s="418"/>
      <c r="F13" s="418"/>
      <c r="G13" s="418"/>
      <c r="H13" s="418"/>
      <c r="I13" s="418"/>
      <c r="J13" s="418"/>
      <c r="K13" s="419"/>
    </row>
    <row r="14" spans="1:33" s="381" customFormat="1" ht="12.75">
      <c r="A14" s="378" t="s">
        <v>828</v>
      </c>
      <c r="B14" s="422"/>
      <c r="C14" s="422"/>
      <c r="D14" s="422"/>
      <c r="E14" s="422"/>
      <c r="F14" s="422"/>
      <c r="G14" s="422"/>
      <c r="H14" s="422"/>
      <c r="I14" s="422"/>
      <c r="J14" s="422"/>
      <c r="K14" s="423"/>
    </row>
    <row r="15" spans="1:33" s="381" customFormat="1" ht="12.75"/>
    <row r="16" spans="1:33" s="2" customFormat="1" ht="12.75">
      <c r="A16" s="343" t="s">
        <v>277</v>
      </c>
      <c r="K16" s="51"/>
      <c r="L16" s="51"/>
      <c r="M16" s="51"/>
      <c r="N16" s="51"/>
    </row>
    <row r="17" spans="1:14" s="2" customFormat="1" ht="12.75">
      <c r="A17" s="343" t="s">
        <v>1212</v>
      </c>
      <c r="K17" s="51"/>
      <c r="L17" s="51"/>
      <c r="M17" s="51"/>
      <c r="N17" s="51"/>
    </row>
    <row r="18" spans="1:14" s="2" customFormat="1" ht="12.75">
      <c r="A18" s="68" t="s">
        <v>944</v>
      </c>
      <c r="K18" s="51"/>
      <c r="L18" s="51"/>
      <c r="M18" s="51"/>
      <c r="N18" s="51"/>
    </row>
    <row r="19" spans="1:14" s="2" customFormat="1" ht="12.75">
      <c r="A19" s="343"/>
      <c r="K19" s="51"/>
      <c r="L19" s="51"/>
      <c r="M19" s="51"/>
      <c r="N19" s="51"/>
    </row>
    <row r="20" spans="1:14" s="2" customFormat="1" ht="12.75">
      <c r="A20" s="722" t="s">
        <v>1211</v>
      </c>
    </row>
    <row r="21" spans="1:14" s="2" customFormat="1" ht="12.75">
      <c r="A21" s="52" t="s">
        <v>943</v>
      </c>
      <c r="K21" s="631"/>
      <c r="L21" s="631"/>
      <c r="M21" s="631"/>
      <c r="N21" s="631"/>
    </row>
    <row r="22" spans="1:14" s="19" customFormat="1" ht="12.75">
      <c r="A22" s="399" t="s">
        <v>1213</v>
      </c>
    </row>
    <row r="23" spans="1:14" s="2" customFormat="1" ht="12.75">
      <c r="A23" s="192" t="s">
        <v>1521</v>
      </c>
    </row>
    <row r="24" spans="1:14" s="2" customFormat="1" ht="12.75"/>
    <row r="25" spans="1:14" s="2" customFormat="1" ht="12.75">
      <c r="A25" s="416" t="s">
        <v>1214</v>
      </c>
    </row>
    <row r="26" spans="1:14" s="2" customFormat="1" ht="12.75">
      <c r="A26" s="2" t="s">
        <v>671</v>
      </c>
    </row>
    <row r="27" spans="1:14" s="2" customFormat="1" ht="12.75">
      <c r="A27" s="2" t="s">
        <v>390</v>
      </c>
    </row>
    <row r="28" spans="1:14" s="2" customFormat="1" ht="12.75">
      <c r="A28" s="19" t="s">
        <v>1215</v>
      </c>
    </row>
    <row r="29" spans="1:14" s="2" customFormat="1" ht="12.75">
      <c r="A29" s="2" t="s">
        <v>1216</v>
      </c>
    </row>
    <row r="30" spans="1:14" s="2" customFormat="1" ht="12.75">
      <c r="A30" s="19" t="s">
        <v>1217</v>
      </c>
    </row>
    <row r="31" spans="1:14" s="2" customFormat="1" ht="12.75">
      <c r="A31" s="19" t="s">
        <v>1218</v>
      </c>
    </row>
    <row r="32" spans="1:14" s="2" customFormat="1" ht="12.75">
      <c r="A32" s="168" t="s">
        <v>1112</v>
      </c>
    </row>
    <row r="33" spans="1:13" s="2" customFormat="1" ht="12.75">
      <c r="A33" s="398" t="s">
        <v>1223</v>
      </c>
    </row>
    <row r="34" spans="1:13" s="2" customFormat="1" ht="12.75">
      <c r="A34" s="19" t="s">
        <v>1220</v>
      </c>
    </row>
    <row r="35" spans="1:13" s="2" customFormat="1" ht="18.75">
      <c r="A35" s="19" t="s">
        <v>1221</v>
      </c>
    </row>
    <row r="36" spans="1:13" s="2" customFormat="1" ht="12.75">
      <c r="A36" s="19" t="s">
        <v>1219</v>
      </c>
    </row>
    <row r="37" spans="1:13" s="2" customFormat="1" ht="12.75">
      <c r="A37" s="19" t="s">
        <v>1222</v>
      </c>
    </row>
    <row r="38" spans="1:13" s="2" customFormat="1" ht="12.75">
      <c r="A38" s="2" t="s">
        <v>1224</v>
      </c>
    </row>
    <row r="39" spans="1:13" s="2" customFormat="1" ht="12.75">
      <c r="A39" s="2" t="s">
        <v>391</v>
      </c>
    </row>
    <row r="40" spans="1:13" s="2" customFormat="1" ht="12.75">
      <c r="A40" s="19" t="str">
        <f ca="1">"A research firm did market research in both "&amp;D57&amp;" and "&amp;G57&amp;" to develop estimates of the market size and channel share."</f>
        <v>A research firm did market research in both 2019 and 2022 to develop estimates of the market size and channel share.</v>
      </c>
    </row>
    <row r="41" spans="1:13" s="2" customFormat="1" ht="12.75">
      <c r="A41" s="723" t="s">
        <v>1522</v>
      </c>
    </row>
    <row r="42" spans="1:13" s="2" customFormat="1" ht="12.75">
      <c r="A42" s="19" t="s">
        <v>1225</v>
      </c>
    </row>
    <row r="43" spans="1:13" s="2" customFormat="1" ht="12.75">
      <c r="A43" s="424" t="s">
        <v>408</v>
      </c>
    </row>
    <row r="44" spans="1:13" s="2" customFormat="1" ht="12.75">
      <c r="A44" s="723" t="s">
        <v>409</v>
      </c>
    </row>
    <row r="45" spans="1:13" s="2" customFormat="1" ht="12.75">
      <c r="A45" s="723" t="s">
        <v>1604</v>
      </c>
    </row>
    <row r="46" spans="1:13" s="2" customFormat="1" ht="12.75">
      <c r="A46" s="168" t="s">
        <v>1114</v>
      </c>
    </row>
    <row r="47" spans="1:13" s="2" customFormat="1" ht="13.5" thickBot="1">
      <c r="M47" s="669"/>
    </row>
    <row r="48" spans="1:13" s="2" customFormat="1" ht="12.75">
      <c r="B48" s="724" t="s">
        <v>1226</v>
      </c>
      <c r="C48" s="672"/>
      <c r="D48" s="672"/>
      <c r="E48" s="672"/>
      <c r="F48" s="672"/>
      <c r="G48" s="672"/>
      <c r="H48" s="672"/>
      <c r="I48" s="672"/>
      <c r="J48" s="672"/>
      <c r="K48" s="672"/>
      <c r="L48" s="672"/>
      <c r="M48" s="725"/>
    </row>
    <row r="49" spans="1:38" s="2" customFormat="1" ht="12.75">
      <c r="B49" s="726" t="s">
        <v>1227</v>
      </c>
      <c r="M49" s="727"/>
    </row>
    <row r="50" spans="1:38" s="2" customFormat="1" ht="12.75">
      <c r="B50" s="726" t="s">
        <v>1228</v>
      </c>
      <c r="M50" s="727"/>
    </row>
    <row r="51" spans="1:38" s="2" customFormat="1" ht="12.75">
      <c r="B51" s="728" t="s">
        <v>1523</v>
      </c>
      <c r="M51" s="727"/>
    </row>
    <row r="52" spans="1:38" s="2" customFormat="1" ht="12.75">
      <c r="A52" s="80"/>
      <c r="B52" s="729" t="s">
        <v>1229</v>
      </c>
      <c r="M52" s="727"/>
    </row>
    <row r="53" spans="1:38" ht="16.5" thickBot="1">
      <c r="B53" s="730" t="s">
        <v>1508</v>
      </c>
      <c r="C53" s="731"/>
      <c r="D53" s="731"/>
      <c r="E53" s="731"/>
      <c r="F53" s="731"/>
      <c r="G53" s="731"/>
      <c r="H53" s="731"/>
      <c r="I53" s="731"/>
      <c r="J53" s="731"/>
      <c r="K53" s="731"/>
      <c r="L53" s="731"/>
      <c r="M53" s="732"/>
    </row>
    <row r="54" spans="1:38" s="2" customFormat="1" ht="12.75"/>
    <row r="55" spans="1:38" s="2" customFormat="1">
      <c r="A55" s="166" t="s">
        <v>1155</v>
      </c>
    </row>
    <row r="56" spans="1:38" s="2" customFormat="1" ht="12.75">
      <c r="J56" s="51"/>
      <c r="K56" s="51"/>
      <c r="L56" s="51"/>
      <c r="M56" s="51"/>
      <c r="N56" s="425"/>
    </row>
    <row r="57" spans="1:38" s="2" customFormat="1" ht="13.5" thickBot="1">
      <c r="A57" s="51" t="s">
        <v>392</v>
      </c>
      <c r="D57" s="51">
        <f ca="1">E57-1</f>
        <v>2019</v>
      </c>
      <c r="E57" s="51">
        <f ca="1">F57-1</f>
        <v>2020</v>
      </c>
      <c r="F57" s="51">
        <f ca="1">G57-1</f>
        <v>2021</v>
      </c>
      <c r="G57" s="51">
        <f ca="1">YEAR(TODAY())-1</f>
        <v>2022</v>
      </c>
      <c r="H57" s="425" t="s">
        <v>245</v>
      </c>
      <c r="AH57" s="51"/>
      <c r="AI57" s="51"/>
      <c r="AJ57" s="51"/>
      <c r="AK57" s="51"/>
      <c r="AL57" s="425"/>
    </row>
    <row r="58" spans="1:38" s="2" customFormat="1" ht="13.5" thickBot="1">
      <c r="A58" s="19" t="s">
        <v>393</v>
      </c>
      <c r="D58" s="20">
        <f>600+10*X!CG2</f>
        <v>630</v>
      </c>
      <c r="E58" s="17">
        <f>D58*(1+E59)</f>
        <v>724.5</v>
      </c>
      <c r="F58" s="17">
        <f>E58*(1+F59)</f>
        <v>833.17499999999995</v>
      </c>
      <c r="G58" s="20">
        <f>F58*(1+H58)</f>
        <v>958.15124999999989</v>
      </c>
      <c r="H58" s="22">
        <v>0.15</v>
      </c>
    </row>
    <row r="59" spans="1:38" s="2" customFormat="1" ht="12.75">
      <c r="A59" s="19" t="s">
        <v>292</v>
      </c>
      <c r="D59" s="426"/>
      <c r="E59" s="426">
        <f>$H58</f>
        <v>0.15</v>
      </c>
      <c r="F59" s="426">
        <f>$H58</f>
        <v>0.15</v>
      </c>
      <c r="G59" s="426">
        <f>$H58</f>
        <v>0.15</v>
      </c>
      <c r="H59" s="22"/>
      <c r="N59" s="22"/>
    </row>
    <row r="60" spans="1:38" s="2" customFormat="1" ht="13.5" thickBot="1">
      <c r="A60" s="19" t="s">
        <v>1245</v>
      </c>
      <c r="D60" s="22">
        <v>0.33333333333333331</v>
      </c>
      <c r="E60" s="22">
        <f>D60*1.2</f>
        <v>0.39999999999999997</v>
      </c>
      <c r="F60" s="22">
        <f t="shared" ref="F60:G60" si="0">E60*1.2</f>
        <v>0.47999999999999993</v>
      </c>
      <c r="G60" s="22">
        <f t="shared" si="0"/>
        <v>0.57599999999999985</v>
      </c>
      <c r="H60" s="22">
        <f>(G60/D60)^(1/3)-1</f>
        <v>0.19999999999999996</v>
      </c>
    </row>
    <row r="61" spans="1:38" s="2" customFormat="1" ht="13.5" thickBot="1">
      <c r="A61" s="19" t="s">
        <v>1246</v>
      </c>
      <c r="D61" s="17">
        <f>D60*D58</f>
        <v>210</v>
      </c>
      <c r="E61" s="17">
        <f t="shared" ref="E61:G61" si="1">E60*E58</f>
        <v>289.79999999999995</v>
      </c>
      <c r="F61" s="17">
        <f t="shared" si="1"/>
        <v>399.92399999999992</v>
      </c>
      <c r="G61" s="17">
        <f t="shared" si="1"/>
        <v>551.89511999999979</v>
      </c>
      <c r="H61" s="22">
        <f t="shared" ref="H61:H62" si="2">IFERROR((G61/D61)^(1/3)-1,0)</f>
        <v>0.37999999999999967</v>
      </c>
      <c r="N61" s="22"/>
    </row>
    <row r="62" spans="1:38" s="2" customFormat="1" ht="13.5" thickBot="1">
      <c r="A62" s="19" t="s">
        <v>1247</v>
      </c>
      <c r="D62" s="17">
        <f>D58-D61</f>
        <v>420</v>
      </c>
      <c r="E62" s="17">
        <f t="shared" ref="E62:G62" si="3">E58-E61</f>
        <v>434.70000000000005</v>
      </c>
      <c r="F62" s="17">
        <f t="shared" si="3"/>
        <v>433.25100000000003</v>
      </c>
      <c r="G62" s="17">
        <f t="shared" si="3"/>
        <v>406.2561300000001</v>
      </c>
      <c r="H62" s="22">
        <f t="shared" si="2"/>
        <v>-1.1029025549879501E-2</v>
      </c>
      <c r="N62" s="22"/>
    </row>
    <row r="63" spans="1:38" s="2" customFormat="1" ht="12.75">
      <c r="D63" s="426"/>
      <c r="E63" s="426"/>
      <c r="F63" s="426"/>
      <c r="G63" s="426"/>
      <c r="H63" s="22"/>
      <c r="N63" s="22"/>
    </row>
    <row r="64" spans="1:38" s="2" customFormat="1">
      <c r="E64" s="426"/>
      <c r="F64" s="49" t="s">
        <v>394</v>
      </c>
      <c r="G64" s="426"/>
      <c r="H64" s="22"/>
      <c r="L64" s="707" t="s">
        <v>1192</v>
      </c>
      <c r="N64" s="22"/>
    </row>
    <row r="65" spans="1:14" s="2" customFormat="1" ht="13.5" thickBot="1">
      <c r="A65" s="51" t="s">
        <v>396</v>
      </c>
      <c r="D65" s="51">
        <f ca="1">E65-1</f>
        <v>2019</v>
      </c>
      <c r="E65" s="51">
        <f ca="1">F65-1</f>
        <v>2020</v>
      </c>
      <c r="F65" s="51">
        <f ca="1">G65-1</f>
        <v>2021</v>
      </c>
      <c r="G65" s="51">
        <f ca="1">YEAR(TODAY())-1</f>
        <v>2022</v>
      </c>
      <c r="H65" s="427" t="s">
        <v>245</v>
      </c>
      <c r="J65" s="51">
        <f ca="1">K65-1</f>
        <v>2019</v>
      </c>
      <c r="K65" s="51">
        <f ca="1">L65-1</f>
        <v>2020</v>
      </c>
      <c r="L65" s="51">
        <f ca="1">M65-1</f>
        <v>2021</v>
      </c>
      <c r="M65" s="51">
        <f ca="1">YEAR(TODAY())-1</f>
        <v>2022</v>
      </c>
      <c r="N65" s="427" t="s">
        <v>245</v>
      </c>
    </row>
    <row r="66" spans="1:14" s="2" customFormat="1" ht="13.5" thickBot="1">
      <c r="A66" s="19" t="s">
        <v>1252</v>
      </c>
      <c r="D66" s="255">
        <v>0.5</v>
      </c>
      <c r="E66" s="255">
        <f>D$66-5%</f>
        <v>0.45</v>
      </c>
      <c r="F66" s="255">
        <f>$E$66-5%</f>
        <v>0.4</v>
      </c>
      <c r="G66" s="255">
        <f>F66-5%</f>
        <v>0.35000000000000003</v>
      </c>
      <c r="H66" s="428">
        <f>IFERROR((G66/D$66)^(1/3)-1,0)</f>
        <v>-0.11209599825739924</v>
      </c>
      <c r="J66" s="8">
        <f>1-D66</f>
        <v>0.5</v>
      </c>
      <c r="K66" s="8">
        <f t="shared" ref="K66:M67" si="4">1-E66</f>
        <v>0.55000000000000004</v>
      </c>
      <c r="L66" s="8">
        <f t="shared" si="4"/>
        <v>0.6</v>
      </c>
      <c r="M66" s="8">
        <f t="shared" si="4"/>
        <v>0.64999999999999991</v>
      </c>
      <c r="N66" s="22">
        <f t="shared" ref="N66:N71" si="5">IFERROR((M66/J66)^(1/3)-1,0)</f>
        <v>9.1392883061105712E-2</v>
      </c>
    </row>
    <row r="67" spans="1:14" s="2" customFormat="1" ht="13.5" thickBot="1">
      <c r="A67" s="19" t="s">
        <v>1253</v>
      </c>
      <c r="D67" s="23">
        <v>0.7</v>
      </c>
      <c r="E67" s="23">
        <f>D$67+5%</f>
        <v>0.75</v>
      </c>
      <c r="F67" s="23">
        <f>E$67+5%</f>
        <v>0.8</v>
      </c>
      <c r="G67" s="23">
        <f>F$67+5%</f>
        <v>0.85000000000000009</v>
      </c>
      <c r="H67" s="22">
        <f>IFERROR((G67/D$67)^(1/3)-1,0)</f>
        <v>6.6858844342181811E-2</v>
      </c>
      <c r="J67" s="8">
        <f>1-D67</f>
        <v>0.30000000000000004</v>
      </c>
      <c r="K67" s="8">
        <f t="shared" si="4"/>
        <v>0.25</v>
      </c>
      <c r="L67" s="8">
        <f t="shared" si="4"/>
        <v>0.19999999999999996</v>
      </c>
      <c r="M67" s="8">
        <f t="shared" si="4"/>
        <v>0.14999999999999991</v>
      </c>
      <c r="N67" s="22">
        <f t="shared" si="5"/>
        <v>-0.20629947401590043</v>
      </c>
    </row>
    <row r="68" spans="1:14" s="2" customFormat="1" ht="13.5" thickBot="1">
      <c r="A68" s="19" t="s">
        <v>1243</v>
      </c>
      <c r="D68" s="7">
        <f>D61*D66</f>
        <v>105</v>
      </c>
      <c r="E68" s="7">
        <f t="shared" ref="E68:G68" si="6">E61*E66</f>
        <v>130.41</v>
      </c>
      <c r="F68" s="7">
        <f t="shared" si="6"/>
        <v>159.96959999999999</v>
      </c>
      <c r="G68" s="7">
        <f t="shared" si="6"/>
        <v>193.16329199999996</v>
      </c>
      <c r="H68" s="22">
        <f>IFERROR((G68/D$68)^(1/3)-1,0)</f>
        <v>0.22530752240478891</v>
      </c>
      <c r="J68" s="7">
        <f>D61*J66</f>
        <v>105</v>
      </c>
      <c r="K68" s="7">
        <f t="shared" ref="K68:M68" si="7">E61*K66</f>
        <v>159.38999999999999</v>
      </c>
      <c r="L68" s="7">
        <f t="shared" si="7"/>
        <v>239.95439999999994</v>
      </c>
      <c r="M68" s="7">
        <f t="shared" si="7"/>
        <v>358.73182799999984</v>
      </c>
      <c r="N68" s="22">
        <f t="shared" si="5"/>
        <v>0.50612217862432596</v>
      </c>
    </row>
    <row r="69" spans="1:14" s="2" customFormat="1" ht="13.5" thickBot="1">
      <c r="A69" s="19" t="s">
        <v>1244</v>
      </c>
      <c r="D69" s="7">
        <f>D62*D67</f>
        <v>294</v>
      </c>
      <c r="E69" s="7">
        <f t="shared" ref="E69:G69" si="8">E62*E67</f>
        <v>326.02500000000003</v>
      </c>
      <c r="F69" s="7">
        <f t="shared" si="8"/>
        <v>346.60080000000005</v>
      </c>
      <c r="G69" s="7">
        <f t="shared" si="8"/>
        <v>345.31771050000015</v>
      </c>
      <c r="H69" s="22">
        <f>IFERROR((G69/D$69)^(1/3)-1,0)</f>
        <v>5.5092430889817079E-2</v>
      </c>
      <c r="J69" s="7">
        <f>D62*J67</f>
        <v>126.00000000000001</v>
      </c>
      <c r="K69" s="7">
        <f t="shared" ref="K69:M69" si="9">E62*K67</f>
        <v>108.67500000000001</v>
      </c>
      <c r="L69" s="7">
        <f t="shared" si="9"/>
        <v>86.650199999999984</v>
      </c>
      <c r="M69" s="7">
        <f t="shared" si="9"/>
        <v>60.938419499999981</v>
      </c>
      <c r="N69" s="22">
        <f t="shared" si="5"/>
        <v>-0.21505321739593186</v>
      </c>
    </row>
    <row r="70" spans="1:14" s="2" customFormat="1" ht="13.5" thickBot="1">
      <c r="A70" s="19" t="s">
        <v>397</v>
      </c>
      <c r="D70" s="17">
        <f>D68+D69</f>
        <v>399</v>
      </c>
      <c r="E70" s="17">
        <f t="shared" ref="E70:G70" si="10">E68+E69</f>
        <v>456.43500000000006</v>
      </c>
      <c r="F70" s="17">
        <f t="shared" si="10"/>
        <v>506.57040000000006</v>
      </c>
      <c r="G70" s="17">
        <f t="shared" si="10"/>
        <v>538.48100250000016</v>
      </c>
      <c r="H70" s="22">
        <f>IFERROR((G70/D$70)^(1/3)-1,0)</f>
        <v>0.10509385370688751</v>
      </c>
      <c r="J70" s="17">
        <f>J68+J69</f>
        <v>231</v>
      </c>
      <c r="K70" s="17">
        <f t="shared" ref="K70:M70" si="11">K68+K69</f>
        <v>268.065</v>
      </c>
      <c r="L70" s="17">
        <f t="shared" si="11"/>
        <v>326.60459999999989</v>
      </c>
      <c r="M70" s="17">
        <f t="shared" si="11"/>
        <v>419.67024749999985</v>
      </c>
      <c r="N70" s="22">
        <f t="shared" si="5"/>
        <v>0.2202029399439549</v>
      </c>
    </row>
    <row r="71" spans="1:14" s="2" customFormat="1" ht="12.75">
      <c r="D71" s="414"/>
      <c r="E71" s="414"/>
      <c r="F71" s="414"/>
      <c r="G71" s="414"/>
      <c r="H71" s="22">
        <f>IFERROR((G71/D$71)^(1/3)-1,0)</f>
        <v>0</v>
      </c>
      <c r="J71" s="414"/>
      <c r="K71" s="414"/>
      <c r="L71" s="414"/>
      <c r="M71" s="414"/>
      <c r="N71" s="22">
        <f t="shared" si="5"/>
        <v>0</v>
      </c>
    </row>
    <row r="72" spans="1:14" s="2" customFormat="1" ht="12.75">
      <c r="A72" s="51" t="s">
        <v>402</v>
      </c>
      <c r="D72" s="51">
        <f ca="1">E72-1</f>
        <v>2019</v>
      </c>
      <c r="E72" s="51">
        <f ca="1">F72-1</f>
        <v>2020</v>
      </c>
      <c r="F72" s="51">
        <f ca="1">G72-1</f>
        <v>2021</v>
      </c>
      <c r="G72" s="51">
        <f ca="1">YEAR(TODAY())-1</f>
        <v>2022</v>
      </c>
      <c r="H72" s="427" t="s">
        <v>245</v>
      </c>
      <c r="J72" s="51">
        <f ca="1">K72-1</f>
        <v>2019</v>
      </c>
      <c r="K72" s="51">
        <f ca="1">L72-1</f>
        <v>2020</v>
      </c>
      <c r="L72" s="51">
        <f ca="1">M72-1</f>
        <v>2021</v>
      </c>
      <c r="M72" s="51">
        <f ca="1">YEAR(TODAY())-1</f>
        <v>2022</v>
      </c>
      <c r="N72" s="427" t="s">
        <v>245</v>
      </c>
    </row>
    <row r="73" spans="1:14" s="2" customFormat="1" ht="12.75">
      <c r="A73" s="19" t="s">
        <v>1524</v>
      </c>
      <c r="D73" s="2">
        <v>200</v>
      </c>
      <c r="E73" s="2">
        <v>200</v>
      </c>
      <c r="F73" s="2">
        <v>200</v>
      </c>
      <c r="G73" s="2">
        <v>200</v>
      </c>
      <c r="H73" s="22">
        <f>IFERROR((G73/D73)^(1/3)-1,0)</f>
        <v>0</v>
      </c>
      <c r="J73" s="164">
        <v>190</v>
      </c>
      <c r="K73" s="164">
        <v>180</v>
      </c>
      <c r="L73" s="164">
        <v>170</v>
      </c>
      <c r="M73" s="164">
        <v>160</v>
      </c>
      <c r="N73" s="428">
        <f>IFERROR((M73/J73)^(1/3)-1,0)</f>
        <v>-5.5673608582633149E-2</v>
      </c>
    </row>
    <row r="74" spans="1:14" s="2" customFormat="1" ht="13.5" thickBot="1">
      <c r="A74" s="19" t="s">
        <v>1242</v>
      </c>
      <c r="D74" s="2">
        <v>125</v>
      </c>
      <c r="E74" s="2">
        <v>125</v>
      </c>
      <c r="F74" s="2">
        <v>125</v>
      </c>
      <c r="G74" s="2">
        <v>125</v>
      </c>
      <c r="H74" s="22">
        <f>IFERROR((G74/D74)^(1/3)-1,0)</f>
        <v>0</v>
      </c>
      <c r="J74" s="2">
        <v>125</v>
      </c>
      <c r="K74" s="2">
        <v>125</v>
      </c>
      <c r="L74" s="2">
        <v>125</v>
      </c>
      <c r="M74" s="2">
        <v>125</v>
      </c>
      <c r="N74" s="22">
        <f>IFERROR((M74/J74)^(1/3)-1,0)</f>
        <v>0</v>
      </c>
    </row>
    <row r="75" spans="1:14" s="2" customFormat="1" ht="13.5" thickBot="1">
      <c r="A75" s="19" t="s">
        <v>1240</v>
      </c>
      <c r="D75" s="7">
        <f>D73*D68</f>
        <v>21000</v>
      </c>
      <c r="E75" s="7">
        <f t="shared" ref="E75:G75" si="12">E73*E68</f>
        <v>26082</v>
      </c>
      <c r="F75" s="7">
        <f t="shared" si="12"/>
        <v>31993.919999999998</v>
      </c>
      <c r="G75" s="7">
        <f t="shared" si="12"/>
        <v>38632.658399999993</v>
      </c>
      <c r="H75" s="22">
        <f>IFERROR((G75/D75)^(1/3)-1,0)</f>
        <v>0.22530752240478891</v>
      </c>
      <c r="J75" s="7">
        <f>J73*J68</f>
        <v>19950</v>
      </c>
      <c r="K75" s="7">
        <f t="shared" ref="K75:M75" si="13">K73*K68</f>
        <v>28690.199999999997</v>
      </c>
      <c r="L75" s="7">
        <f t="shared" si="13"/>
        <v>40792.247999999992</v>
      </c>
      <c r="M75" s="7">
        <f t="shared" si="13"/>
        <v>57397.092479999978</v>
      </c>
      <c r="N75" s="22">
        <f>IFERROR((M75/J75)^(1/3)-1,0)</f>
        <v>0.42227092197397242</v>
      </c>
    </row>
    <row r="76" spans="1:14" s="2" customFormat="1" ht="13.5" thickBot="1">
      <c r="A76" s="19" t="s">
        <v>1241</v>
      </c>
      <c r="D76" s="7">
        <f>D74*D69</f>
        <v>36750</v>
      </c>
      <c r="E76" s="7">
        <f t="shared" ref="E76:G76" si="14">E74*E69</f>
        <v>40753.125000000007</v>
      </c>
      <c r="F76" s="7">
        <f t="shared" si="14"/>
        <v>43325.100000000006</v>
      </c>
      <c r="G76" s="7">
        <f t="shared" si="14"/>
        <v>43164.71381250002</v>
      </c>
      <c r="H76" s="22">
        <f>IFERROR((G76/D76)^(1/3)-1,0)</f>
        <v>5.5092430889817079E-2</v>
      </c>
      <c r="J76" s="7">
        <f>J74*J69</f>
        <v>15750.000000000002</v>
      </c>
      <c r="K76" s="7">
        <f t="shared" ref="K76:M76" si="15">K74*K69</f>
        <v>13584.375000000002</v>
      </c>
      <c r="L76" s="7">
        <f t="shared" si="15"/>
        <v>10831.274999999998</v>
      </c>
      <c r="M76" s="7">
        <f t="shared" si="15"/>
        <v>7617.3024374999977</v>
      </c>
      <c r="N76" s="22">
        <f>IFERROR((M76/J76)^(1/3)-1,0)</f>
        <v>-0.21505321739593186</v>
      </c>
    </row>
    <row r="77" spans="1:14" s="2" customFormat="1" ht="13.5" thickBot="1">
      <c r="A77" s="19" t="s">
        <v>398</v>
      </c>
      <c r="D77" s="7">
        <f>D75+D76</f>
        <v>57750</v>
      </c>
      <c r="E77" s="7">
        <f t="shared" ref="E77:G77" si="16">E75+E76</f>
        <v>66835.125</v>
      </c>
      <c r="F77" s="7">
        <f t="shared" si="16"/>
        <v>75319.02</v>
      </c>
      <c r="G77" s="7">
        <f t="shared" si="16"/>
        <v>81797.37221250002</v>
      </c>
      <c r="H77" s="22">
        <f>IFERROR((G77/D77)^(1/3)-1,0)</f>
        <v>0.12304145514232867</v>
      </c>
      <c r="J77" s="7">
        <f>J75+J76</f>
        <v>35700</v>
      </c>
      <c r="K77" s="7">
        <f t="shared" ref="K77:M77" si="17">K75+K76</f>
        <v>42274.574999999997</v>
      </c>
      <c r="L77" s="7">
        <f t="shared" si="17"/>
        <v>51623.522999999986</v>
      </c>
      <c r="M77" s="7">
        <f t="shared" si="17"/>
        <v>65014.394917499973</v>
      </c>
      <c r="N77" s="22">
        <f>IFERROR((M77/J77)^(1/3)-1,0)</f>
        <v>0.22118211819083444</v>
      </c>
    </row>
    <row r="78" spans="1:14" s="2" customFormat="1" ht="12.75">
      <c r="D78" s="414"/>
      <c r="E78" s="414"/>
      <c r="F78" s="414"/>
      <c r="G78" s="414"/>
      <c r="H78" s="22"/>
      <c r="N78" s="22"/>
    </row>
    <row r="79" spans="1:14" s="2" customFormat="1" ht="12.75">
      <c r="D79" s="924"/>
      <c r="E79" s="414"/>
      <c r="F79" s="414"/>
      <c r="G79" s="414"/>
      <c r="H79" s="22"/>
      <c r="N79" s="22"/>
    </row>
    <row r="80" spans="1:14" s="2" customFormat="1" ht="13.5" thickBot="1">
      <c r="A80" s="51" t="s">
        <v>399</v>
      </c>
      <c r="D80" s="51">
        <f ca="1">E80-1</f>
        <v>2019</v>
      </c>
      <c r="E80" s="51">
        <f ca="1">F80-1</f>
        <v>2020</v>
      </c>
      <c r="F80" s="51">
        <f ca="1">G80-1</f>
        <v>2021</v>
      </c>
      <c r="G80" s="51">
        <f ca="1">YEAR(TODAY())-1</f>
        <v>2022</v>
      </c>
      <c r="H80" s="429" t="str">
        <f>H72</f>
        <v>CAGR</v>
      </c>
      <c r="J80" s="51">
        <f ca="1">K80-1</f>
        <v>2019</v>
      </c>
      <c r="K80" s="51">
        <f ca="1">L80-1</f>
        <v>2020</v>
      </c>
      <c r="L80" s="51">
        <f ca="1">M80-1</f>
        <v>2021</v>
      </c>
      <c r="M80" s="51">
        <f ca="1">YEAR(TODAY())-1</f>
        <v>2022</v>
      </c>
      <c r="N80" s="429" t="str">
        <f>N72</f>
        <v>CAGR</v>
      </c>
    </row>
    <row r="81" spans="1:14" s="2" customFormat="1" ht="13.5" thickBot="1">
      <c r="A81" s="19" t="s">
        <v>257</v>
      </c>
      <c r="D81" s="2">
        <v>100</v>
      </c>
      <c r="E81" s="2">
        <v>100</v>
      </c>
      <c r="F81" s="2">
        <v>100</v>
      </c>
      <c r="G81" s="2">
        <v>100</v>
      </c>
      <c r="H81" s="22">
        <f t="shared" ref="H81:H86" si="18">IFERROR((G81/D81)^(1/3)-1,0)</f>
        <v>0</v>
      </c>
      <c r="J81" s="17">
        <f>D81/0.9</f>
        <v>111.11111111111111</v>
      </c>
      <c r="K81" s="17">
        <f t="shared" ref="K81:M81" si="19">E81/0.9</f>
        <v>111.11111111111111</v>
      </c>
      <c r="L81" s="17">
        <f t="shared" si="19"/>
        <v>111.11111111111111</v>
      </c>
      <c r="M81" s="17">
        <f t="shared" si="19"/>
        <v>111.11111111111111</v>
      </c>
      <c r="N81" s="22">
        <f t="shared" ref="N81:N86" si="20">IFERROR((M81/J81)^(1/3)-1,0)</f>
        <v>0</v>
      </c>
    </row>
    <row r="82" spans="1:14" s="2" customFormat="1" ht="13.5" thickBot="1">
      <c r="A82" s="19" t="s">
        <v>1230</v>
      </c>
      <c r="D82" s="7">
        <f>D81*D68</f>
        <v>10500</v>
      </c>
      <c r="E82" s="7">
        <f t="shared" ref="E82:G82" si="21">E81*E68</f>
        <v>13041</v>
      </c>
      <c r="F82" s="7">
        <f t="shared" si="21"/>
        <v>15996.96</v>
      </c>
      <c r="G82" s="7">
        <f t="shared" si="21"/>
        <v>19316.329199999996</v>
      </c>
      <c r="H82" s="22">
        <f t="shared" si="18"/>
        <v>0.22530752240478891</v>
      </c>
      <c r="J82" s="7">
        <f>J81*J68</f>
        <v>11666.666666666668</v>
      </c>
      <c r="K82" s="7">
        <f t="shared" ref="K82:M82" si="22">K81*K68</f>
        <v>17710</v>
      </c>
      <c r="L82" s="7">
        <f t="shared" si="22"/>
        <v>26661.599999999995</v>
      </c>
      <c r="M82" s="7">
        <f t="shared" si="22"/>
        <v>39859.091999999982</v>
      </c>
      <c r="N82" s="22">
        <f t="shared" si="20"/>
        <v>0.50612217862432574</v>
      </c>
    </row>
    <row r="83" spans="1:14" s="2" customFormat="1" ht="13.5" thickBot="1">
      <c r="A83" s="19" t="s">
        <v>1231</v>
      </c>
      <c r="D83" s="7">
        <f>D81*D69</f>
        <v>29400</v>
      </c>
      <c r="E83" s="7">
        <f t="shared" ref="E83:G83" si="23">E81*E69</f>
        <v>32602.500000000004</v>
      </c>
      <c r="F83" s="7">
        <f t="shared" si="23"/>
        <v>34660.080000000002</v>
      </c>
      <c r="G83" s="7">
        <f t="shared" si="23"/>
        <v>34531.771050000018</v>
      </c>
      <c r="H83" s="22">
        <f t="shared" si="18"/>
        <v>5.5092430889817079E-2</v>
      </c>
      <c r="J83" s="7">
        <f>J81*J69</f>
        <v>14000.000000000002</v>
      </c>
      <c r="K83" s="7">
        <f t="shared" ref="K83:M83" si="24">K81*K69</f>
        <v>12075.000000000002</v>
      </c>
      <c r="L83" s="7">
        <f t="shared" si="24"/>
        <v>9627.7999999999993</v>
      </c>
      <c r="M83" s="7">
        <f t="shared" si="24"/>
        <v>6770.9354999999978</v>
      </c>
      <c r="N83" s="22">
        <f t="shared" si="20"/>
        <v>-0.21505321739593186</v>
      </c>
    </row>
    <row r="84" spans="1:14" s="2" customFormat="1" ht="13.5" thickBot="1">
      <c r="A84" s="19" t="s">
        <v>1232</v>
      </c>
      <c r="D84" s="7">
        <f>D75-D82</f>
        <v>10500</v>
      </c>
      <c r="E84" s="7">
        <f t="shared" ref="E84:G84" si="25">E75-E82</f>
        <v>13041</v>
      </c>
      <c r="F84" s="7">
        <f t="shared" si="25"/>
        <v>15996.96</v>
      </c>
      <c r="G84" s="7">
        <f t="shared" si="25"/>
        <v>19316.329199999996</v>
      </c>
      <c r="H84" s="22">
        <f t="shared" si="18"/>
        <v>0.22530752240478891</v>
      </c>
      <c r="J84" s="7">
        <f>J75-J82</f>
        <v>8283.3333333333321</v>
      </c>
      <c r="K84" s="7">
        <f t="shared" ref="K84:M84" si="26">K75-K82</f>
        <v>10980.199999999997</v>
      </c>
      <c r="L84" s="7">
        <f t="shared" si="26"/>
        <v>14130.647999999997</v>
      </c>
      <c r="M84" s="7">
        <f t="shared" si="26"/>
        <v>17538.000479999995</v>
      </c>
      <c r="N84" s="22">
        <f t="shared" si="20"/>
        <v>0.28407871291731057</v>
      </c>
    </row>
    <row r="85" spans="1:14" s="2" customFormat="1" ht="13.5" thickBot="1">
      <c r="A85" s="19" t="s">
        <v>1233</v>
      </c>
      <c r="D85" s="7">
        <f>D76-D83</f>
        <v>7350</v>
      </c>
      <c r="E85" s="7">
        <f t="shared" ref="E85:G85" si="27">E76-E83</f>
        <v>8150.6250000000036</v>
      </c>
      <c r="F85" s="7">
        <f t="shared" si="27"/>
        <v>8665.0200000000041</v>
      </c>
      <c r="G85" s="7">
        <f t="shared" si="27"/>
        <v>8632.9427625000026</v>
      </c>
      <c r="H85" s="22">
        <f t="shared" si="18"/>
        <v>5.5092430889817079E-2</v>
      </c>
      <c r="J85" s="7">
        <f>J76-J83</f>
        <v>1750</v>
      </c>
      <c r="K85" s="7">
        <f t="shared" ref="K85:M85" si="28">K76-K83</f>
        <v>1509.375</v>
      </c>
      <c r="L85" s="7">
        <f t="shared" si="28"/>
        <v>1203.4749999999985</v>
      </c>
      <c r="M85" s="7">
        <f t="shared" si="28"/>
        <v>846.36693749999995</v>
      </c>
      <c r="N85" s="22">
        <f t="shared" si="20"/>
        <v>-0.21505321739593175</v>
      </c>
    </row>
    <row r="86" spans="1:14" s="2" customFormat="1" ht="13.5" thickBot="1">
      <c r="A86" s="19" t="s">
        <v>411</v>
      </c>
      <c r="D86" s="7">
        <f>D84+D85</f>
        <v>17850</v>
      </c>
      <c r="E86" s="7">
        <f t="shared" ref="E86:G86" si="29">E84+E85</f>
        <v>21191.625000000004</v>
      </c>
      <c r="F86" s="7">
        <f t="shared" si="29"/>
        <v>24661.980000000003</v>
      </c>
      <c r="G86" s="7">
        <f t="shared" si="29"/>
        <v>27949.271962499999</v>
      </c>
      <c r="H86" s="22">
        <f t="shared" si="18"/>
        <v>0.16120998004514075</v>
      </c>
      <c r="J86" s="7">
        <f>J84+J85</f>
        <v>10033.333333333332</v>
      </c>
      <c r="K86" s="7">
        <f t="shared" ref="K86:M86" si="30">K84+K85</f>
        <v>12489.574999999997</v>
      </c>
      <c r="L86" s="7">
        <f t="shared" si="30"/>
        <v>15334.122999999996</v>
      </c>
      <c r="M86" s="7">
        <f t="shared" si="30"/>
        <v>18384.367417499994</v>
      </c>
      <c r="N86" s="22">
        <f t="shared" si="20"/>
        <v>0.22367987254919752</v>
      </c>
    </row>
    <row r="87" spans="1:14" s="2" customFormat="1" ht="13.5" thickBot="1">
      <c r="A87" s="19" t="s">
        <v>1256</v>
      </c>
      <c r="D87" s="8">
        <f>D86/D77</f>
        <v>0.30909090909090908</v>
      </c>
      <c r="E87" s="8">
        <f t="shared" ref="E87:G87" si="31">E86/E77</f>
        <v>0.31707317073170738</v>
      </c>
      <c r="F87" s="8">
        <f t="shared" si="31"/>
        <v>0.32743362831858408</v>
      </c>
      <c r="G87" s="8">
        <f t="shared" si="31"/>
        <v>0.3416891179571277</v>
      </c>
      <c r="H87" s="22"/>
      <c r="J87" s="8">
        <f>J86/J77</f>
        <v>0.28104575163398687</v>
      </c>
      <c r="K87" s="8">
        <f t="shared" ref="K87:M87" si="32">K86/K77</f>
        <v>0.2954393982671617</v>
      </c>
      <c r="L87" s="8">
        <f t="shared" si="32"/>
        <v>0.29703751524280897</v>
      </c>
      <c r="M87" s="8">
        <f t="shared" si="32"/>
        <v>0.28277379864611274</v>
      </c>
      <c r="N87" s="22"/>
    </row>
    <row r="88" spans="1:14" s="2" customFormat="1" ht="12.75">
      <c r="H88" s="22"/>
      <c r="N88" s="22"/>
    </row>
    <row r="89" spans="1:14" s="2" customFormat="1" ht="12.75">
      <c r="A89" s="51" t="s">
        <v>681</v>
      </c>
      <c r="D89" s="51">
        <f ca="1">E89-1</f>
        <v>2019</v>
      </c>
      <c r="E89" s="51">
        <f ca="1">F89-1</f>
        <v>2020</v>
      </c>
      <c r="F89" s="51">
        <f ca="1">G89-1</f>
        <v>2021</v>
      </c>
      <c r="G89" s="51">
        <f ca="1">YEAR(TODAY())-1</f>
        <v>2022</v>
      </c>
      <c r="H89" s="429" t="str">
        <f>H80</f>
        <v>CAGR</v>
      </c>
      <c r="J89" s="51">
        <f ca="1">K89-1</f>
        <v>2019</v>
      </c>
      <c r="K89" s="51">
        <f ca="1">L89-1</f>
        <v>2020</v>
      </c>
      <c r="L89" s="51">
        <f ca="1">M89-1</f>
        <v>2021</v>
      </c>
      <c r="M89" s="51">
        <f ca="1">YEAR(TODAY())-1</f>
        <v>2022</v>
      </c>
      <c r="N89" s="429" t="str">
        <f>N80</f>
        <v>CAGR</v>
      </c>
    </row>
    <row r="90" spans="1:14" s="2" customFormat="1" ht="12.75">
      <c r="A90" s="19" t="s">
        <v>1234</v>
      </c>
      <c r="D90" s="23">
        <v>0.1</v>
      </c>
      <c r="E90" s="23">
        <v>0.1</v>
      </c>
      <c r="F90" s="23">
        <v>0.1</v>
      </c>
      <c r="G90" s="23">
        <v>0.1</v>
      </c>
      <c r="H90" s="22"/>
      <c r="J90" s="23">
        <v>0.1</v>
      </c>
      <c r="K90" s="23">
        <v>0.1</v>
      </c>
      <c r="L90" s="23">
        <v>0.1</v>
      </c>
      <c r="M90" s="23">
        <v>0.1</v>
      </c>
      <c r="N90" s="22"/>
    </row>
    <row r="91" spans="1:14" s="2" customFormat="1" ht="13.5" thickBot="1">
      <c r="A91" s="19" t="s">
        <v>1235</v>
      </c>
      <c r="D91" s="23">
        <v>0.05</v>
      </c>
      <c r="E91" s="23">
        <v>0.05</v>
      </c>
      <c r="F91" s="23">
        <v>0.05</v>
      </c>
      <c r="G91" s="23">
        <v>0.05</v>
      </c>
      <c r="H91" s="22"/>
      <c r="J91" s="23">
        <v>0.05</v>
      </c>
      <c r="K91" s="23">
        <v>0.05</v>
      </c>
      <c r="L91" s="23">
        <v>0.05</v>
      </c>
      <c r="M91" s="23">
        <v>0.05</v>
      </c>
      <c r="N91" s="22"/>
    </row>
    <row r="92" spans="1:14" s="2" customFormat="1" ht="13.5" thickBot="1">
      <c r="A92" s="19" t="s">
        <v>1236</v>
      </c>
      <c r="D92" s="7">
        <f>D90*D75</f>
        <v>2100</v>
      </c>
      <c r="E92" s="7">
        <f t="shared" ref="E92:G92" si="33">E90*E75</f>
        <v>2608.2000000000003</v>
      </c>
      <c r="F92" s="7">
        <f t="shared" si="33"/>
        <v>3199.3919999999998</v>
      </c>
      <c r="G92" s="7">
        <f t="shared" si="33"/>
        <v>3863.2658399999996</v>
      </c>
      <c r="H92" s="22">
        <f>IFERROR((G92/D92)^(1/3)-1,0)</f>
        <v>0.22530752240478891</v>
      </c>
      <c r="J92" s="7">
        <f>J90*J75</f>
        <v>1995</v>
      </c>
      <c r="K92" s="7">
        <f t="shared" ref="K92:M92" si="34">K90*K75</f>
        <v>2869.02</v>
      </c>
      <c r="L92" s="7">
        <f t="shared" si="34"/>
        <v>4079.2247999999995</v>
      </c>
      <c r="M92" s="7">
        <f t="shared" si="34"/>
        <v>5739.7092479999983</v>
      </c>
      <c r="N92" s="22">
        <f>IFERROR((M92/J92)^(1/3)-1,0)</f>
        <v>0.42227092197397242</v>
      </c>
    </row>
    <row r="93" spans="1:14" s="2" customFormat="1" ht="13.5" thickBot="1">
      <c r="A93" s="19" t="s">
        <v>1237</v>
      </c>
      <c r="D93" s="7">
        <f>D91*D76</f>
        <v>1837.5</v>
      </c>
      <c r="E93" s="7">
        <f t="shared" ref="E93:G93" si="35">E91*E76</f>
        <v>2037.6562500000005</v>
      </c>
      <c r="F93" s="7">
        <f t="shared" si="35"/>
        <v>2166.2550000000006</v>
      </c>
      <c r="G93" s="7">
        <f t="shared" si="35"/>
        <v>2158.2356906250011</v>
      </c>
      <c r="H93" s="22">
        <f>IFERROR((G93/D93)^(1/3)-1,0)</f>
        <v>5.5092430889817079E-2</v>
      </c>
      <c r="J93" s="7">
        <f>J91*J76</f>
        <v>787.50000000000011</v>
      </c>
      <c r="K93" s="7">
        <f t="shared" ref="K93:M93" si="36">K91*K76</f>
        <v>679.21875000000011</v>
      </c>
      <c r="L93" s="7">
        <f t="shared" si="36"/>
        <v>541.56374999999991</v>
      </c>
      <c r="M93" s="7">
        <f t="shared" si="36"/>
        <v>380.86512187499989</v>
      </c>
      <c r="N93" s="22">
        <f>IFERROR((M93/J93)^(1/3)-1,0)</f>
        <v>-0.21505321739593186</v>
      </c>
    </row>
    <row r="94" spans="1:14" s="2" customFormat="1" ht="13.5" thickBot="1">
      <c r="A94" s="19" t="s">
        <v>1238</v>
      </c>
      <c r="D94" s="7">
        <f>D84-D92</f>
        <v>8400</v>
      </c>
      <c r="E94" s="7">
        <f t="shared" ref="E94:G94" si="37">E84-E92</f>
        <v>10432.799999999999</v>
      </c>
      <c r="F94" s="7">
        <f t="shared" si="37"/>
        <v>12797.567999999999</v>
      </c>
      <c r="G94" s="7">
        <f t="shared" si="37"/>
        <v>15453.063359999996</v>
      </c>
      <c r="H94" s="22">
        <f>IFERROR((G94/D94)^(1/3)-1,0)</f>
        <v>0.22530752240478891</v>
      </c>
      <c r="J94" s="7">
        <f>J84-J92</f>
        <v>6288.3333333333321</v>
      </c>
      <c r="K94" s="7">
        <f t="shared" ref="K94:M94" si="38">K84-K92</f>
        <v>8111.1799999999967</v>
      </c>
      <c r="L94" s="7">
        <f t="shared" si="38"/>
        <v>10051.423199999997</v>
      </c>
      <c r="M94" s="7">
        <f t="shared" si="38"/>
        <v>11798.291231999996</v>
      </c>
      <c r="N94" s="22">
        <f>IFERROR((M94/J94)^(1/3)-1,0)</f>
        <v>0.23337323331668847</v>
      </c>
    </row>
    <row r="95" spans="1:14" s="2" customFormat="1" ht="13.5" thickBot="1">
      <c r="A95" s="19" t="s">
        <v>1239</v>
      </c>
      <c r="D95" s="7">
        <f>D85-D93</f>
        <v>5512.5</v>
      </c>
      <c r="E95" s="7">
        <f t="shared" ref="E95:G95" si="39">E85-E93</f>
        <v>6112.9687500000036</v>
      </c>
      <c r="F95" s="7">
        <f t="shared" si="39"/>
        <v>6498.7650000000031</v>
      </c>
      <c r="G95" s="7">
        <f t="shared" si="39"/>
        <v>6474.7070718750019</v>
      </c>
      <c r="H95" s="22">
        <f>IFERROR((G95/D95)^(1/3)-1,0)</f>
        <v>5.5092430889817079E-2</v>
      </c>
      <c r="J95" s="7">
        <f>J85-J93</f>
        <v>962.49999999999989</v>
      </c>
      <c r="K95" s="7">
        <f t="shared" ref="K95:M95" si="40">K85-K93</f>
        <v>830.15624999999989</v>
      </c>
      <c r="L95" s="7">
        <f t="shared" si="40"/>
        <v>661.91124999999863</v>
      </c>
      <c r="M95" s="7">
        <f t="shared" si="40"/>
        <v>465.50181562500006</v>
      </c>
      <c r="N95" s="22">
        <f>IFERROR((M95/J95)^(1/3)-1,0)</f>
        <v>-0.21505321739593164</v>
      </c>
    </row>
    <row r="96" spans="1:14" s="2" customFormat="1" ht="13.5" thickBot="1">
      <c r="A96" s="19" t="s">
        <v>400</v>
      </c>
      <c r="D96" s="7">
        <f>D94+D95</f>
        <v>13912.5</v>
      </c>
      <c r="E96" s="7">
        <f t="shared" ref="E96:G96" si="41">E94+E95</f>
        <v>16545.768750000003</v>
      </c>
      <c r="F96" s="7">
        <f t="shared" si="41"/>
        <v>19296.333000000002</v>
      </c>
      <c r="G96" s="7">
        <f t="shared" si="41"/>
        <v>21927.770431874997</v>
      </c>
      <c r="H96" s="22">
        <f>IFERROR((G96/D96)^(1/3)-1,0)</f>
        <v>0.16375912551897387</v>
      </c>
      <c r="J96" s="7">
        <f>J94+J95</f>
        <v>7250.8333333333321</v>
      </c>
      <c r="K96" s="7">
        <f t="shared" ref="K96:M96" si="42">K94+K95</f>
        <v>8941.3362499999967</v>
      </c>
      <c r="L96" s="7">
        <f t="shared" si="42"/>
        <v>10713.334449999997</v>
      </c>
      <c r="M96" s="7">
        <f t="shared" si="42"/>
        <v>12263.793047624997</v>
      </c>
      <c r="N96" s="22">
        <f>IFERROR((M96/J96)^(1/3)-1,0)</f>
        <v>0.19145861959840471</v>
      </c>
    </row>
    <row r="97" spans="1:3" s="2" customFormat="1" ht="12.75"/>
    <row r="98" spans="1:3" s="2" customFormat="1">
      <c r="A98" s="166" t="s">
        <v>410</v>
      </c>
    </row>
    <row r="99" spans="1:3" s="2" customFormat="1" ht="13.5" thickBot="1">
      <c r="A99" s="399" t="s">
        <v>1288</v>
      </c>
    </row>
    <row r="100" spans="1:3" s="2" customFormat="1" ht="13.5" thickBot="1">
      <c r="B100" s="74">
        <f>H58</f>
        <v>0.15</v>
      </c>
    </row>
    <row r="101" spans="1:3" s="2" customFormat="1" ht="12.75"/>
    <row r="102" spans="1:3" s="2" customFormat="1" ht="13.5" thickBot="1">
      <c r="A102" s="19" t="s">
        <v>1248</v>
      </c>
    </row>
    <row r="103" spans="1:3" s="2" customFormat="1" ht="13.5" thickBot="1">
      <c r="B103" s="74">
        <f>H61</f>
        <v>0.37999999999999967</v>
      </c>
    </row>
    <row r="104" spans="1:3" s="2" customFormat="1" ht="12.75"/>
    <row r="105" spans="1:3" s="2" customFormat="1" ht="13.5" thickBot="1">
      <c r="A105" s="19" t="s">
        <v>1156</v>
      </c>
    </row>
    <row r="106" spans="1:3" s="2" customFormat="1" ht="13.5" thickBot="1">
      <c r="B106" s="74">
        <f>N77</f>
        <v>0.22118211819083444</v>
      </c>
      <c r="C106" s="2" t="s">
        <v>407</v>
      </c>
    </row>
    <row r="108" spans="1:3" s="2" customFormat="1" ht="13.5" thickBot="1">
      <c r="A108" s="19" t="s">
        <v>1509</v>
      </c>
    </row>
    <row r="109" spans="1:3" s="2" customFormat="1" ht="13.5" thickBot="1">
      <c r="B109" s="74">
        <f>N73</f>
        <v>-5.5673608582633149E-2</v>
      </c>
    </row>
    <row r="111" spans="1:3" ht="16.5" thickBot="1">
      <c r="A111" s="19" t="s">
        <v>1249</v>
      </c>
    </row>
    <row r="112" spans="1:3" ht="16.5" thickBot="1">
      <c r="B112" s="74">
        <f>H96</f>
        <v>0.16375912551897387</v>
      </c>
    </row>
    <row r="114" spans="1:32" ht="16.5" thickBot="1">
      <c r="A114" s="19" t="s">
        <v>1254</v>
      </c>
    </row>
    <row r="115" spans="1:32" ht="16.5" thickBot="1">
      <c r="B115" s="1063" t="s">
        <v>945</v>
      </c>
      <c r="C115" s="1065"/>
      <c r="AA115" t="s">
        <v>945</v>
      </c>
      <c r="AB115" t="s">
        <v>947</v>
      </c>
      <c r="AC115" t="s">
        <v>395</v>
      </c>
      <c r="AD115" t="s">
        <v>946</v>
      </c>
    </row>
    <row r="116" spans="1:32" s="2" customFormat="1" ht="12.75"/>
    <row r="117" spans="1:32" s="2" customFormat="1" ht="13.5" thickBot="1">
      <c r="A117" s="19" t="s">
        <v>1541</v>
      </c>
    </row>
    <row r="118" spans="1:32" ht="16.5" thickBot="1">
      <c r="B118" s="1063" t="s">
        <v>960</v>
      </c>
      <c r="C118" s="1064"/>
      <c r="D118" s="1064"/>
      <c r="E118" s="1065"/>
      <c r="AA118" s="2" t="s">
        <v>963</v>
      </c>
      <c r="AB118" s="2" t="s">
        <v>1258</v>
      </c>
      <c r="AC118" s="2" t="s">
        <v>1255</v>
      </c>
      <c r="AD118" s="2" t="s">
        <v>1257</v>
      </c>
      <c r="AE118" s="2" t="s">
        <v>960</v>
      </c>
    </row>
    <row r="119" spans="1:32" s="2" customFormat="1" ht="12.75"/>
    <row r="120" spans="1:32" s="2" customFormat="1" ht="12.75"/>
    <row r="121" spans="1:32" s="2" customFormat="1" ht="12.75"/>
    <row r="122" spans="1:32" s="2" customFormat="1" ht="12.75"/>
    <row r="123" spans="1:32" s="2" customFormat="1" ht="12.75"/>
    <row r="124" spans="1:32" s="2" customFormat="1" ht="12.75"/>
    <row r="125" spans="1:32" s="2" customFormat="1" ht="12.75"/>
    <row r="126" spans="1:32" s="615" customFormat="1" ht="12.75">
      <c r="AD126" s="2"/>
      <c r="AE126" s="2"/>
      <c r="AF126" s="2"/>
    </row>
    <row r="127" spans="1:32">
      <c r="AD127" s="2"/>
      <c r="AE127" s="2"/>
      <c r="AF127" s="2"/>
    </row>
    <row r="128" spans="1:32">
      <c r="AD128" s="2"/>
      <c r="AE128" s="2"/>
      <c r="AF128" s="2"/>
    </row>
    <row r="129" spans="30:32">
      <c r="AD129" s="2"/>
      <c r="AE129" s="2"/>
      <c r="AF129" s="2"/>
    </row>
    <row r="130" spans="30:32">
      <c r="AD130" s="2"/>
      <c r="AE130" s="2"/>
      <c r="AF130" s="2"/>
    </row>
    <row r="131" spans="30:32">
      <c r="AD131" s="2"/>
      <c r="AE131" s="2"/>
      <c r="AF131" s="2"/>
    </row>
    <row r="132" spans="30:32">
      <c r="AD132" s="2"/>
      <c r="AE132" s="2"/>
      <c r="AF132" s="2"/>
    </row>
    <row r="133" spans="30:32">
      <c r="AD133" s="2"/>
      <c r="AE133" s="2"/>
      <c r="AF133" s="2"/>
    </row>
    <row r="134" spans="30:32">
      <c r="AD134" s="2"/>
      <c r="AE134" s="2"/>
      <c r="AF134" s="2"/>
    </row>
    <row r="135" spans="30:32">
      <c r="AD135" s="2"/>
      <c r="AE135" s="2"/>
      <c r="AF135" s="2"/>
    </row>
    <row r="136" spans="30:32">
      <c r="AD136" s="2"/>
      <c r="AE136" s="2"/>
      <c r="AF136" s="2"/>
    </row>
    <row r="137" spans="30:32">
      <c r="AD137" s="2"/>
      <c r="AE137" s="2"/>
      <c r="AF137" s="2"/>
    </row>
    <row r="138" spans="30:32">
      <c r="AD138" s="2"/>
      <c r="AE138" s="2"/>
      <c r="AF138" s="2"/>
    </row>
    <row r="139" spans="30:32">
      <c r="AD139" s="2"/>
      <c r="AE139" s="2"/>
      <c r="AF139" s="2"/>
    </row>
    <row r="140" spans="30:32">
      <c r="AD140" s="2"/>
      <c r="AE140" s="2"/>
      <c r="AF140" s="2"/>
    </row>
    <row r="141" spans="30:32">
      <c r="AD141" s="2"/>
      <c r="AE141" s="2"/>
      <c r="AF141" s="2"/>
    </row>
    <row r="142" spans="30:32">
      <c r="AD142" s="2"/>
      <c r="AE142" s="2"/>
      <c r="AF142" s="2"/>
    </row>
    <row r="143" spans="30:32">
      <c r="AD143" s="2"/>
      <c r="AE143" s="2"/>
      <c r="AF143" s="2"/>
    </row>
    <row r="144" spans="30:32">
      <c r="AD144" s="2"/>
      <c r="AE144" s="2"/>
      <c r="AF144" s="2"/>
    </row>
    <row r="145" spans="30:32">
      <c r="AD145" s="2"/>
      <c r="AE145" s="2"/>
      <c r="AF145" s="2"/>
    </row>
    <row r="146" spans="30:32">
      <c r="AD146" s="2"/>
      <c r="AE146" s="2"/>
      <c r="AF146" s="2"/>
    </row>
    <row r="147" spans="30:32">
      <c r="AD147" s="2"/>
      <c r="AE147" s="2"/>
      <c r="AF147" s="2"/>
    </row>
    <row r="148" spans="30:32">
      <c r="AD148" s="2"/>
      <c r="AE148" s="2"/>
      <c r="AF148" s="2"/>
    </row>
    <row r="149" spans="30:32">
      <c r="AD149" s="2"/>
      <c r="AE149" s="2"/>
      <c r="AF149" s="2"/>
    </row>
  </sheetData>
  <sheetProtection algorithmName="SHA-512" hashValue="CJVSw3+HH5OSlS4naVQGvPKrEsm720ftVtMrbL4hSnIX/g4E8696RhPxGqCxCNu6P5UNZzKvu1rVtm83EiPsRA==" saltValue="ym0ie6fLJUH42cM2fwurbw==" spinCount="100000" sheet="1" objects="1" scenarios="1"/>
  <mergeCells count="2">
    <mergeCell ref="B118:E118"/>
    <mergeCell ref="B115:C115"/>
  </mergeCells>
  <dataValidations count="2">
    <dataValidation type="list" allowBlank="1" showInputMessage="1" showErrorMessage="1" sqref="B115" xr:uid="{4EAF9FEC-1B2F-9945-9DC2-2214B3A5D4FC}">
      <formula1>$AA$115:$AD$115</formula1>
    </dataValidation>
    <dataValidation type="list" allowBlank="1" showInputMessage="1" showErrorMessage="1" sqref="B118" xr:uid="{0B3A0EDD-D922-B34D-A4EF-71892C82A8B7}">
      <formula1>$AA$118:$AE$118</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6BF96-2184-4543-A31F-46BCF5A6654E}">
  <sheetPr published="0"/>
  <dimension ref="A1:AL106"/>
  <sheetViews>
    <sheetView topLeftCell="A44" zoomScale="120" zoomScaleNormal="120" workbookViewId="0">
      <selection activeCell="B87" sqref="B87:D87"/>
    </sheetView>
  </sheetViews>
  <sheetFormatPr defaultColWidth="10.875" defaultRowHeight="15.75"/>
  <cols>
    <col min="2" max="2" width="10.875" customWidth="1"/>
  </cols>
  <sheetData>
    <row r="1" spans="1:33" s="365" customFormat="1" ht="18.75">
      <c r="A1" s="149" t="s">
        <v>1141</v>
      </c>
      <c r="G1" s="368" t="s">
        <v>54</v>
      </c>
      <c r="K1" s="369"/>
      <c r="L1" s="369"/>
    </row>
    <row r="2" spans="1:33" s="369" customFormat="1" ht="12.75">
      <c r="A2" s="2" t="s">
        <v>757</v>
      </c>
    </row>
    <row r="3" spans="1:33" s="369" customFormat="1" ht="12.75">
      <c r="A3" s="2" t="s">
        <v>1146</v>
      </c>
    </row>
    <row r="4" spans="1:33" s="369" customFormat="1" ht="12.75">
      <c r="A4" s="2" t="str">
        <f ca="1">"Sheet: "&amp;MID(CELL("filename",A1),FIND("]",CELL("filename",A1))+1,255)</f>
        <v>Sheet: MODEL Make-Buy Decision</v>
      </c>
    </row>
    <row r="5" spans="1:33" s="2" customFormat="1" ht="13.5" thickBot="1"/>
    <row r="6" spans="1:33" s="153" customFormat="1">
      <c r="A6" s="150" t="s">
        <v>462</v>
      </c>
      <c r="B6" s="151"/>
      <c r="C6" s="151"/>
      <c r="D6" s="151"/>
      <c r="E6" s="151"/>
      <c r="F6" s="151"/>
      <c r="G6" s="151"/>
      <c r="H6" s="151"/>
      <c r="I6" s="151"/>
      <c r="J6" s="151"/>
      <c r="K6" s="152"/>
      <c r="M6"/>
      <c r="N6"/>
      <c r="O6"/>
      <c r="P6"/>
      <c r="Q6"/>
      <c r="R6"/>
      <c r="S6"/>
      <c r="T6"/>
      <c r="U6"/>
      <c r="V6"/>
      <c r="W6"/>
      <c r="X6"/>
      <c r="Y6"/>
      <c r="Z6"/>
      <c r="AA6"/>
      <c r="AB6"/>
      <c r="AC6"/>
      <c r="AD6"/>
      <c r="AE6"/>
      <c r="AF6"/>
      <c r="AG6"/>
    </row>
    <row r="7" spans="1:33" s="3" customFormat="1" ht="16.5" thickBot="1">
      <c r="A7" s="671" t="s">
        <v>1175</v>
      </c>
      <c r="B7" s="157"/>
      <c r="C7" s="157"/>
      <c r="D7" s="157"/>
      <c r="E7" s="157"/>
      <c r="F7" s="157"/>
      <c r="G7" s="157"/>
      <c r="H7" s="157"/>
      <c r="I7" s="157"/>
      <c r="J7" s="157"/>
      <c r="K7" s="158"/>
    </row>
    <row r="8" spans="1:33" s="2" customFormat="1" ht="12.75"/>
    <row r="9" spans="1:33" s="381" customFormat="1" ht="12.75">
      <c r="A9" s="373" t="s">
        <v>822</v>
      </c>
      <c r="B9" s="418"/>
      <c r="C9" s="418"/>
      <c r="D9" s="418"/>
      <c r="E9" s="418"/>
      <c r="F9" s="418"/>
      <c r="G9" s="418"/>
      <c r="H9" s="418"/>
      <c r="I9" s="418"/>
      <c r="J9" s="418"/>
      <c r="K9" s="419"/>
    </row>
    <row r="10" spans="1:33" s="381" customFormat="1" ht="14.1" customHeight="1">
      <c r="A10" s="430" t="s">
        <v>997</v>
      </c>
      <c r="K10" s="421"/>
    </row>
    <row r="11" spans="1:33" s="381" customFormat="1" ht="14.1" customHeight="1">
      <c r="A11" s="430" t="s">
        <v>998</v>
      </c>
      <c r="K11" s="421"/>
    </row>
    <row r="12" spans="1:33" s="381" customFormat="1" ht="14.1" customHeight="1">
      <c r="A12" s="430" t="s">
        <v>999</v>
      </c>
      <c r="K12" s="421"/>
    </row>
    <row r="13" spans="1:33" s="381" customFormat="1" ht="12.75">
      <c r="A13" s="373" t="s">
        <v>1210</v>
      </c>
      <c r="B13" s="418"/>
      <c r="C13" s="418"/>
      <c r="D13" s="418"/>
      <c r="E13" s="418"/>
      <c r="F13" s="418"/>
      <c r="G13" s="418"/>
      <c r="H13" s="418"/>
      <c r="I13" s="418"/>
      <c r="J13" s="418"/>
      <c r="K13" s="419"/>
    </row>
    <row r="14" spans="1:33" s="381" customFormat="1" ht="12.75">
      <c r="A14" s="431" t="s">
        <v>1000</v>
      </c>
      <c r="B14" s="422"/>
      <c r="C14" s="422"/>
      <c r="D14" s="422"/>
      <c r="E14" s="422"/>
      <c r="F14" s="422"/>
      <c r="G14" s="422"/>
      <c r="H14" s="422"/>
      <c r="I14" s="422"/>
      <c r="J14" s="422"/>
      <c r="K14" s="423"/>
    </row>
    <row r="15" spans="1:33" s="2" customFormat="1" ht="12.75"/>
    <row r="16" spans="1:33" s="2" customFormat="1" ht="12.75">
      <c r="A16" s="2" t="s">
        <v>1163</v>
      </c>
    </row>
    <row r="17" spans="1:11" s="2" customFormat="1" ht="12.75">
      <c r="A17" s="2" t="s">
        <v>978</v>
      </c>
    </row>
    <row r="18" spans="1:11" s="2" customFormat="1" ht="12.75">
      <c r="A18" s="2" t="s">
        <v>1113</v>
      </c>
    </row>
    <row r="19" spans="1:11" s="2" customFormat="1" ht="12.75">
      <c r="A19" s="2" t="s">
        <v>1014</v>
      </c>
    </row>
    <row r="20" spans="1:11" s="2" customFormat="1" ht="12.75">
      <c r="A20" s="19" t="s">
        <v>1028</v>
      </c>
    </row>
    <row r="21" spans="1:11" s="2" customFormat="1" ht="12.75">
      <c r="A21" s="19" t="s">
        <v>1106</v>
      </c>
    </row>
    <row r="22" spans="1:11" s="2" customFormat="1" ht="12.75">
      <c r="A22" s="19" t="s">
        <v>1196</v>
      </c>
    </row>
    <row r="23" spans="1:11" s="2" customFormat="1" ht="12.75">
      <c r="A23" s="19" t="s">
        <v>1017</v>
      </c>
    </row>
    <row r="24" spans="1:11" s="2" customFormat="1" ht="12.75">
      <c r="A24" s="19" t="s">
        <v>1018</v>
      </c>
    </row>
    <row r="25" spans="1:11" s="2" customFormat="1" ht="12.75">
      <c r="A25" s="19" t="str">
        <f ca="1">"At the end of the previous year, "&amp;C37&amp;", your company had $200,000 in Cash, zero debt, and $100,000 in Equity on its Balance Sheet."</f>
        <v>At the end of the previous year, 2022, your company had $200,000 in Cash, zero debt, and $100,000 in Equity on its Balance Sheet.</v>
      </c>
    </row>
    <row r="26" spans="1:11" s="2" customFormat="1" ht="12.75">
      <c r="A26" s="168" t="s">
        <v>1019</v>
      </c>
    </row>
    <row r="27" spans="1:11" s="2" customFormat="1" ht="13.5" thickBot="1"/>
    <row r="28" spans="1:11" s="2" customFormat="1" ht="13.5" thickBot="1">
      <c r="B28" s="2" t="s">
        <v>991</v>
      </c>
      <c r="D28" s="621">
        <v>300000</v>
      </c>
      <c r="E28" s="20"/>
      <c r="F28" s="369"/>
      <c r="G28" s="369"/>
      <c r="H28" s="20"/>
      <c r="I28" s="20"/>
      <c r="J28" s="20"/>
      <c r="K28" s="20"/>
    </row>
    <row r="29" spans="1:11" s="2" customFormat="1" ht="13.5" thickBot="1">
      <c r="E29" s="20"/>
      <c r="F29" s="367"/>
      <c r="G29" s="20"/>
      <c r="H29" s="20"/>
      <c r="I29" s="20"/>
      <c r="J29" s="20"/>
      <c r="K29" s="20"/>
    </row>
    <row r="30" spans="1:11" s="2" customFormat="1" ht="13.5" thickBot="1">
      <c r="B30" s="2" t="s">
        <v>990</v>
      </c>
      <c r="D30" s="622">
        <v>0.5</v>
      </c>
      <c r="E30" s="22"/>
      <c r="F30" s="394"/>
      <c r="G30" s="20"/>
      <c r="H30" s="20"/>
      <c r="I30" s="20"/>
      <c r="J30" s="20"/>
      <c r="K30" s="20"/>
    </row>
    <row r="31" spans="1:11" s="2" customFormat="1" ht="12.75"/>
    <row r="32" spans="1:11" s="2" customFormat="1" ht="12.75">
      <c r="A32" s="2" t="s">
        <v>1107</v>
      </c>
    </row>
    <row r="33" spans="1:38" s="2" customFormat="1" ht="12.75">
      <c r="A33" s="2" t="s">
        <v>1015</v>
      </c>
    </row>
    <row r="34" spans="1:38" s="2" customFormat="1" ht="12.75">
      <c r="A34" s="2" t="s">
        <v>1020</v>
      </c>
    </row>
    <row r="35" spans="1:38" s="2" customFormat="1" ht="12.75"/>
    <row r="36" spans="1:38" s="2" customFormat="1" ht="12.75">
      <c r="D36" s="54" t="s">
        <v>1505</v>
      </c>
      <c r="E36" s="18">
        <v>1</v>
      </c>
      <c r="F36" s="18">
        <v>2</v>
      </c>
      <c r="G36" s="18">
        <v>3</v>
      </c>
      <c r="H36" s="18">
        <v>4</v>
      </c>
      <c r="I36" s="18">
        <v>5</v>
      </c>
    </row>
    <row r="37" spans="1:38" s="2" customFormat="1" ht="12.75">
      <c r="C37" s="18">
        <f ca="1">D37-1</f>
        <v>2022</v>
      </c>
      <c r="D37" s="18">
        <f ca="1">YEAR(TODAY())</f>
        <v>2023</v>
      </c>
      <c r="E37" s="18">
        <f ca="1">+D37+1</f>
        <v>2024</v>
      </c>
      <c r="F37" s="18">
        <f ca="1">+E37+1</f>
        <v>2025</v>
      </c>
      <c r="G37" s="18">
        <f ca="1">+F37+1</f>
        <v>2026</v>
      </c>
      <c r="H37" s="18">
        <f ca="1">+G37+1</f>
        <v>2027</v>
      </c>
      <c r="I37" s="18">
        <f ca="1">+H37+1</f>
        <v>2028</v>
      </c>
      <c r="K37" s="18" t="s">
        <v>1004</v>
      </c>
    </row>
    <row r="38" spans="1:38" s="2" customFormat="1" ht="12.75">
      <c r="A38" s="18" t="s">
        <v>75</v>
      </c>
      <c r="D38" s="18"/>
      <c r="E38" s="18"/>
      <c r="F38" s="18"/>
      <c r="G38" s="18"/>
      <c r="H38" s="18"/>
      <c r="I38" s="18"/>
    </row>
    <row r="39" spans="1:38" s="2" customFormat="1" ht="12.75">
      <c r="A39" s="19" t="s">
        <v>1016</v>
      </c>
      <c r="D39" s="20"/>
      <c r="E39" s="414">
        <f>200000*(1+X!CC2/10)</f>
        <v>480000</v>
      </c>
      <c r="F39" s="414">
        <f>E39</f>
        <v>480000</v>
      </c>
      <c r="G39" s="414">
        <f>F39</f>
        <v>480000</v>
      </c>
      <c r="H39" s="414">
        <f>G39</f>
        <v>480000</v>
      </c>
      <c r="I39" s="414">
        <f>H39</f>
        <v>480000</v>
      </c>
      <c r="K39" s="2" t="s">
        <v>1029</v>
      </c>
      <c r="AH39" s="414"/>
      <c r="AI39" s="414"/>
      <c r="AJ39" s="414"/>
      <c r="AK39" s="414"/>
      <c r="AL39" s="414"/>
    </row>
    <row r="40" spans="1:38" s="2" customFormat="1" ht="12.75">
      <c r="A40" s="19" t="s">
        <v>224</v>
      </c>
      <c r="D40" s="20"/>
      <c r="E40" s="20">
        <f>-$D$28/5</f>
        <v>-60000</v>
      </c>
      <c r="F40" s="20">
        <f>-$D$28/5</f>
        <v>-60000</v>
      </c>
      <c r="G40" s="20">
        <f>-$D$28/5</f>
        <v>-60000</v>
      </c>
      <c r="H40" s="20">
        <f>-$D$28/5</f>
        <v>-60000</v>
      </c>
      <c r="I40" s="20">
        <f>-$D$28/5</f>
        <v>-60000</v>
      </c>
      <c r="AH40" s="20"/>
      <c r="AI40" s="20"/>
      <c r="AJ40" s="20"/>
      <c r="AK40" s="20"/>
      <c r="AL40" s="20"/>
    </row>
    <row r="41" spans="1:38" s="2" customFormat="1" ht="12.75">
      <c r="A41" s="19" t="s">
        <v>979</v>
      </c>
      <c r="D41" s="20"/>
      <c r="E41" s="20">
        <f>-100000*(1+X!CC2/10)</f>
        <v>-240000</v>
      </c>
      <c r="F41" s="20">
        <f>E41</f>
        <v>-240000</v>
      </c>
      <c r="G41" s="20">
        <f>F41</f>
        <v>-240000</v>
      </c>
      <c r="H41" s="20">
        <f>G41</f>
        <v>-240000</v>
      </c>
      <c r="I41" s="20">
        <f>H41</f>
        <v>-240000</v>
      </c>
      <c r="AH41" s="414"/>
      <c r="AI41" s="414"/>
      <c r="AJ41" s="414"/>
      <c r="AK41" s="414"/>
      <c r="AL41" s="414"/>
    </row>
    <row r="42" spans="1:38" s="2" customFormat="1" ht="12.75">
      <c r="A42" s="19" t="s">
        <v>980</v>
      </c>
      <c r="D42" s="20"/>
      <c r="E42" s="20">
        <v>-10000</v>
      </c>
      <c r="F42" s="20">
        <f>E42</f>
        <v>-10000</v>
      </c>
      <c r="G42" s="20">
        <f t="shared" ref="G42:I42" si="0">F42</f>
        <v>-10000</v>
      </c>
      <c r="H42" s="20">
        <f t="shared" si="0"/>
        <v>-10000</v>
      </c>
      <c r="I42" s="20">
        <f t="shared" si="0"/>
        <v>-10000</v>
      </c>
      <c r="AH42" s="414"/>
      <c r="AI42" s="414"/>
      <c r="AJ42" s="414"/>
      <c r="AK42" s="414"/>
      <c r="AL42" s="414"/>
    </row>
    <row r="43" spans="1:38" s="18" customFormat="1" ht="13.5" thickBot="1">
      <c r="A43" s="432" t="s">
        <v>227</v>
      </c>
      <c r="D43" s="417"/>
      <c r="E43" s="417">
        <f>SUM(E39:E42)</f>
        <v>170000</v>
      </c>
      <c r="F43" s="417">
        <f>SUM(F39:F42)</f>
        <v>170000</v>
      </c>
      <c r="G43" s="417">
        <f>SUM(G39:G42)</f>
        <v>170000</v>
      </c>
      <c r="H43" s="417">
        <f>SUM(H39:H42)</f>
        <v>170000</v>
      </c>
      <c r="I43" s="417">
        <f>SUM(I39:I42)</f>
        <v>170000</v>
      </c>
      <c r="K43" s="2"/>
      <c r="AH43" s="417"/>
      <c r="AI43" s="417"/>
      <c r="AJ43" s="417"/>
      <c r="AK43" s="417"/>
      <c r="AL43" s="417"/>
    </row>
    <row r="44" spans="1:38" s="2" customFormat="1" ht="13.5" thickBot="1">
      <c r="A44" s="19" t="s">
        <v>1005</v>
      </c>
      <c r="D44" s="20"/>
      <c r="E44" s="7">
        <f>0.05*(D50-D52)</f>
        <v>-5000</v>
      </c>
      <c r="F44" s="113">
        <f>0.05*(E50-E52)</f>
        <v>3775</v>
      </c>
      <c r="G44" s="113">
        <f t="shared" ref="G44:I44" si="1">0.05*(F50-F52)</f>
        <v>13457.125</v>
      </c>
      <c r="H44" s="113">
        <f t="shared" si="1"/>
        <v>24078.124375000003</v>
      </c>
      <c r="I44" s="7">
        <f t="shared" si="1"/>
        <v>35670.858728125007</v>
      </c>
      <c r="K44" s="2" t="s">
        <v>1162</v>
      </c>
    </row>
    <row r="45" spans="1:38" s="18" customFormat="1" ht="12.75">
      <c r="A45" s="432" t="s">
        <v>981</v>
      </c>
      <c r="D45" s="417"/>
      <c r="E45" s="417">
        <f>SUM(E43:E44)</f>
        <v>165000</v>
      </c>
      <c r="F45" s="417">
        <f>SUM(F43:F44)</f>
        <v>173775</v>
      </c>
      <c r="G45" s="417">
        <f>SUM(G43:G44)</f>
        <v>183457.125</v>
      </c>
      <c r="H45" s="417">
        <f>SUM(H43:H44)</f>
        <v>194078.12437500001</v>
      </c>
      <c r="I45" s="417">
        <f>SUM(I43:I44)</f>
        <v>205670.85872812499</v>
      </c>
      <c r="K45" s="2"/>
    </row>
    <row r="46" spans="1:38" s="2" customFormat="1" ht="12.75">
      <c r="A46" s="19" t="s">
        <v>1006</v>
      </c>
      <c r="D46" s="20"/>
      <c r="E46" s="414">
        <f>E45*0.3</f>
        <v>49500</v>
      </c>
      <c r="F46" s="414">
        <f>F45*0.3</f>
        <v>52132.5</v>
      </c>
      <c r="G46" s="414">
        <f>G45*0.3</f>
        <v>55037.137499999997</v>
      </c>
      <c r="H46" s="414">
        <f>H45*0.3</f>
        <v>58223.437312500006</v>
      </c>
      <c r="I46" s="414">
        <f>I45*0.3</f>
        <v>61701.257618437492</v>
      </c>
    </row>
    <row r="47" spans="1:38" s="18" customFormat="1" ht="12.75">
      <c r="A47" s="432" t="s">
        <v>56</v>
      </c>
      <c r="D47" s="417">
        <v>0</v>
      </c>
      <c r="E47" s="417">
        <f>E45-E46</f>
        <v>115500</v>
      </c>
      <c r="F47" s="417">
        <f>F45-F46</f>
        <v>121642.5</v>
      </c>
      <c r="G47" s="417">
        <f>G45-G46</f>
        <v>128419.9875</v>
      </c>
      <c r="H47" s="417">
        <f>H45-H46</f>
        <v>135854.68706250002</v>
      </c>
      <c r="I47" s="417">
        <f>I45-I46</f>
        <v>143969.6011096875</v>
      </c>
      <c r="K47" s="2"/>
    </row>
    <row r="48" spans="1:38" s="2" customFormat="1" ht="12.75">
      <c r="D48" s="20"/>
      <c r="E48" s="20"/>
      <c r="F48" s="20"/>
      <c r="G48" s="20"/>
      <c r="H48" s="20"/>
      <c r="I48" s="20"/>
    </row>
    <row r="49" spans="1:11" s="2" customFormat="1" ht="13.5" thickBot="1">
      <c r="A49" s="18" t="s">
        <v>1007</v>
      </c>
      <c r="D49" s="20"/>
      <c r="E49" s="20"/>
      <c r="F49" s="20"/>
      <c r="G49" s="20"/>
      <c r="H49" s="20"/>
      <c r="I49" s="20"/>
    </row>
    <row r="50" spans="1:11" s="2" customFormat="1" ht="13.5" thickBot="1">
      <c r="A50" s="19" t="s">
        <v>284</v>
      </c>
      <c r="C50" s="434">
        <v>200000</v>
      </c>
      <c r="D50" s="20">
        <f t="shared" ref="D50" si="2">C50+D63</f>
        <v>50000</v>
      </c>
      <c r="E50" s="7">
        <f>D50+E63</f>
        <v>375500</v>
      </c>
      <c r="F50" s="113">
        <f>E50+F63</f>
        <v>762785</v>
      </c>
      <c r="G50" s="113">
        <f t="shared" ref="G50:I50" si="3">F50+G63</f>
        <v>1187624.9750000001</v>
      </c>
      <c r="H50" s="113">
        <f t="shared" si="3"/>
        <v>1651334.3491250002</v>
      </c>
      <c r="I50" s="7">
        <f t="shared" si="3"/>
        <v>2155273.5513443751</v>
      </c>
      <c r="K50" s="2" t="s">
        <v>1008</v>
      </c>
    </row>
    <row r="51" spans="1:11" s="2" customFormat="1" ht="13.5" thickBot="1">
      <c r="A51" s="19" t="s">
        <v>68</v>
      </c>
      <c r="C51" s="2">
        <v>0</v>
      </c>
      <c r="D51" s="20">
        <f t="shared" ref="D51" si="4">C51-D57-D59</f>
        <v>300000</v>
      </c>
      <c r="E51" s="7">
        <f>D51-E40+E59</f>
        <v>360000</v>
      </c>
      <c r="F51" s="113">
        <f>E51-F40+F59</f>
        <v>420000</v>
      </c>
      <c r="G51" s="113">
        <f t="shared" ref="G51:I51" si="5">F51-G40+G59</f>
        <v>480000</v>
      </c>
      <c r="H51" s="113">
        <f t="shared" si="5"/>
        <v>540000</v>
      </c>
      <c r="I51" s="7">
        <f t="shared" si="5"/>
        <v>600000</v>
      </c>
      <c r="K51" s="2" t="s">
        <v>1525</v>
      </c>
    </row>
    <row r="52" spans="1:11" s="2" customFormat="1" ht="13.5" thickBot="1">
      <c r="A52" s="19" t="s">
        <v>984</v>
      </c>
      <c r="C52" s="2">
        <v>0</v>
      </c>
      <c r="D52" s="20">
        <f>D28*D30</f>
        <v>150000</v>
      </c>
      <c r="E52" s="7">
        <f>D52+E61</f>
        <v>300000</v>
      </c>
      <c r="F52" s="113">
        <f>E52+F61</f>
        <v>493642.5</v>
      </c>
      <c r="G52" s="113">
        <f t="shared" ref="G52:I52" si="6">F52+G61</f>
        <v>706062.48750000005</v>
      </c>
      <c r="H52" s="113">
        <f t="shared" si="6"/>
        <v>937917.17456250009</v>
      </c>
      <c r="I52" s="7">
        <f t="shared" si="6"/>
        <v>1189886.7756721876</v>
      </c>
      <c r="K52" s="2" t="s">
        <v>1009</v>
      </c>
    </row>
    <row r="53" spans="1:11" s="2" customFormat="1" ht="13.5" thickBot="1">
      <c r="A53" s="19" t="s">
        <v>88</v>
      </c>
      <c r="C53" s="434">
        <v>100000</v>
      </c>
      <c r="D53" s="20">
        <v>100000</v>
      </c>
      <c r="E53" s="7">
        <f>D53+E47</f>
        <v>215500</v>
      </c>
      <c r="F53" s="113">
        <f>E53+F47</f>
        <v>337142.5</v>
      </c>
      <c r="G53" s="113">
        <f t="shared" ref="G53:I53" si="7">F53+G47</f>
        <v>465562.48749999999</v>
      </c>
      <c r="H53" s="113">
        <f t="shared" si="7"/>
        <v>601417.17456249997</v>
      </c>
      <c r="I53" s="7">
        <f t="shared" si="7"/>
        <v>745386.77567218745</v>
      </c>
      <c r="K53" s="2" t="s">
        <v>1011</v>
      </c>
    </row>
    <row r="54" spans="1:11" s="2" customFormat="1" ht="12.75">
      <c r="D54" s="20"/>
      <c r="E54" s="20"/>
      <c r="F54" s="20"/>
      <c r="G54" s="20"/>
      <c r="H54" s="20"/>
      <c r="I54" s="20"/>
    </row>
    <row r="55" spans="1:11" s="2" customFormat="1" ht="13.5" thickBot="1">
      <c r="A55" s="18" t="s">
        <v>77</v>
      </c>
      <c r="D55" s="20"/>
      <c r="E55" s="20"/>
      <c r="F55" s="20"/>
      <c r="G55" s="20"/>
      <c r="H55" s="20"/>
      <c r="I55" s="20"/>
    </row>
    <row r="56" spans="1:11" s="2" customFormat="1" ht="13.5" thickBot="1">
      <c r="A56" s="19" t="str">
        <f>A47</f>
        <v>Net Income</v>
      </c>
      <c r="D56" s="20"/>
      <c r="E56" s="7">
        <f>E47</f>
        <v>115500</v>
      </c>
      <c r="F56" s="113">
        <f>F47</f>
        <v>121642.5</v>
      </c>
      <c r="G56" s="113">
        <f t="shared" ref="G56:I56" si="8">G47</f>
        <v>128419.9875</v>
      </c>
      <c r="H56" s="113">
        <f t="shared" si="8"/>
        <v>135854.68706250002</v>
      </c>
      <c r="I56" s="7">
        <f t="shared" si="8"/>
        <v>143969.6011096875</v>
      </c>
      <c r="K56" s="2" t="s">
        <v>1012</v>
      </c>
    </row>
    <row r="57" spans="1:11" s="2" customFormat="1" ht="13.5" thickBot="1">
      <c r="A57" s="19" t="s">
        <v>224</v>
      </c>
      <c r="D57" s="20"/>
      <c r="E57" s="7">
        <f>D51/5</f>
        <v>60000</v>
      </c>
      <c r="F57" s="113">
        <f>E51/5</f>
        <v>72000</v>
      </c>
      <c r="G57" s="113">
        <f t="shared" ref="G57:I57" si="9">F51/5</f>
        <v>84000</v>
      </c>
      <c r="H57" s="113">
        <f t="shared" si="9"/>
        <v>96000</v>
      </c>
      <c r="I57" s="7">
        <f t="shared" si="9"/>
        <v>108000</v>
      </c>
      <c r="K57" s="2" t="s">
        <v>1013</v>
      </c>
    </row>
    <row r="58" spans="1:11" s="18" customFormat="1" ht="12.75">
      <c r="A58" s="433" t="s">
        <v>982</v>
      </c>
      <c r="D58" s="417">
        <f t="shared" ref="D58:I58" si="10">SUM(D56:D57)</f>
        <v>0</v>
      </c>
      <c r="E58" s="417">
        <f t="shared" si="10"/>
        <v>175500</v>
      </c>
      <c r="F58" s="417">
        <f t="shared" si="10"/>
        <v>193642.5</v>
      </c>
      <c r="G58" s="417">
        <f t="shared" si="10"/>
        <v>212419.98749999999</v>
      </c>
      <c r="H58" s="417">
        <f t="shared" si="10"/>
        <v>231854.68706250002</v>
      </c>
      <c r="I58" s="417">
        <f t="shared" si="10"/>
        <v>251969.6011096875</v>
      </c>
      <c r="K58" s="2"/>
    </row>
    <row r="59" spans="1:11" s="2" customFormat="1" ht="12.75">
      <c r="A59" s="19" t="s">
        <v>223</v>
      </c>
      <c r="D59" s="20">
        <f>-D28</f>
        <v>-300000</v>
      </c>
      <c r="E59" s="708">
        <v>0</v>
      </c>
      <c r="F59" s="708">
        <v>0</v>
      </c>
      <c r="G59" s="708">
        <v>0</v>
      </c>
      <c r="H59" s="708">
        <v>0</v>
      </c>
      <c r="I59" s="708">
        <v>0</v>
      </c>
    </row>
    <row r="60" spans="1:11" s="18" customFormat="1" ht="13.5" thickBot="1">
      <c r="A60" s="433" t="s">
        <v>988</v>
      </c>
      <c r="D60" s="417">
        <f t="shared" ref="D60:I60" si="11">D59</f>
        <v>-300000</v>
      </c>
      <c r="E60" s="417">
        <f t="shared" si="11"/>
        <v>0</v>
      </c>
      <c r="F60" s="417">
        <f t="shared" si="11"/>
        <v>0</v>
      </c>
      <c r="G60" s="417">
        <f t="shared" si="11"/>
        <v>0</v>
      </c>
      <c r="H60" s="417">
        <f t="shared" si="11"/>
        <v>0</v>
      </c>
      <c r="I60" s="417">
        <f t="shared" si="11"/>
        <v>0</v>
      </c>
      <c r="K60" s="2"/>
    </row>
    <row r="61" spans="1:11" s="2" customFormat="1" ht="13.5" thickBot="1">
      <c r="A61" s="19" t="s">
        <v>1010</v>
      </c>
      <c r="D61" s="367">
        <f>-D59*D30</f>
        <v>150000</v>
      </c>
      <c r="E61" s="7">
        <f>MIN(SUM($D$61:D61),E58+E60)</f>
        <v>150000</v>
      </c>
      <c r="F61" s="7">
        <f>MIN(SUM($D$61:E61),F58+F60)</f>
        <v>193642.5</v>
      </c>
      <c r="G61" s="7">
        <f>MIN(SUM($D$61:F61),G58+G60)</f>
        <v>212419.98749999999</v>
      </c>
      <c r="H61" s="7">
        <f>MIN(SUM($D$61:G61),H58+H60)</f>
        <v>231854.68706250002</v>
      </c>
      <c r="I61" s="7">
        <f>MIN(SUM($D$61:H61),I58+I60)</f>
        <v>251969.6011096875</v>
      </c>
      <c r="K61" s="2" t="str">
        <f>"Debt based on Percent Debt Financed with 1/5th retired each year. Must be a formula based on "&amp;INDEX(Column,2,COLUMN(D52))&amp;ROW(D52)&amp;" enabling changed assumptions of percent debt financed."</f>
        <v>Debt based on Percent Debt Financed with 1/5th retired each year. Must be a formula based on D52 enabling changed assumptions of percent debt financed.</v>
      </c>
    </row>
    <row r="62" spans="1:11" s="18" customFormat="1" ht="12.75">
      <c r="A62" s="433" t="s">
        <v>989</v>
      </c>
      <c r="D62" s="417">
        <f t="shared" ref="D62:I62" si="12">D61</f>
        <v>150000</v>
      </c>
      <c r="E62" s="417">
        <f t="shared" si="12"/>
        <v>150000</v>
      </c>
      <c r="F62" s="417">
        <f t="shared" si="12"/>
        <v>193642.5</v>
      </c>
      <c r="G62" s="417">
        <f t="shared" si="12"/>
        <v>212419.98749999999</v>
      </c>
      <c r="H62" s="417">
        <f t="shared" si="12"/>
        <v>231854.68706250002</v>
      </c>
      <c r="I62" s="417">
        <f t="shared" si="12"/>
        <v>251969.6011096875</v>
      </c>
      <c r="K62" s="2"/>
    </row>
    <row r="63" spans="1:11">
      <c r="A63" s="19" t="s">
        <v>985</v>
      </c>
      <c r="D63" s="417">
        <f t="shared" ref="D63:I63" si="13">D58+D60+D62</f>
        <v>-150000</v>
      </c>
      <c r="E63" s="417">
        <f t="shared" si="13"/>
        <v>325500</v>
      </c>
      <c r="F63" s="417">
        <f t="shared" si="13"/>
        <v>387285</v>
      </c>
      <c r="G63" s="417">
        <f t="shared" si="13"/>
        <v>424839.97499999998</v>
      </c>
      <c r="H63" s="417">
        <f t="shared" si="13"/>
        <v>463709.37412500003</v>
      </c>
      <c r="I63" s="417">
        <f t="shared" si="13"/>
        <v>503939.202219375</v>
      </c>
      <c r="K63" s="2"/>
    </row>
    <row r="64" spans="1:11" s="2" customFormat="1" ht="12.75">
      <c r="E64" s="20"/>
      <c r="F64" s="20"/>
      <c r="G64" s="20"/>
      <c r="H64" s="20"/>
      <c r="I64" s="20"/>
      <c r="J64" s="20"/>
      <c r="K64" s="20"/>
    </row>
    <row r="65" spans="1:11" s="2" customFormat="1" ht="13.5" thickBot="1">
      <c r="A65" s="2" t="str">
        <f>"Write a fomula that calculates the Net Present Value (NPV) of the cash flows in Row "&amp;ROW(D63)&amp;" using a 10% discount factor."</f>
        <v>Write a fomula that calculates the Net Present Value (NPV) of the cash flows in Row 63 using a 10% discount factor.</v>
      </c>
      <c r="E65" s="20"/>
      <c r="F65" s="20"/>
      <c r="G65" s="20"/>
      <c r="H65" s="20"/>
      <c r="I65" s="20"/>
      <c r="J65" s="20"/>
      <c r="K65" s="20"/>
    </row>
    <row r="66" spans="1:11" s="2" customFormat="1" ht="13.5" thickBot="1">
      <c r="B66" s="750">
        <f>NPV(10%,E63:I63)+D63</f>
        <v>1414794.238164851</v>
      </c>
      <c r="E66" s="20"/>
      <c r="F66" s="434"/>
      <c r="G66" s="20"/>
      <c r="H66" s="20"/>
      <c r="I66" s="20"/>
      <c r="J66" s="20"/>
      <c r="K66" s="20"/>
    </row>
    <row r="67" spans="1:11" s="2" customFormat="1" ht="12.75">
      <c r="B67" s="414"/>
      <c r="E67" s="367"/>
      <c r="F67" s="434"/>
      <c r="G67" s="367"/>
      <c r="H67" s="367"/>
      <c r="I67" s="367"/>
      <c r="J67" s="367"/>
      <c r="K67" s="367"/>
    </row>
    <row r="68" spans="1:11" s="2" customFormat="1" ht="13.5" thickBot="1">
      <c r="A68" s="2" t="str">
        <f>"Change the 'Investment Required', cell "&amp;INDEX(Column,2,COLUMN(D28))&amp;ROW(D28)&amp;", to $200,000 and enter the resulting NPV value (not the formula) in the yellow box below."</f>
        <v>Change the 'Investment Required', cell D28, to $200,000 and enter the resulting NPV value (not the formula) in the yellow box below.</v>
      </c>
      <c r="D68" s="23"/>
      <c r="E68" s="20"/>
      <c r="F68" s="20"/>
      <c r="G68" s="20"/>
      <c r="H68" s="20"/>
      <c r="I68" s="20"/>
      <c r="J68" s="20"/>
      <c r="K68" s="20"/>
    </row>
    <row r="69" spans="1:11" s="2" customFormat="1" ht="13.5" thickBot="1">
      <c r="B69" s="7">
        <v>1344664.11</v>
      </c>
      <c r="D69" s="23"/>
      <c r="E69" s="367"/>
      <c r="G69" s="20"/>
      <c r="H69" s="20"/>
      <c r="I69" s="20"/>
      <c r="J69" s="20"/>
      <c r="K69" s="20"/>
    </row>
    <row r="70" spans="1:11" s="2" customFormat="1" ht="12.75">
      <c r="B70" s="434"/>
      <c r="E70" s="20"/>
      <c r="G70" s="20"/>
      <c r="H70" s="20"/>
      <c r="I70" s="20"/>
      <c r="J70" s="20"/>
      <c r="K70" s="20"/>
    </row>
    <row r="71" spans="1:11" s="2" customFormat="1" ht="13.5" thickBot="1">
      <c r="A71" s="2" t="s">
        <v>1197</v>
      </c>
      <c r="E71" s="20"/>
      <c r="G71" s="20"/>
      <c r="H71" s="20"/>
      <c r="I71" s="20"/>
      <c r="J71" s="20"/>
      <c r="K71" s="20"/>
    </row>
    <row r="72" spans="1:11" s="2" customFormat="1" ht="13.5" thickBot="1">
      <c r="B72" s="7">
        <v>555513.87</v>
      </c>
      <c r="D72" s="23"/>
      <c r="E72" s="367"/>
      <c r="G72" s="20"/>
      <c r="H72" s="20"/>
      <c r="I72" s="20"/>
      <c r="J72" s="20"/>
      <c r="K72" s="20"/>
    </row>
    <row r="73" spans="1:11" s="2" customFormat="1" ht="12.75">
      <c r="E73" s="20"/>
      <c r="F73" s="20"/>
      <c r="G73" s="20"/>
      <c r="H73" s="20"/>
      <c r="I73" s="20"/>
      <c r="J73" s="20"/>
      <c r="K73" s="20"/>
    </row>
    <row r="74" spans="1:11" s="2" customFormat="1" ht="12.75">
      <c r="A74" s="2" t="s">
        <v>1001</v>
      </c>
      <c r="E74" s="20"/>
      <c r="F74" s="20"/>
      <c r="G74" s="20"/>
      <c r="H74" s="20"/>
      <c r="I74" s="20"/>
      <c r="J74" s="20"/>
      <c r="K74" s="20"/>
    </row>
    <row r="75" spans="1:11" s="2" customFormat="1" ht="12.75">
      <c r="A75" s="2" t="s">
        <v>1108</v>
      </c>
    </row>
    <row r="76" spans="1:11" s="2" customFormat="1" ht="12.75">
      <c r="A76" s="2" t="s">
        <v>1030</v>
      </c>
    </row>
    <row r="77" spans="1:11" s="2" customFormat="1" ht="12.75">
      <c r="A77" s="2" t="s">
        <v>1002</v>
      </c>
    </row>
    <row r="78" spans="1:11" s="2" customFormat="1" ht="12.75"/>
    <row r="79" spans="1:11" s="2" customFormat="1" ht="12.75">
      <c r="F79" s="435" t="s">
        <v>990</v>
      </c>
    </row>
    <row r="80" spans="1:11" s="2" customFormat="1" ht="12.75">
      <c r="C80" s="436">
        <f>B66</f>
        <v>1414794.238164851</v>
      </c>
      <c r="D80" s="437">
        <v>0</v>
      </c>
      <c r="E80" s="437">
        <v>0.25</v>
      </c>
      <c r="F80" s="437">
        <v>0.5</v>
      </c>
      <c r="G80" s="437">
        <v>0.75</v>
      </c>
      <c r="H80" s="437">
        <v>1</v>
      </c>
    </row>
    <row r="81" spans="1:24" s="2" customFormat="1" ht="12.75">
      <c r="C81" s="438">
        <v>200000</v>
      </c>
      <c r="D81" s="439">
        <f t="dataTable" ref="D81:H84" dt2D="1" dtr="1" r1="D30" r2="D28"/>
        <v>555513.87322688138</v>
      </c>
      <c r="E81" s="440">
        <v>1176059.733681411</v>
      </c>
      <c r="F81" s="440">
        <v>1344664.1100901265</v>
      </c>
      <c r="G81" s="440">
        <v>1440118.6555446719</v>
      </c>
      <c r="H81" s="441">
        <v>1511027.7464537628</v>
      </c>
    </row>
    <row r="82" spans="1:24" s="2" customFormat="1" ht="12.75">
      <c r="B82" s="18" t="s">
        <v>992</v>
      </c>
      <c r="C82" s="438">
        <f>C81+50000</f>
        <v>250000</v>
      </c>
      <c r="D82" s="442">
        <v>524750.95070010796</v>
      </c>
      <c r="E82" s="443">
        <v>1206403.7609043482</v>
      </c>
      <c r="F82" s="443">
        <v>1379729.1741274886</v>
      </c>
      <c r="G82" s="443">
        <v>1487001.9014002159</v>
      </c>
      <c r="H82" s="444">
        <v>1549501.9014002159</v>
      </c>
    </row>
    <row r="83" spans="1:24" s="2" customFormat="1" ht="12.75">
      <c r="B83" s="18" t="s">
        <v>464</v>
      </c>
      <c r="C83" s="438">
        <f>C82+50000</f>
        <v>300000</v>
      </c>
      <c r="D83" s="442">
        <v>493988.02817333466</v>
      </c>
      <c r="E83" s="443">
        <v>1235544.238164851</v>
      </c>
      <c r="F83" s="443">
        <v>1414794.238164851</v>
      </c>
      <c r="G83" s="443">
        <v>1512976.0563466693</v>
      </c>
      <c r="H83" s="444">
        <v>1587976.0563466693</v>
      </c>
    </row>
    <row r="84" spans="1:24" s="2" customFormat="1" ht="12.75">
      <c r="C84" s="438">
        <f>C83+50000</f>
        <v>350000</v>
      </c>
      <c r="D84" s="445">
        <v>463225.10564656125</v>
      </c>
      <c r="E84" s="446">
        <v>1264684.7154253535</v>
      </c>
      <c r="F84" s="446">
        <v>1449859.3022022136</v>
      </c>
      <c r="G84" s="446">
        <v>1538950.2112931225</v>
      </c>
      <c r="H84" s="447">
        <v>1626450.2112931225</v>
      </c>
    </row>
    <row r="85" spans="1:24" s="2" customFormat="1" ht="12.75"/>
    <row r="86" spans="1:24" s="2" customFormat="1" ht="13.5" thickBot="1">
      <c r="A86" s="2" t="s">
        <v>1292</v>
      </c>
    </row>
    <row r="87" spans="1:24" s="2" customFormat="1" ht="17.100000000000001" customHeight="1" thickBot="1">
      <c r="B87" s="1066" t="s">
        <v>1003</v>
      </c>
      <c r="C87" s="1067"/>
      <c r="D87" s="1068"/>
      <c r="W87" s="2" t="s">
        <v>1031</v>
      </c>
      <c r="X87" s="2" t="s">
        <v>1003</v>
      </c>
    </row>
    <row r="88" spans="1:24" s="2" customFormat="1" ht="12.75"/>
    <row r="89" spans="1:24" s="2" customFormat="1" ht="12.75"/>
    <row r="90" spans="1:24" s="2" customFormat="1" ht="12.75"/>
    <row r="91" spans="1:24" s="2" customFormat="1" ht="12.75"/>
    <row r="92" spans="1:24" s="2" customFormat="1" ht="12.75"/>
    <row r="93" spans="1:24" s="2" customFormat="1" ht="12.75"/>
    <row r="94" spans="1:24" s="2" customFormat="1" ht="12.75"/>
    <row r="95" spans="1:24" s="2" customFormat="1" ht="12.75"/>
    <row r="96" spans="1:24" s="2" customFormat="1" ht="12.75"/>
    <row r="97" spans="23:23" s="2" customFormat="1" ht="12.75"/>
    <row r="98" spans="23:23" s="2" customFormat="1" ht="12.75"/>
    <row r="99" spans="23:23" s="2" customFormat="1" ht="12.75"/>
    <row r="100" spans="23:23" s="2" customFormat="1" ht="12.75"/>
    <row r="101" spans="23:23" s="2" customFormat="1" ht="12.75"/>
    <row r="102" spans="23:23">
      <c r="W102" s="2"/>
    </row>
    <row r="103" spans="23:23">
      <c r="W103" s="2"/>
    </row>
    <row r="104" spans="23:23">
      <c r="W104" s="2"/>
    </row>
    <row r="105" spans="23:23">
      <c r="W105" s="2"/>
    </row>
    <row r="106" spans="23:23">
      <c r="W106" s="2"/>
    </row>
  </sheetData>
  <sheetProtection algorithmName="SHA-512" hashValue="mVeElUzaGfdxCCK5p+qPS3r6Ggi/w3mz/5DSbgy3Gv7IS9uItxk/GDJ+YlfpZ9pq0difKKeMmIxlgy4LEssXww==" saltValue="GhUYonB0mGPZ56GrnBRgBg==" spinCount="100000" sheet="1" objects="1" scenarios="1"/>
  <mergeCells count="1">
    <mergeCell ref="B87:D87"/>
  </mergeCells>
  <dataValidations count="3">
    <dataValidation type="list" allowBlank="1" showInputMessage="1" showErrorMessage="1" sqref="D28" xr:uid="{D7F36BD3-B94C-CA49-9F4A-34A4511E599C}">
      <formula1>C81:C84</formula1>
    </dataValidation>
    <dataValidation type="decimal" allowBlank="1" showInputMessage="1" showErrorMessage="1" sqref="D30" xr:uid="{5FAF17A9-DF16-394B-ABED-BA6871F7C22F}">
      <formula1>0</formula1>
      <formula2>1</formula2>
    </dataValidation>
    <dataValidation type="list" allowBlank="1" showInputMessage="1" showErrorMessage="1" sqref="B87" xr:uid="{91AF9703-2093-234F-8BCA-3D0DBEA54B61}">
      <formula1>$W$87:$X$87</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2E293-D73E-0A46-A28F-7A06CA989D40}">
  <dimension ref="A1:AC190"/>
  <sheetViews>
    <sheetView topLeftCell="A83" zoomScale="120" zoomScaleNormal="120" workbookViewId="0">
      <selection activeCell="B168" sqref="B168"/>
    </sheetView>
  </sheetViews>
  <sheetFormatPr defaultColWidth="10.875" defaultRowHeight="15.75"/>
  <cols>
    <col min="1" max="1" width="10.875" style="33" customWidth="1"/>
    <col min="2" max="2" width="13.375" style="33" customWidth="1"/>
    <col min="3" max="3" width="9.375" style="33" customWidth="1"/>
    <col min="4" max="6" width="10.875" style="33"/>
    <col min="7" max="7" width="10.875" style="33" customWidth="1"/>
    <col min="8" max="14" width="10.875" style="33"/>
    <col min="15" max="15" width="9.625" style="33" bestFit="1" customWidth="1"/>
    <col min="16" max="26" width="10.875" style="33"/>
    <col min="29" max="16384" width="10.875" style="33"/>
  </cols>
  <sheetData>
    <row r="1" spans="1:29" s="2" customFormat="1" ht="18.75">
      <c r="A1" s="149" t="s">
        <v>1141</v>
      </c>
      <c r="F1" s="2" t="str">
        <f>'INTRO Modeling'!H1</f>
        <v>© All rights reserved, 2019, Marianne Wolk &amp; Richard Horwitz</v>
      </c>
    </row>
    <row r="2" spans="1:29" s="2" customFormat="1" ht="12.75">
      <c r="A2" s="2" t="s">
        <v>757</v>
      </c>
    </row>
    <row r="3" spans="1:29" s="2" customFormat="1" ht="12.75">
      <c r="A3" s="2" t="s">
        <v>1146</v>
      </c>
    </row>
    <row r="4" spans="1:29" s="2" customFormat="1" ht="12.75">
      <c r="A4" s="2" t="str">
        <f ca="1">"Sheet: "&amp;MID(CELL("filename",A1),FIND("]",CELL("filename",A1))+1,255)</f>
        <v>Sheet: MODEL Manufacturing Strategy</v>
      </c>
      <c r="F4" s="381"/>
    </row>
    <row r="5" spans="1:29" ht="16.5" thickBot="1"/>
    <row r="6" spans="1:29">
      <c r="A6" s="509" t="s">
        <v>462</v>
      </c>
      <c r="B6" s="676"/>
      <c r="C6" s="676"/>
      <c r="D6" s="676"/>
      <c r="E6" s="677"/>
      <c r="F6" s="676"/>
      <c r="G6" s="676"/>
      <c r="H6" s="678"/>
      <c r="I6" s="678"/>
      <c r="J6" s="676"/>
      <c r="K6" s="679"/>
    </row>
    <row r="7" spans="1:29" customFormat="1" ht="16.5" thickBot="1">
      <c r="A7" s="680" t="s">
        <v>1176</v>
      </c>
      <c r="B7" s="681"/>
      <c r="C7" s="681"/>
      <c r="D7" s="681"/>
      <c r="E7" s="681"/>
      <c r="F7" s="681"/>
      <c r="G7" s="681"/>
      <c r="H7" s="681"/>
      <c r="I7" s="681"/>
      <c r="J7" s="681"/>
      <c r="K7" s="682"/>
      <c r="AC7" s="201"/>
    </row>
    <row r="9" spans="1:29">
      <c r="A9" s="373" t="s">
        <v>822</v>
      </c>
      <c r="B9" s="374"/>
      <c r="C9" s="374"/>
      <c r="D9" s="374"/>
      <c r="E9" s="374"/>
      <c r="F9" s="374"/>
      <c r="G9" s="374"/>
      <c r="H9" s="374"/>
      <c r="I9" s="374"/>
      <c r="J9" s="374"/>
      <c r="K9" s="375"/>
    </row>
    <row r="10" spans="1:29">
      <c r="A10" s="448" t="s">
        <v>924</v>
      </c>
      <c r="B10" s="379"/>
      <c r="C10" s="379"/>
      <c r="D10" s="379"/>
      <c r="E10" s="379"/>
      <c r="F10" s="379"/>
      <c r="G10" s="379"/>
      <c r="H10" s="379"/>
      <c r="I10" s="379"/>
      <c r="J10" s="379"/>
      <c r="K10" s="380"/>
    </row>
    <row r="11" spans="1:29">
      <c r="A11" s="373" t="s">
        <v>1210</v>
      </c>
      <c r="B11" s="374"/>
      <c r="C11" s="374"/>
      <c r="D11" s="374"/>
      <c r="E11" s="374"/>
      <c r="F11" s="374"/>
      <c r="G11" s="374"/>
      <c r="H11" s="374"/>
      <c r="I11" s="374"/>
      <c r="J11" s="374"/>
      <c r="K11" s="375"/>
    </row>
    <row r="12" spans="1:29">
      <c r="A12" s="420" t="s">
        <v>824</v>
      </c>
      <c r="K12" s="377"/>
    </row>
    <row r="13" spans="1:29">
      <c r="A13" s="430" t="s">
        <v>977</v>
      </c>
      <c r="K13" s="377"/>
    </row>
    <row r="14" spans="1:29">
      <c r="A14" s="378" t="s">
        <v>823</v>
      </c>
      <c r="B14" s="379"/>
      <c r="C14" s="379"/>
      <c r="D14" s="379"/>
      <c r="E14" s="379"/>
      <c r="F14" s="379"/>
      <c r="G14" s="379"/>
      <c r="H14" s="379"/>
      <c r="I14" s="379"/>
      <c r="J14" s="379"/>
      <c r="K14" s="380"/>
    </row>
    <row r="15" spans="1:29">
      <c r="A15" s="381"/>
    </row>
    <row r="16" spans="1:29">
      <c r="A16" s="172" t="s">
        <v>1066</v>
      </c>
    </row>
    <row r="17" spans="1:18">
      <c r="A17" s="40" t="s">
        <v>858</v>
      </c>
    </row>
    <row r="18" spans="1:18">
      <c r="A18" s="40" t="s">
        <v>1067</v>
      </c>
    </row>
    <row r="19" spans="1:18">
      <c r="A19" s="40" t="s">
        <v>1033</v>
      </c>
    </row>
    <row r="20" spans="1:18">
      <c r="A20" s="40" t="s">
        <v>859</v>
      </c>
    </row>
    <row r="21" spans="1:18">
      <c r="A21" s="449" t="s">
        <v>736</v>
      </c>
    </row>
    <row r="23" spans="1:18">
      <c r="A23" s="33" t="s">
        <v>700</v>
      </c>
    </row>
    <row r="24" spans="1:18">
      <c r="A24" s="172" t="s">
        <v>1037</v>
      </c>
    </row>
    <row r="25" spans="1:18">
      <c r="A25" s="172" t="s">
        <v>976</v>
      </c>
    </row>
    <row r="26" spans="1:18">
      <c r="B26" s="714" t="s">
        <v>1198</v>
      </c>
    </row>
    <row r="27" spans="1:18" s="184" customFormat="1">
      <c r="A27" s="450" t="s">
        <v>320</v>
      </c>
      <c r="D27" s="451"/>
      <c r="E27" s="452"/>
      <c r="F27" s="452"/>
      <c r="G27" s="452"/>
      <c r="H27" s="452"/>
      <c r="I27" s="452"/>
      <c r="J27" s="927"/>
      <c r="K27" s="452"/>
      <c r="L27" s="452"/>
      <c r="M27" s="452"/>
      <c r="N27" s="452"/>
      <c r="R27" s="453"/>
    </row>
    <row r="28" spans="1:18" s="184" customFormat="1" ht="12.75">
      <c r="A28" s="176" t="s">
        <v>930</v>
      </c>
      <c r="D28" s="451"/>
      <c r="E28" s="452"/>
      <c r="F28" s="452"/>
      <c r="G28" s="452"/>
      <c r="H28" s="452"/>
      <c r="I28" s="452"/>
      <c r="J28" s="927"/>
      <c r="K28" s="452"/>
      <c r="L28" s="452"/>
      <c r="M28" s="452"/>
      <c r="N28" s="452"/>
      <c r="R28" s="453"/>
    </row>
    <row r="29" spans="1:18" s="184" customFormat="1" ht="12.75">
      <c r="A29" s="176" t="s">
        <v>964</v>
      </c>
      <c r="D29" s="451"/>
      <c r="E29" s="452"/>
      <c r="F29" s="452"/>
      <c r="G29" s="452"/>
      <c r="H29" s="452"/>
      <c r="I29" s="452"/>
      <c r="J29" s="927"/>
      <c r="L29" s="452"/>
      <c r="M29" s="452"/>
      <c r="N29" s="452"/>
      <c r="R29" s="453"/>
    </row>
    <row r="30" spans="1:18" s="184" customFormat="1" ht="12.75">
      <c r="A30" s="176" t="s">
        <v>1054</v>
      </c>
      <c r="D30" s="451"/>
      <c r="E30" s="452"/>
      <c r="F30" s="452"/>
      <c r="G30" s="452"/>
      <c r="H30" s="452"/>
      <c r="I30" s="452"/>
      <c r="J30" s="928"/>
      <c r="K30" s="713"/>
      <c r="L30" s="452"/>
      <c r="M30" s="452"/>
      <c r="N30" s="452"/>
      <c r="R30" s="453"/>
    </row>
    <row r="31" spans="1:18" s="184" customFormat="1" ht="12.75">
      <c r="A31" s="168" t="s">
        <v>1114</v>
      </c>
      <c r="D31" s="451"/>
      <c r="E31" s="452"/>
      <c r="F31" s="452"/>
      <c r="G31" s="452"/>
      <c r="H31" s="452"/>
      <c r="I31" s="452"/>
      <c r="J31" s="928"/>
      <c r="K31" s="452"/>
      <c r="L31" s="452"/>
      <c r="M31" s="452"/>
      <c r="N31" s="452"/>
      <c r="R31" s="453"/>
    </row>
    <row r="32" spans="1:18" s="184" customFormat="1" ht="12.75">
      <c r="D32" s="451"/>
      <c r="E32" s="452"/>
      <c r="F32" s="452"/>
      <c r="G32" s="452"/>
      <c r="H32" s="452"/>
      <c r="I32" s="452"/>
      <c r="J32" s="928"/>
      <c r="K32" s="452"/>
      <c r="L32" s="452"/>
      <c r="M32" s="452"/>
      <c r="N32" s="452"/>
      <c r="R32" s="453"/>
    </row>
    <row r="33" spans="1:18" s="184" customFormat="1" ht="12.75">
      <c r="A33" s="172" t="s">
        <v>1036</v>
      </c>
      <c r="D33" s="451"/>
      <c r="E33" s="452"/>
      <c r="F33" s="452"/>
      <c r="G33" s="452"/>
      <c r="H33" s="452"/>
      <c r="I33" s="452"/>
      <c r="J33" s="928"/>
      <c r="K33" s="452"/>
      <c r="L33" s="452"/>
      <c r="M33" s="452"/>
      <c r="N33" s="452"/>
      <c r="R33" s="453"/>
    </row>
    <row r="34" spans="1:18" s="184" customFormat="1" ht="12.75">
      <c r="A34" s="176" t="s">
        <v>1034</v>
      </c>
      <c r="D34" s="451"/>
      <c r="E34" s="452"/>
      <c r="F34" s="452"/>
      <c r="G34" s="452"/>
      <c r="H34" s="452"/>
      <c r="I34" s="452"/>
      <c r="J34" s="928"/>
      <c r="K34" s="452"/>
      <c r="L34" s="452"/>
      <c r="M34" s="452"/>
      <c r="N34" s="452"/>
      <c r="R34" s="453"/>
    </row>
    <row r="35" spans="1:18" s="184" customFormat="1" ht="12.75">
      <c r="A35" s="755" t="s">
        <v>1289</v>
      </c>
      <c r="D35" s="451"/>
      <c r="E35" s="452"/>
      <c r="F35" s="452"/>
      <c r="G35" s="452"/>
      <c r="H35" s="452"/>
      <c r="I35" s="452"/>
      <c r="J35" s="926"/>
      <c r="K35" s="452"/>
      <c r="L35" s="452"/>
      <c r="M35" s="452"/>
      <c r="N35" s="452"/>
      <c r="R35" s="453"/>
    </row>
    <row r="36" spans="1:18" s="184" customFormat="1" ht="12.75">
      <c r="A36" s="710" t="s">
        <v>1199</v>
      </c>
      <c r="D36" s="451"/>
      <c r="E36" s="452"/>
      <c r="F36" s="452"/>
      <c r="G36" s="452"/>
      <c r="H36" s="452"/>
      <c r="I36" s="452"/>
      <c r="J36" s="452"/>
      <c r="K36" s="452"/>
      <c r="L36" s="452"/>
      <c r="M36" s="452"/>
      <c r="N36" s="452"/>
      <c r="R36" s="453"/>
    </row>
    <row r="37" spans="1:18" s="184" customFormat="1" ht="12.75">
      <c r="A37" s="176"/>
      <c r="D37" s="451"/>
      <c r="E37" s="452"/>
      <c r="F37" s="452"/>
      <c r="G37" s="452"/>
      <c r="H37" s="452"/>
      <c r="I37" s="452"/>
      <c r="J37" s="452"/>
      <c r="K37" s="452"/>
      <c r="L37" s="452"/>
      <c r="M37" s="452"/>
      <c r="N37" s="452"/>
      <c r="R37" s="453"/>
    </row>
    <row r="38" spans="1:18" s="33" customFormat="1" ht="12.75">
      <c r="A38" s="454"/>
      <c r="C38" s="184">
        <f ca="1">D38-1</f>
        <v>2022</v>
      </c>
      <c r="D38" s="184">
        <f ca="1">YEAR(TODAY())</f>
        <v>2023</v>
      </c>
      <c r="E38" s="184">
        <f t="shared" ref="E38:M38" ca="1" si="0">D38+1</f>
        <v>2024</v>
      </c>
      <c r="F38" s="184">
        <f t="shared" ca="1" si="0"/>
        <v>2025</v>
      </c>
      <c r="G38" s="184">
        <f t="shared" ca="1" si="0"/>
        <v>2026</v>
      </c>
      <c r="H38" s="184">
        <f t="shared" ca="1" si="0"/>
        <v>2027</v>
      </c>
      <c r="I38" s="184">
        <f t="shared" ca="1" si="0"/>
        <v>2028</v>
      </c>
      <c r="J38" s="184">
        <f t="shared" ca="1" si="0"/>
        <v>2029</v>
      </c>
      <c r="K38" s="184">
        <f t="shared" ca="1" si="0"/>
        <v>2030</v>
      </c>
      <c r="L38" s="184">
        <f t="shared" ca="1" si="0"/>
        <v>2031</v>
      </c>
      <c r="M38" s="184">
        <f t="shared" ca="1" si="0"/>
        <v>2032</v>
      </c>
      <c r="R38" s="455"/>
    </row>
    <row r="39" spans="1:18" s="33" customFormat="1" ht="12.75">
      <c r="A39" s="454" t="s">
        <v>664</v>
      </c>
      <c r="C39" s="456">
        <f t="shared" ref="C39:M39" si="1">SUM(C40:C41)</f>
        <v>1070</v>
      </c>
      <c r="D39" s="456">
        <f t="shared" si="1"/>
        <v>1147.5749999999998</v>
      </c>
      <c r="E39" s="456">
        <f t="shared" si="1"/>
        <v>1228.3867500000001</v>
      </c>
      <c r="F39" s="456">
        <f t="shared" si="1"/>
        <v>1312.1553112500001</v>
      </c>
      <c r="G39" s="456">
        <f t="shared" si="1"/>
        <v>1398.5478548999999</v>
      </c>
      <c r="H39" s="456">
        <f t="shared" si="1"/>
        <v>1487.18154792375</v>
      </c>
      <c r="I39" s="456">
        <f t="shared" si="1"/>
        <v>1577.6280435596627</v>
      </c>
      <c r="J39" s="456">
        <f t="shared" si="1"/>
        <v>1669.419598875025</v>
      </c>
      <c r="K39" s="456">
        <f t="shared" si="1"/>
        <v>1762.0567875463157</v>
      </c>
      <c r="L39" s="456">
        <f t="shared" si="1"/>
        <v>1855.0177175492272</v>
      </c>
      <c r="M39" s="456">
        <f t="shared" si="1"/>
        <v>1947.7686034266887</v>
      </c>
      <c r="R39" s="455"/>
    </row>
    <row r="40" spans="1:18" s="33" customFormat="1" ht="12.75">
      <c r="A40" s="185" t="s">
        <v>663</v>
      </c>
      <c r="C40" s="457">
        <f>500*(1+X!CC2/200)</f>
        <v>535</v>
      </c>
      <c r="D40" s="457">
        <f t="shared" ref="D40:M40" si="2">C40*(1+D44)</f>
        <v>585.82499999999993</v>
      </c>
      <c r="E40" s="457">
        <f t="shared" si="2"/>
        <v>638.54925000000003</v>
      </c>
      <c r="F40" s="457">
        <f t="shared" si="2"/>
        <v>692.82593625000004</v>
      </c>
      <c r="G40" s="457">
        <f t="shared" si="2"/>
        <v>748.25201115000004</v>
      </c>
      <c r="H40" s="457">
        <f t="shared" si="2"/>
        <v>804.37091198625001</v>
      </c>
      <c r="I40" s="457">
        <f t="shared" si="2"/>
        <v>860.67687582528754</v>
      </c>
      <c r="J40" s="457">
        <f t="shared" si="2"/>
        <v>916.62087275393117</v>
      </c>
      <c r="K40" s="457">
        <f t="shared" si="2"/>
        <v>971.61812511916708</v>
      </c>
      <c r="L40" s="457">
        <f t="shared" si="2"/>
        <v>1025.0571220007212</v>
      </c>
      <c r="M40" s="457">
        <f t="shared" si="2"/>
        <v>1076.3099781007572</v>
      </c>
      <c r="R40" s="455"/>
    </row>
    <row r="41" spans="1:18" s="33" customFormat="1" ht="12.75">
      <c r="A41" s="185" t="s">
        <v>662</v>
      </c>
      <c r="C41" s="457">
        <f>500*(1+X!CC2/200)</f>
        <v>535</v>
      </c>
      <c r="D41" s="457">
        <f t="shared" ref="D41:M41" si="3">C41*(1+D45)</f>
        <v>561.75</v>
      </c>
      <c r="E41" s="457">
        <f t="shared" si="3"/>
        <v>589.83749999999998</v>
      </c>
      <c r="F41" s="457">
        <f t="shared" si="3"/>
        <v>619.32937500000003</v>
      </c>
      <c r="G41" s="457">
        <f t="shared" si="3"/>
        <v>650.29584375000002</v>
      </c>
      <c r="H41" s="457">
        <f t="shared" si="3"/>
        <v>682.81063593750002</v>
      </c>
      <c r="I41" s="457">
        <f t="shared" si="3"/>
        <v>716.95116773437508</v>
      </c>
      <c r="J41" s="457">
        <f t="shared" si="3"/>
        <v>752.79872612109386</v>
      </c>
      <c r="K41" s="457">
        <f t="shared" si="3"/>
        <v>790.43866242714864</v>
      </c>
      <c r="L41" s="457">
        <f t="shared" si="3"/>
        <v>829.96059554850615</v>
      </c>
      <c r="M41" s="457">
        <f t="shared" si="3"/>
        <v>871.45862532593151</v>
      </c>
      <c r="R41" s="455"/>
    </row>
    <row r="42" spans="1:18" s="33" customFormat="1" ht="12.75">
      <c r="A42" s="454"/>
      <c r="C42" s="458"/>
      <c r="D42" s="459"/>
      <c r="E42" s="459"/>
      <c r="F42" s="459"/>
      <c r="G42" s="459"/>
      <c r="H42" s="459"/>
      <c r="I42" s="459"/>
      <c r="J42" s="459"/>
      <c r="K42" s="459"/>
      <c r="L42" s="459"/>
      <c r="M42" s="459"/>
      <c r="R42" s="455"/>
    </row>
    <row r="43" spans="1:18" s="33" customFormat="1" ht="12.75">
      <c r="A43" s="704" t="s">
        <v>626</v>
      </c>
      <c r="C43" s="460"/>
      <c r="D43" s="460">
        <f t="shared" ref="D43:M43" si="4">D39/C39-1</f>
        <v>7.2499999999999787E-2</v>
      </c>
      <c r="E43" s="460">
        <f t="shared" si="4"/>
        <v>7.041958041958063E-2</v>
      </c>
      <c r="F43" s="460">
        <f t="shared" si="4"/>
        <v>6.8193963546089975E-2</v>
      </c>
      <c r="G43" s="460">
        <f t="shared" si="4"/>
        <v>6.584018134842573E-2</v>
      </c>
      <c r="H43" s="460">
        <f t="shared" si="4"/>
        <v>6.3375516764199391E-2</v>
      </c>
      <c r="I43" s="460">
        <f t="shared" si="4"/>
        <v>6.0817386930455575E-2</v>
      </c>
      <c r="J43" s="460">
        <f t="shared" si="4"/>
        <v>5.8183268033350499E-2</v>
      </c>
      <c r="K43" s="460">
        <f t="shared" si="4"/>
        <v>5.549065599428471E-2</v>
      </c>
      <c r="L43" s="460">
        <f t="shared" si="4"/>
        <v>5.2757056787233747E-2</v>
      </c>
      <c r="M43" s="460">
        <f t="shared" si="4"/>
        <v>5.0000000000000044E-2</v>
      </c>
      <c r="R43" s="455"/>
    </row>
    <row r="44" spans="1:18" s="33" customFormat="1" ht="12.75">
      <c r="A44" s="185" t="s">
        <v>663</v>
      </c>
      <c r="C44" s="461">
        <v>0.1</v>
      </c>
      <c r="D44" s="114">
        <f>C44-0.5%</f>
        <v>9.5000000000000001E-2</v>
      </c>
      <c r="E44" s="114">
        <f t="shared" ref="E44:M44" si="5">D44-0.5%</f>
        <v>0.09</v>
      </c>
      <c r="F44" s="114">
        <f t="shared" si="5"/>
        <v>8.4999999999999992E-2</v>
      </c>
      <c r="G44" s="114">
        <f t="shared" si="5"/>
        <v>7.9999999999999988E-2</v>
      </c>
      <c r="H44" s="114">
        <f t="shared" si="5"/>
        <v>7.4999999999999983E-2</v>
      </c>
      <c r="I44" s="114">
        <f t="shared" si="5"/>
        <v>6.9999999999999979E-2</v>
      </c>
      <c r="J44" s="114">
        <f t="shared" si="5"/>
        <v>6.4999999999999974E-2</v>
      </c>
      <c r="K44" s="114">
        <f t="shared" si="5"/>
        <v>5.9999999999999977E-2</v>
      </c>
      <c r="L44" s="114">
        <f t="shared" si="5"/>
        <v>5.4999999999999979E-2</v>
      </c>
      <c r="M44" s="114">
        <f t="shared" si="5"/>
        <v>4.9999999999999982E-2</v>
      </c>
      <c r="R44" s="455"/>
    </row>
    <row r="45" spans="1:18" s="33" customFormat="1" ht="12.75">
      <c r="A45" s="185" t="s">
        <v>662</v>
      </c>
      <c r="C45" s="461">
        <v>0.1</v>
      </c>
      <c r="D45" s="114">
        <v>0.05</v>
      </c>
      <c r="E45" s="114">
        <v>0.05</v>
      </c>
      <c r="F45" s="114">
        <v>0.05</v>
      </c>
      <c r="G45" s="114">
        <v>0.05</v>
      </c>
      <c r="H45" s="114">
        <v>0.05</v>
      </c>
      <c r="I45" s="114">
        <v>0.05</v>
      </c>
      <c r="J45" s="114">
        <v>0.05</v>
      </c>
      <c r="K45" s="114">
        <v>0.05</v>
      </c>
      <c r="L45" s="114">
        <v>0.05</v>
      </c>
      <c r="M45" s="114">
        <v>0.05</v>
      </c>
      <c r="R45" s="455"/>
    </row>
    <row r="46" spans="1:18" s="33" customFormat="1" ht="12.75">
      <c r="A46" s="454"/>
      <c r="D46" s="458"/>
      <c r="E46" s="462"/>
      <c r="F46" s="463"/>
      <c r="G46" s="463"/>
      <c r="H46" s="463"/>
      <c r="I46" s="463"/>
      <c r="J46" s="463"/>
      <c r="K46" s="463"/>
      <c r="L46" s="463"/>
      <c r="M46" s="463"/>
      <c r="N46" s="463"/>
      <c r="R46" s="455"/>
    </row>
    <row r="47" spans="1:18" s="184" customFormat="1">
      <c r="A47" s="450" t="s">
        <v>975</v>
      </c>
      <c r="D47" s="451"/>
      <c r="E47" s="452"/>
      <c r="F47" s="452"/>
      <c r="G47" s="452"/>
      <c r="H47" s="452"/>
      <c r="I47" s="452"/>
      <c r="J47" s="452"/>
      <c r="K47" s="452"/>
      <c r="L47" s="452"/>
      <c r="M47" s="452"/>
      <c r="N47" s="452"/>
      <c r="R47" s="453"/>
    </row>
    <row r="48" spans="1:18" s="172" customFormat="1" ht="12.75">
      <c r="A48" s="176" t="s">
        <v>1060</v>
      </c>
      <c r="D48" s="464"/>
      <c r="E48" s="465"/>
      <c r="F48" s="465"/>
      <c r="G48" s="465"/>
      <c r="H48" s="465"/>
      <c r="I48" s="465"/>
      <c r="J48" s="465"/>
      <c r="K48" s="465"/>
      <c r="L48" s="465"/>
      <c r="M48" s="465"/>
      <c r="N48" s="465"/>
      <c r="R48" s="466"/>
    </row>
    <row r="49" spans="1:18" s="172" customFormat="1" ht="12.75">
      <c r="A49" s="625" t="s">
        <v>1164</v>
      </c>
      <c r="D49" s="464"/>
      <c r="E49" s="465"/>
      <c r="F49" s="465"/>
      <c r="G49" s="465"/>
      <c r="H49" s="465"/>
      <c r="I49" s="465"/>
      <c r="J49" s="465"/>
      <c r="K49" s="465"/>
      <c r="L49" s="465"/>
      <c r="M49" s="465"/>
      <c r="N49" s="465"/>
      <c r="R49" s="466"/>
    </row>
    <row r="50" spans="1:18" s="172" customFormat="1" ht="12.75">
      <c r="A50" s="176" t="s">
        <v>1055</v>
      </c>
      <c r="D50" s="464"/>
      <c r="E50" s="465"/>
      <c r="F50" s="465"/>
      <c r="G50" s="465"/>
      <c r="H50" s="465"/>
      <c r="I50" s="465"/>
      <c r="J50" s="465"/>
      <c r="K50" s="465"/>
      <c r="L50" s="465"/>
      <c r="M50" s="465"/>
      <c r="N50" s="465"/>
      <c r="R50" s="466"/>
    </row>
    <row r="51" spans="1:18" s="172" customFormat="1" ht="12.75">
      <c r="A51" s="176"/>
      <c r="D51" s="464"/>
      <c r="E51" s="465"/>
      <c r="F51" s="465"/>
      <c r="G51" s="465"/>
      <c r="H51" s="465"/>
      <c r="I51" s="465"/>
      <c r="J51" s="465"/>
      <c r="K51" s="465"/>
      <c r="L51" s="465"/>
      <c r="M51" s="465"/>
      <c r="N51" s="465"/>
      <c r="R51" s="466"/>
    </row>
    <row r="52" spans="1:18" s="33" customFormat="1" ht="12.75">
      <c r="A52" s="454"/>
      <c r="C52" s="184">
        <f ca="1">D52-1</f>
        <v>2022</v>
      </c>
      <c r="D52" s="184">
        <f ca="1">YEAR(TODAY())</f>
        <v>2023</v>
      </c>
      <c r="E52" s="184">
        <f t="shared" ref="E52:M52" ca="1" si="6">D52+1</f>
        <v>2024</v>
      </c>
      <c r="F52" s="184">
        <f t="shared" ca="1" si="6"/>
        <v>2025</v>
      </c>
      <c r="G52" s="184">
        <f t="shared" ca="1" si="6"/>
        <v>2026</v>
      </c>
      <c r="H52" s="184">
        <f t="shared" ca="1" si="6"/>
        <v>2027</v>
      </c>
      <c r="I52" s="184">
        <f t="shared" ca="1" si="6"/>
        <v>2028</v>
      </c>
      <c r="J52" s="184">
        <f t="shared" ca="1" si="6"/>
        <v>2029</v>
      </c>
      <c r="K52" s="184">
        <f t="shared" ca="1" si="6"/>
        <v>2030</v>
      </c>
      <c r="L52" s="184">
        <f t="shared" ca="1" si="6"/>
        <v>2031</v>
      </c>
      <c r="M52" s="184">
        <f t="shared" ca="1" si="6"/>
        <v>2032</v>
      </c>
      <c r="R52" s="455"/>
    </row>
    <row r="53" spans="1:18" s="33" customFormat="1" ht="12.75">
      <c r="A53" s="454" t="s">
        <v>617</v>
      </c>
      <c r="C53" s="467"/>
      <c r="D53" s="459"/>
      <c r="E53" s="459"/>
      <c r="F53" s="459"/>
      <c r="G53" s="459"/>
      <c r="H53" s="459"/>
      <c r="I53" s="459"/>
      <c r="J53" s="459"/>
      <c r="K53" s="459"/>
      <c r="L53" s="459"/>
      <c r="M53" s="459"/>
      <c r="R53" s="455"/>
    </row>
    <row r="54" spans="1:18" s="33" customFormat="1" ht="12.75">
      <c r="A54" s="185" t="s">
        <v>663</v>
      </c>
      <c r="C54" s="468">
        <v>0.3</v>
      </c>
      <c r="D54" s="115">
        <f>C54</f>
        <v>0.3</v>
      </c>
      <c r="E54" s="115">
        <f t="shared" ref="E54:M54" si="7">D54</f>
        <v>0.3</v>
      </c>
      <c r="F54" s="115">
        <f t="shared" si="7"/>
        <v>0.3</v>
      </c>
      <c r="G54" s="115">
        <f t="shared" si="7"/>
        <v>0.3</v>
      </c>
      <c r="H54" s="115">
        <f t="shared" si="7"/>
        <v>0.3</v>
      </c>
      <c r="I54" s="115">
        <f t="shared" si="7"/>
        <v>0.3</v>
      </c>
      <c r="J54" s="115">
        <f t="shared" si="7"/>
        <v>0.3</v>
      </c>
      <c r="K54" s="115">
        <f t="shared" si="7"/>
        <v>0.3</v>
      </c>
      <c r="L54" s="115">
        <f t="shared" si="7"/>
        <v>0.3</v>
      </c>
      <c r="M54" s="115">
        <f t="shared" si="7"/>
        <v>0.3</v>
      </c>
    </row>
    <row r="55" spans="1:18">
      <c r="A55" s="185" t="s">
        <v>662</v>
      </c>
      <c r="C55" s="468">
        <v>0.6</v>
      </c>
      <c r="D55" s="753">
        <f>C$55-5%</f>
        <v>0.54999999999999993</v>
      </c>
      <c r="E55" s="753">
        <f>D55</f>
        <v>0.54999999999999993</v>
      </c>
      <c r="F55" s="753">
        <f t="shared" ref="F55:M55" si="8">E55</f>
        <v>0.54999999999999993</v>
      </c>
      <c r="G55" s="753">
        <f t="shared" si="8"/>
        <v>0.54999999999999993</v>
      </c>
      <c r="H55" s="753">
        <f t="shared" si="8"/>
        <v>0.54999999999999993</v>
      </c>
      <c r="I55" s="753">
        <f t="shared" si="8"/>
        <v>0.54999999999999993</v>
      </c>
      <c r="J55" s="753">
        <f t="shared" si="8"/>
        <v>0.54999999999999993</v>
      </c>
      <c r="K55" s="753">
        <f t="shared" si="8"/>
        <v>0.54999999999999993</v>
      </c>
      <c r="L55" s="753">
        <f t="shared" si="8"/>
        <v>0.54999999999999993</v>
      </c>
      <c r="M55" s="753">
        <f t="shared" si="8"/>
        <v>0.54999999999999993</v>
      </c>
    </row>
    <row r="56" spans="1:18" s="33" customFormat="1" ht="12.75">
      <c r="A56" s="454"/>
      <c r="C56" s="184"/>
      <c r="D56" s="184"/>
      <c r="E56" s="184"/>
      <c r="F56" s="184"/>
      <c r="G56" s="184"/>
      <c r="H56" s="184"/>
      <c r="I56" s="184"/>
      <c r="J56" s="184"/>
      <c r="K56" s="184"/>
      <c r="L56" s="184"/>
      <c r="M56" s="184"/>
      <c r="R56" s="455"/>
    </row>
    <row r="57" spans="1:18">
      <c r="A57" s="172" t="s">
        <v>1059</v>
      </c>
      <c r="C57" s="32">
        <f>SUM(C58:C59)</f>
        <v>481.5</v>
      </c>
      <c r="D57" s="32">
        <f t="shared" ref="D57:M57" si="9">SUM(D58:D59)</f>
        <v>484.70999999999992</v>
      </c>
      <c r="E57" s="32">
        <f t="shared" si="9"/>
        <v>515.97539999999992</v>
      </c>
      <c r="F57" s="32">
        <f t="shared" si="9"/>
        <v>548.4789371249999</v>
      </c>
      <c r="G57" s="32">
        <f t="shared" si="9"/>
        <v>582.13831740749993</v>
      </c>
      <c r="H57" s="32">
        <f t="shared" si="9"/>
        <v>616.85712336149993</v>
      </c>
      <c r="I57" s="32">
        <f t="shared" si="9"/>
        <v>652.5262050014926</v>
      </c>
      <c r="J57" s="32">
        <f t="shared" si="9"/>
        <v>689.02556119278097</v>
      </c>
      <c r="K57" s="32">
        <f t="shared" si="9"/>
        <v>726.22670187068184</v>
      </c>
      <c r="L57" s="32">
        <f t="shared" si="9"/>
        <v>763.99546415189468</v>
      </c>
      <c r="M57" s="32">
        <f t="shared" si="9"/>
        <v>802.1952373594894</v>
      </c>
    </row>
    <row r="58" spans="1:18">
      <c r="A58" s="185" t="s">
        <v>663</v>
      </c>
      <c r="C58" s="32">
        <f>C40*C54</f>
        <v>160.5</v>
      </c>
      <c r="D58" s="116">
        <f>D40*D54</f>
        <v>175.74749999999997</v>
      </c>
      <c r="E58" s="116">
        <f t="shared" ref="E58:M58" si="10">E40*E54</f>
        <v>191.564775</v>
      </c>
      <c r="F58" s="116">
        <f t="shared" si="10"/>
        <v>207.84778087500001</v>
      </c>
      <c r="G58" s="116">
        <f t="shared" si="10"/>
        <v>224.475603345</v>
      </c>
      <c r="H58" s="116">
        <f t="shared" si="10"/>
        <v>241.31127359587498</v>
      </c>
      <c r="I58" s="116">
        <f t="shared" si="10"/>
        <v>258.20306274758627</v>
      </c>
      <c r="J58" s="116">
        <f t="shared" si="10"/>
        <v>274.98626182617932</v>
      </c>
      <c r="K58" s="116">
        <f t="shared" si="10"/>
        <v>291.48543753575012</v>
      </c>
      <c r="L58" s="116">
        <f t="shared" si="10"/>
        <v>307.51713660021636</v>
      </c>
      <c r="M58" s="116">
        <f t="shared" si="10"/>
        <v>322.89299343022714</v>
      </c>
    </row>
    <row r="59" spans="1:18">
      <c r="A59" s="185" t="s">
        <v>662</v>
      </c>
      <c r="C59" s="32">
        <f>C41*C55</f>
        <v>321</v>
      </c>
      <c r="D59" s="116">
        <f>D41*D55</f>
        <v>308.96249999999998</v>
      </c>
      <c r="E59" s="116">
        <f t="shared" ref="E59:M59" si="11">E41*E55</f>
        <v>324.41062499999992</v>
      </c>
      <c r="F59" s="116">
        <f t="shared" si="11"/>
        <v>340.63115624999995</v>
      </c>
      <c r="G59" s="116">
        <f t="shared" si="11"/>
        <v>357.66271406249996</v>
      </c>
      <c r="H59" s="116">
        <f t="shared" si="11"/>
        <v>375.54584976562495</v>
      </c>
      <c r="I59" s="116">
        <f t="shared" si="11"/>
        <v>394.32314225390627</v>
      </c>
      <c r="J59" s="116">
        <f t="shared" si="11"/>
        <v>414.0392993666016</v>
      </c>
      <c r="K59" s="116">
        <f t="shared" si="11"/>
        <v>434.74126433493171</v>
      </c>
      <c r="L59" s="116">
        <f t="shared" si="11"/>
        <v>456.47832755167832</v>
      </c>
      <c r="M59" s="116">
        <f t="shared" si="11"/>
        <v>479.30224392926226</v>
      </c>
    </row>
    <row r="60" spans="1:18">
      <c r="C60" s="32"/>
      <c r="Q60" s="178"/>
      <c r="R60" s="178"/>
    </row>
    <row r="61" spans="1:18" s="172" customFormat="1">
      <c r="A61" s="450" t="s">
        <v>974</v>
      </c>
      <c r="C61" s="464"/>
      <c r="D61" s="465"/>
      <c r="E61" s="465"/>
      <c r="F61" s="465"/>
      <c r="G61" s="465"/>
      <c r="H61" s="465"/>
      <c r="I61" s="465"/>
      <c r="J61" s="465"/>
      <c r="K61" s="465"/>
      <c r="L61" s="465"/>
      <c r="M61" s="465"/>
      <c r="R61" s="466"/>
    </row>
    <row r="62" spans="1:18" s="172" customFormat="1" ht="12.75">
      <c r="A62" s="172" t="s">
        <v>1043</v>
      </c>
      <c r="C62" s="464"/>
      <c r="D62" s="465"/>
      <c r="E62" s="465"/>
      <c r="F62" s="465"/>
      <c r="G62" s="465"/>
      <c r="H62" s="465"/>
      <c r="I62" s="465"/>
      <c r="J62" s="465"/>
      <c r="K62" s="465"/>
      <c r="L62" s="465"/>
      <c r="M62" s="465"/>
      <c r="R62" s="466"/>
    </row>
    <row r="63" spans="1:18" s="172" customFormat="1" ht="12.75">
      <c r="A63" s="172" t="s">
        <v>1044</v>
      </c>
      <c r="C63" s="464"/>
      <c r="D63" s="465"/>
      <c r="E63" s="465"/>
      <c r="F63" s="465"/>
      <c r="G63" s="465"/>
      <c r="H63" s="465"/>
      <c r="I63" s="465"/>
      <c r="J63" s="465"/>
      <c r="K63" s="465"/>
      <c r="L63" s="465"/>
      <c r="M63" s="465"/>
      <c r="R63" s="466"/>
    </row>
    <row r="64" spans="1:18" s="172" customFormat="1" ht="12.75">
      <c r="A64" s="716" t="s">
        <v>1166</v>
      </c>
      <c r="C64" s="464"/>
      <c r="D64" s="465"/>
      <c r="E64" s="465"/>
      <c r="F64" s="465"/>
      <c r="G64" s="465"/>
      <c r="H64" s="465"/>
      <c r="I64" s="465"/>
      <c r="J64" s="465"/>
      <c r="K64" s="465"/>
      <c r="L64" s="465"/>
      <c r="M64" s="465"/>
      <c r="R64" s="466"/>
    </row>
    <row r="65" spans="1:18" s="172" customFormat="1" ht="12.75">
      <c r="A65" s="172" t="s">
        <v>970</v>
      </c>
      <c r="C65" s="464"/>
      <c r="D65" s="465"/>
      <c r="E65" s="465"/>
      <c r="F65" s="465"/>
      <c r="G65" s="465"/>
      <c r="H65" s="465"/>
      <c r="I65" s="465"/>
      <c r="J65" s="465"/>
      <c r="K65" s="465"/>
      <c r="L65" s="465"/>
      <c r="M65" s="465"/>
      <c r="R65" s="466"/>
    </row>
    <row r="66" spans="1:18" s="172" customFormat="1" ht="12.75">
      <c r="A66" s="176" t="s">
        <v>1035</v>
      </c>
      <c r="C66" s="464"/>
      <c r="D66" s="465"/>
      <c r="E66" s="465"/>
      <c r="F66" s="465"/>
      <c r="G66" s="465"/>
      <c r="H66" s="465"/>
      <c r="I66" s="465"/>
      <c r="J66" s="465"/>
      <c r="K66" s="465"/>
      <c r="L66" s="465"/>
      <c r="M66" s="465"/>
      <c r="R66" s="466"/>
    </row>
    <row r="67" spans="1:18" s="172" customFormat="1" ht="12.75">
      <c r="A67" s="885" t="s">
        <v>1510</v>
      </c>
      <c r="C67" s="464"/>
      <c r="D67" s="465"/>
      <c r="E67" s="465"/>
      <c r="F67" s="465"/>
      <c r="G67" s="465"/>
      <c r="H67" s="465"/>
      <c r="I67" s="465"/>
      <c r="J67" s="465"/>
      <c r="K67" s="465"/>
      <c r="L67" s="465"/>
      <c r="M67" s="465"/>
      <c r="R67" s="466"/>
    </row>
    <row r="68" spans="1:18" s="172" customFormat="1" ht="12.75">
      <c r="A68" s="172" t="s">
        <v>1045</v>
      </c>
      <c r="C68" s="464"/>
      <c r="D68" s="465"/>
      <c r="E68" s="465"/>
      <c r="F68" s="465"/>
      <c r="G68" s="465"/>
      <c r="H68" s="465"/>
      <c r="I68" s="465"/>
      <c r="J68" s="465"/>
      <c r="K68" s="465"/>
      <c r="L68" s="465"/>
      <c r="M68" s="465"/>
      <c r="R68" s="466"/>
    </row>
    <row r="69" spans="1:18" s="172" customFormat="1" ht="12.75">
      <c r="A69" s="626" t="s">
        <v>1165</v>
      </c>
      <c r="D69" s="465"/>
    </row>
    <row r="70" spans="1:18" s="172" customFormat="1" ht="12.75">
      <c r="C70" s="464"/>
      <c r="D70" s="465"/>
      <c r="E70" s="465"/>
      <c r="F70" s="465"/>
      <c r="G70" s="465"/>
      <c r="H70" s="465"/>
      <c r="I70" s="465"/>
      <c r="J70" s="465"/>
      <c r="K70" s="465"/>
      <c r="L70" s="465"/>
      <c r="M70" s="465"/>
      <c r="R70" s="466"/>
    </row>
    <row r="71" spans="1:18" s="172" customFormat="1" ht="12.75">
      <c r="A71" s="176"/>
      <c r="C71" s="464"/>
      <c r="D71" s="184">
        <f ca="1">YEAR(TODAY())</f>
        <v>2023</v>
      </c>
      <c r="E71" s="184">
        <f t="shared" ref="E71:M71" ca="1" si="12">D71+1</f>
        <v>2024</v>
      </c>
      <c r="F71" s="184">
        <f t="shared" ca="1" si="12"/>
        <v>2025</v>
      </c>
      <c r="G71" s="184">
        <f t="shared" ca="1" si="12"/>
        <v>2026</v>
      </c>
      <c r="H71" s="184">
        <f t="shared" ca="1" si="12"/>
        <v>2027</v>
      </c>
      <c r="I71" s="184">
        <f t="shared" ca="1" si="12"/>
        <v>2028</v>
      </c>
      <c r="J71" s="184">
        <f t="shared" ca="1" si="12"/>
        <v>2029</v>
      </c>
      <c r="K71" s="184">
        <f t="shared" ca="1" si="12"/>
        <v>2030</v>
      </c>
      <c r="L71" s="184">
        <f t="shared" ca="1" si="12"/>
        <v>2031</v>
      </c>
      <c r="M71" s="184">
        <f t="shared" ca="1" si="12"/>
        <v>2032</v>
      </c>
      <c r="R71" s="466"/>
    </row>
    <row r="72" spans="1:18" s="33" customFormat="1" ht="12.75">
      <c r="A72" s="757" t="s">
        <v>1291</v>
      </c>
      <c r="D72" s="469">
        <f t="shared" ref="D72:M72" si="13">SUM(D73:D74)</f>
        <v>484.70999999999992</v>
      </c>
      <c r="E72" s="469">
        <f t="shared" si="13"/>
        <v>500</v>
      </c>
      <c r="F72" s="469">
        <f t="shared" si="13"/>
        <v>500</v>
      </c>
      <c r="G72" s="469">
        <f t="shared" si="13"/>
        <v>500</v>
      </c>
      <c r="H72" s="469">
        <f t="shared" si="13"/>
        <v>500</v>
      </c>
      <c r="I72" s="469">
        <f t="shared" si="13"/>
        <v>500</v>
      </c>
      <c r="J72" s="469">
        <f t="shared" si="13"/>
        <v>500</v>
      </c>
      <c r="K72" s="469">
        <f t="shared" si="13"/>
        <v>500</v>
      </c>
      <c r="L72" s="469">
        <f t="shared" si="13"/>
        <v>500</v>
      </c>
      <c r="M72" s="469">
        <f t="shared" si="13"/>
        <v>500</v>
      </c>
      <c r="O72" s="459"/>
    </row>
    <row r="73" spans="1:18" s="33" customFormat="1" ht="12.75">
      <c r="A73" s="185" t="s">
        <v>663</v>
      </c>
      <c r="D73" s="116">
        <f>IF(D58&lt;500,D58,500)</f>
        <v>175.74749999999997</v>
      </c>
      <c r="E73" s="116">
        <f t="shared" ref="E73:M73" si="14">IF(E58&lt;500,E58,500)</f>
        <v>191.564775</v>
      </c>
      <c r="F73" s="116">
        <f t="shared" si="14"/>
        <v>207.84778087500001</v>
      </c>
      <c r="G73" s="116">
        <f t="shared" si="14"/>
        <v>224.475603345</v>
      </c>
      <c r="H73" s="116">
        <f t="shared" si="14"/>
        <v>241.31127359587498</v>
      </c>
      <c r="I73" s="116">
        <f t="shared" si="14"/>
        <v>258.20306274758627</v>
      </c>
      <c r="J73" s="116">
        <f t="shared" si="14"/>
        <v>274.98626182617932</v>
      </c>
      <c r="K73" s="116">
        <f t="shared" si="14"/>
        <v>291.48543753575012</v>
      </c>
      <c r="L73" s="116">
        <f t="shared" si="14"/>
        <v>307.51713660021636</v>
      </c>
      <c r="M73" s="116">
        <f t="shared" si="14"/>
        <v>322.89299343022714</v>
      </c>
      <c r="O73" s="32"/>
    </row>
    <row r="74" spans="1:18" s="33" customFormat="1" ht="12.75">
      <c r="A74" s="185" t="s">
        <v>662</v>
      </c>
      <c r="D74" s="116">
        <f>IF(D57&lt;500,D59,500-D58)</f>
        <v>308.96249999999998</v>
      </c>
      <c r="E74" s="116">
        <f t="shared" ref="E74:M74" si="15">IF(E57&lt;500,E59,500-E58)</f>
        <v>308.435225</v>
      </c>
      <c r="F74" s="116">
        <f t="shared" si="15"/>
        <v>292.15221912499999</v>
      </c>
      <c r="G74" s="116">
        <f t="shared" si="15"/>
        <v>275.52439665500003</v>
      </c>
      <c r="H74" s="116">
        <f t="shared" si="15"/>
        <v>258.68872640412502</v>
      </c>
      <c r="I74" s="116">
        <f t="shared" si="15"/>
        <v>241.79693725241373</v>
      </c>
      <c r="J74" s="116">
        <f t="shared" si="15"/>
        <v>225.01373817382068</v>
      </c>
      <c r="K74" s="116">
        <f t="shared" si="15"/>
        <v>208.51456246424988</v>
      </c>
      <c r="L74" s="116">
        <f t="shared" si="15"/>
        <v>192.48286339978364</v>
      </c>
      <c r="M74" s="116">
        <f t="shared" si="15"/>
        <v>177.10700656977286</v>
      </c>
      <c r="O74" s="470"/>
    </row>
    <row r="75" spans="1:18" s="172" customFormat="1" ht="12.75">
      <c r="A75" s="176"/>
      <c r="D75" s="464"/>
      <c r="E75" s="465"/>
      <c r="F75" s="465"/>
      <c r="G75" s="465"/>
      <c r="H75" s="465"/>
      <c r="I75" s="465"/>
      <c r="J75" s="465"/>
      <c r="K75" s="465"/>
      <c r="L75" s="465"/>
      <c r="M75" s="465"/>
      <c r="N75" s="465"/>
      <c r="R75" s="466"/>
    </row>
    <row r="76" spans="1:18" s="172" customFormat="1" ht="12.75">
      <c r="A76" s="176" t="s">
        <v>864</v>
      </c>
      <c r="D76" s="464"/>
      <c r="E76" s="465"/>
      <c r="F76" s="465"/>
      <c r="G76" s="465"/>
      <c r="H76" s="465"/>
      <c r="I76" s="465"/>
      <c r="J76" s="465"/>
      <c r="K76" s="465"/>
      <c r="L76" s="465"/>
      <c r="M76" s="465"/>
      <c r="N76" s="465"/>
      <c r="R76" s="466"/>
    </row>
    <row r="77" spans="1:18" s="172" customFormat="1" ht="12.75">
      <c r="A77" s="176"/>
      <c r="D77" s="464"/>
      <c r="E77" s="465"/>
      <c r="F77" s="465"/>
      <c r="G77" s="465"/>
      <c r="H77" s="465"/>
      <c r="I77" s="465"/>
      <c r="J77" s="465"/>
      <c r="K77" s="465"/>
      <c r="L77" s="465"/>
      <c r="M77" s="465"/>
      <c r="N77" s="465"/>
      <c r="R77" s="466"/>
    </row>
    <row r="78" spans="1:18">
      <c r="B78" s="985" t="s">
        <v>965</v>
      </c>
      <c r="C78" s="985"/>
      <c r="D78" s="985"/>
      <c r="E78" s="985"/>
    </row>
    <row r="79" spans="1:18" s="471" customFormat="1" ht="44.1" customHeight="1" thickBot="1">
      <c r="B79" s="472" t="s">
        <v>661</v>
      </c>
      <c r="C79" s="472" t="s">
        <v>1580</v>
      </c>
      <c r="D79" s="472" t="s">
        <v>971</v>
      </c>
      <c r="E79" s="472" t="s">
        <v>1039</v>
      </c>
      <c r="F79" s="472" t="s">
        <v>1038</v>
      </c>
      <c r="G79" s="473" t="s">
        <v>1040</v>
      </c>
    </row>
    <row r="80" spans="1:18">
      <c r="B80" s="474">
        <v>100</v>
      </c>
      <c r="C80" s="475">
        <f>B80*D80</f>
        <v>35000</v>
      </c>
      <c r="D80" s="475">
        <v>350</v>
      </c>
      <c r="E80" s="476"/>
      <c r="F80" s="475">
        <v>50</v>
      </c>
      <c r="G80" s="477"/>
    </row>
    <row r="81" spans="1:16">
      <c r="B81" s="478">
        <v>150</v>
      </c>
      <c r="C81" s="479">
        <f>B81*D81</f>
        <v>45000</v>
      </c>
      <c r="D81" s="479">
        <v>300</v>
      </c>
      <c r="E81" s="480">
        <f>D81/D$80-1</f>
        <v>-0.1428571428571429</v>
      </c>
      <c r="F81" s="479">
        <v>45</v>
      </c>
      <c r="G81" s="481">
        <f>F81/F$80-1</f>
        <v>-9.9999999999999978E-2</v>
      </c>
    </row>
    <row r="82" spans="1:16" ht="16.5" thickBot="1">
      <c r="B82" s="482">
        <v>300</v>
      </c>
      <c r="C82" s="483">
        <f>B82*D82</f>
        <v>75000</v>
      </c>
      <c r="D82" s="483">
        <v>250</v>
      </c>
      <c r="E82" s="484">
        <f>D82/D$80-1</f>
        <v>-0.2857142857142857</v>
      </c>
      <c r="F82" s="483">
        <v>40</v>
      </c>
      <c r="G82" s="485">
        <f>F82/F$80-1</f>
        <v>-0.19999999999999996</v>
      </c>
    </row>
    <row r="83" spans="1:16">
      <c r="D83" s="486"/>
    </row>
    <row r="84" spans="1:16">
      <c r="A84" s="172" t="s">
        <v>966</v>
      </c>
      <c r="D84" s="486"/>
    </row>
    <row r="85" spans="1:16">
      <c r="A85" s="40" t="s">
        <v>967</v>
      </c>
      <c r="D85" s="486"/>
      <c r="O85" s="736"/>
      <c r="P85" s="736"/>
    </row>
    <row r="86" spans="1:16">
      <c r="A86" s="40" t="s">
        <v>1056</v>
      </c>
      <c r="D86" s="486"/>
    </row>
    <row r="87" spans="1:16">
      <c r="A87" s="40" t="s">
        <v>1068</v>
      </c>
      <c r="D87" s="486"/>
      <c r="O87" s="736"/>
    </row>
    <row r="88" spans="1:16">
      <c r="A88" s="40" t="s">
        <v>968</v>
      </c>
      <c r="D88" s="486"/>
    </row>
    <row r="89" spans="1:16">
      <c r="A89" s="737" t="s">
        <v>1259</v>
      </c>
      <c r="D89" s="486"/>
    </row>
    <row r="90" spans="1:16" ht="16.5" thickBot="1">
      <c r="A90" s="176" t="s">
        <v>1057</v>
      </c>
      <c r="D90" s="486"/>
    </row>
    <row r="91" spans="1:16" ht="16.5" thickBot="1">
      <c r="A91" s="40"/>
      <c r="C91" s="487" t="s">
        <v>661</v>
      </c>
      <c r="D91" s="488">
        <f>'DATA TABLES'!C33</f>
        <v>150</v>
      </c>
    </row>
    <row r="92" spans="1:16" ht="16.5" thickBot="1">
      <c r="A92" s="701" t="s">
        <v>1188</v>
      </c>
      <c r="D92" s="486"/>
    </row>
    <row r="93" spans="1:16" ht="16.5" thickBot="1">
      <c r="A93" s="176"/>
      <c r="C93" s="487" t="s">
        <v>1038</v>
      </c>
      <c r="D93" s="117">
        <f>IF(D91=150,F81,IF(D91=100,F80,IF(D91=300,F82,"N/A")))</f>
        <v>45</v>
      </c>
    </row>
    <row r="94" spans="1:16">
      <c r="A94" s="40" t="s">
        <v>1058</v>
      </c>
      <c r="D94" s="486"/>
    </row>
    <row r="95" spans="1:16">
      <c r="A95" s="176" t="str">
        <f>"Write formulas in row "&amp;ROW(D102)&amp;" such that in every year prior to a year in which adequate capacity would not otherwise exist capacity is expanded by the quantity selected in "&amp;INDEX(Column,2,COLUMN(D91))&amp;ROW(D91)&amp;"."</f>
        <v>Write formulas in row 102 such that in every year prior to a year in which adequate capacity would not otherwise exist capacity is expanded by the quantity selected in D91.</v>
      </c>
      <c r="D95" s="486"/>
      <c r="M95" s="907"/>
    </row>
    <row r="96" spans="1:16">
      <c r="A96" s="756" t="s">
        <v>1290</v>
      </c>
      <c r="D96" s="486"/>
    </row>
    <row r="97" spans="1:18">
      <c r="A97" s="176" t="s">
        <v>1061</v>
      </c>
      <c r="D97" s="486"/>
    </row>
    <row r="98" spans="1:18" s="172" customFormat="1" ht="12.75">
      <c r="D98" s="464"/>
      <c r="E98" s="465"/>
      <c r="F98" s="465"/>
      <c r="G98" s="465"/>
      <c r="H98" s="465"/>
      <c r="I98" s="465"/>
      <c r="J98" s="465"/>
      <c r="K98" s="465"/>
      <c r="L98" s="465"/>
      <c r="M98" s="465"/>
      <c r="N98" s="465"/>
      <c r="R98" s="466"/>
    </row>
    <row r="99" spans="1:18" s="33" customFormat="1" ht="12.75">
      <c r="A99" s="185"/>
      <c r="C99" s="184">
        <f ca="1">D99-1</f>
        <v>2022</v>
      </c>
      <c r="D99" s="184">
        <f ca="1">YEAR(TODAY())</f>
        <v>2023</v>
      </c>
      <c r="E99" s="184">
        <f t="shared" ref="E99:M99" ca="1" si="16">D99+1</f>
        <v>2024</v>
      </c>
      <c r="F99" s="184">
        <f t="shared" ca="1" si="16"/>
        <v>2025</v>
      </c>
      <c r="G99" s="184">
        <f t="shared" ca="1" si="16"/>
        <v>2026</v>
      </c>
      <c r="H99" s="184">
        <f t="shared" ca="1" si="16"/>
        <v>2027</v>
      </c>
      <c r="I99" s="184">
        <f t="shared" ca="1" si="16"/>
        <v>2028</v>
      </c>
      <c r="J99" s="184">
        <f t="shared" ca="1" si="16"/>
        <v>2029</v>
      </c>
      <c r="K99" s="184">
        <f t="shared" ca="1" si="16"/>
        <v>2030</v>
      </c>
      <c r="L99" s="184">
        <f t="shared" ca="1" si="16"/>
        <v>2031</v>
      </c>
      <c r="M99" s="184">
        <f t="shared" ca="1" si="16"/>
        <v>2032</v>
      </c>
      <c r="R99" s="455"/>
    </row>
    <row r="100" spans="1:18" s="33" customFormat="1" ht="12.75">
      <c r="A100" s="176" t="s">
        <v>863</v>
      </c>
      <c r="C100" s="33">
        <v>500</v>
      </c>
      <c r="D100" s="33">
        <f>C100+C102</f>
        <v>500</v>
      </c>
      <c r="E100" s="33">
        <f>D100+D102</f>
        <v>850</v>
      </c>
      <c r="F100" s="33">
        <f>E100+E102</f>
        <v>1550</v>
      </c>
      <c r="G100" s="33">
        <f>F100+F102</f>
        <v>2950</v>
      </c>
      <c r="H100" s="33">
        <f t="shared" ref="H100:M100" si="17">G100+G102</f>
        <v>5750</v>
      </c>
      <c r="I100" s="33">
        <f t="shared" si="17"/>
        <v>11350</v>
      </c>
      <c r="J100" s="33">
        <f t="shared" si="17"/>
        <v>22550</v>
      </c>
      <c r="K100" s="33">
        <f t="shared" si="17"/>
        <v>44950</v>
      </c>
      <c r="L100" s="33">
        <f t="shared" si="17"/>
        <v>89750</v>
      </c>
      <c r="M100" s="33">
        <f t="shared" si="17"/>
        <v>179350</v>
      </c>
      <c r="R100" s="455"/>
    </row>
    <row r="101" spans="1:18">
      <c r="R101" s="455"/>
    </row>
    <row r="102" spans="1:18">
      <c r="A102" s="454" t="s">
        <v>661</v>
      </c>
      <c r="D102" s="754">
        <f>D100-D91</f>
        <v>350</v>
      </c>
      <c r="E102" s="754">
        <f>E100-D91</f>
        <v>700</v>
      </c>
      <c r="F102" s="754">
        <f>F100-D91</f>
        <v>1400</v>
      </c>
      <c r="G102" s="754">
        <f>G100-D91</f>
        <v>2800</v>
      </c>
      <c r="H102" s="754">
        <f>H100-D91</f>
        <v>5600</v>
      </c>
      <c r="I102" s="754">
        <f>I100-D91</f>
        <v>11200</v>
      </c>
      <c r="J102" s="754">
        <f>J100-D91</f>
        <v>22400</v>
      </c>
      <c r="K102" s="754">
        <f>K100-D91</f>
        <v>44800</v>
      </c>
      <c r="L102" s="754">
        <f>L100-D91</f>
        <v>89600</v>
      </c>
      <c r="M102" s="754">
        <f>M100-D91</f>
        <v>179200</v>
      </c>
      <c r="R102" s="455"/>
    </row>
    <row r="103" spans="1:18" s="33" customFormat="1" ht="12.75"/>
    <row r="104" spans="1:18" s="33" customFormat="1" ht="12.75">
      <c r="A104" s="172" t="s">
        <v>1042</v>
      </c>
      <c r="D104" s="33">
        <f>C104+C102</f>
        <v>0</v>
      </c>
      <c r="E104" s="33">
        <f t="shared" ref="E104:M104" si="18">D104+D102</f>
        <v>350</v>
      </c>
      <c r="F104" s="33">
        <f t="shared" si="18"/>
        <v>1050</v>
      </c>
      <c r="G104" s="33">
        <f t="shared" si="18"/>
        <v>2450</v>
      </c>
      <c r="H104" s="33">
        <f t="shared" si="18"/>
        <v>5250</v>
      </c>
      <c r="I104" s="33">
        <f t="shared" si="18"/>
        <v>10850</v>
      </c>
      <c r="J104" s="33">
        <f t="shared" si="18"/>
        <v>22050</v>
      </c>
      <c r="K104" s="33">
        <f t="shared" si="18"/>
        <v>44450</v>
      </c>
      <c r="L104" s="33">
        <f t="shared" si="18"/>
        <v>89250</v>
      </c>
      <c r="M104" s="33">
        <f t="shared" si="18"/>
        <v>178850</v>
      </c>
    </row>
    <row r="105" spans="1:18" s="33" customFormat="1" ht="12.75"/>
    <row r="106" spans="1:18">
      <c r="A106" s="172" t="s">
        <v>973</v>
      </c>
    </row>
    <row r="107" spans="1:18">
      <c r="A107" s="185" t="s">
        <v>663</v>
      </c>
      <c r="C107" s="469"/>
      <c r="D107" s="118">
        <f>D58-D102</f>
        <v>-174.25250000000003</v>
      </c>
      <c r="E107" s="118">
        <f t="shared" ref="E107:M107" si="19">E58-E102</f>
        <v>-508.435225</v>
      </c>
      <c r="F107" s="118">
        <f t="shared" si="19"/>
        <v>-1192.1522191250001</v>
      </c>
      <c r="G107" s="118">
        <f t="shared" si="19"/>
        <v>-2575.5243966550001</v>
      </c>
      <c r="H107" s="118">
        <f t="shared" si="19"/>
        <v>-5358.6887264041252</v>
      </c>
      <c r="I107" s="118">
        <f t="shared" si="19"/>
        <v>-10941.796937252413</v>
      </c>
      <c r="J107" s="118">
        <f t="shared" si="19"/>
        <v>-22125.01373817382</v>
      </c>
      <c r="K107" s="118">
        <f t="shared" si="19"/>
        <v>-44508.514562464246</v>
      </c>
      <c r="L107" s="118">
        <f t="shared" si="19"/>
        <v>-89292.482863399782</v>
      </c>
      <c r="M107" s="118">
        <f t="shared" si="19"/>
        <v>-178877.10700656977</v>
      </c>
    </row>
    <row r="108" spans="1:18">
      <c r="A108" s="185" t="s">
        <v>662</v>
      </c>
      <c r="C108" s="469"/>
      <c r="D108" s="118">
        <f>D59-D102</f>
        <v>-41.037500000000023</v>
      </c>
      <c r="E108" s="118">
        <f t="shared" ref="E108:M108" si="20">E59-E102</f>
        <v>-375.58937500000008</v>
      </c>
      <c r="F108" s="118">
        <f t="shared" si="20"/>
        <v>-1059.36884375</v>
      </c>
      <c r="G108" s="118">
        <f t="shared" si="20"/>
        <v>-2442.3372859374999</v>
      </c>
      <c r="H108" s="118">
        <f t="shared" si="20"/>
        <v>-5224.4541502343754</v>
      </c>
      <c r="I108" s="118">
        <f t="shared" si="20"/>
        <v>-10805.676857746093</v>
      </c>
      <c r="J108" s="118">
        <f t="shared" si="20"/>
        <v>-21985.960700633397</v>
      </c>
      <c r="K108" s="118">
        <f t="shared" si="20"/>
        <v>-44365.258735665069</v>
      </c>
      <c r="L108" s="118">
        <f t="shared" si="20"/>
        <v>-89143.521672448318</v>
      </c>
      <c r="M108" s="118">
        <f t="shared" si="20"/>
        <v>-178720.69775607073</v>
      </c>
    </row>
    <row r="110" spans="1:18">
      <c r="A110" s="450" t="s">
        <v>972</v>
      </c>
    </row>
    <row r="111" spans="1:18" s="172" customFormat="1" ht="12.75">
      <c r="A111" s="176" t="s">
        <v>1041</v>
      </c>
    </row>
    <row r="112" spans="1:18" s="172" customFormat="1" ht="12.75">
      <c r="A112" s="176" t="s">
        <v>1064</v>
      </c>
    </row>
    <row r="113" spans="1:14" s="172" customFormat="1" ht="12.75">
      <c r="A113" s="625" t="s">
        <v>1166</v>
      </c>
    </row>
    <row r="114" spans="1:14" s="172" customFormat="1" ht="12.75">
      <c r="A114" s="176" t="s">
        <v>1046</v>
      </c>
    </row>
    <row r="115" spans="1:14" s="172" customFormat="1" ht="12.75">
      <c r="A115" s="620" t="s">
        <v>1157</v>
      </c>
    </row>
    <row r="116" spans="1:14" s="172" customFormat="1" ht="12.75">
      <c r="A116" s="619" t="s">
        <v>1160</v>
      </c>
    </row>
    <row r="117" spans="1:14" s="172" customFormat="1" ht="12.75">
      <c r="A117" s="619" t="s">
        <v>1158</v>
      </c>
    </row>
    <row r="118" spans="1:14" s="172" customFormat="1" ht="12.75">
      <c r="A118" s="620" t="s">
        <v>1159</v>
      </c>
    </row>
    <row r="119" spans="1:14" s="172" customFormat="1" ht="12.75">
      <c r="A119" s="176" t="s">
        <v>1069</v>
      </c>
    </row>
    <row r="120" spans="1:14" s="172" customFormat="1" ht="12.75">
      <c r="A120" s="40" t="s">
        <v>1070</v>
      </c>
    </row>
    <row r="121" spans="1:14" s="172" customFormat="1" ht="12.75">
      <c r="A121" s="40" t="s">
        <v>1047</v>
      </c>
    </row>
    <row r="122" spans="1:14" s="172" customFormat="1" ht="12.75">
      <c r="A122" s="176" t="s">
        <v>1048</v>
      </c>
    </row>
    <row r="123" spans="1:14" s="172" customFormat="1" ht="12.75"/>
    <row r="124" spans="1:14" s="172" customFormat="1" ht="12.75">
      <c r="D124" s="911" t="s">
        <v>1505</v>
      </c>
      <c r="E124" s="184">
        <v>1</v>
      </c>
      <c r="F124" s="184">
        <v>2</v>
      </c>
      <c r="G124" s="184">
        <v>3</v>
      </c>
      <c r="H124" s="184">
        <v>4</v>
      </c>
      <c r="I124" s="184">
        <v>5</v>
      </c>
      <c r="J124" s="184">
        <v>6</v>
      </c>
      <c r="K124" s="184">
        <v>7</v>
      </c>
      <c r="L124" s="184">
        <v>8</v>
      </c>
      <c r="M124" s="184">
        <v>9</v>
      </c>
      <c r="N124" s="911" t="s">
        <v>291</v>
      </c>
    </row>
    <row r="125" spans="1:14">
      <c r="A125" s="172"/>
      <c r="B125" s="489"/>
      <c r="C125" s="172"/>
      <c r="D125" s="184">
        <f ca="1">YEAR(TODAY())</f>
        <v>2023</v>
      </c>
      <c r="E125" s="184">
        <f t="shared" ref="E125:M125" ca="1" si="21">D125+1</f>
        <v>2024</v>
      </c>
      <c r="F125" s="184">
        <f t="shared" ca="1" si="21"/>
        <v>2025</v>
      </c>
      <c r="G125" s="184">
        <f t="shared" ca="1" si="21"/>
        <v>2026</v>
      </c>
      <c r="H125" s="184">
        <f t="shared" ca="1" si="21"/>
        <v>2027</v>
      </c>
      <c r="I125" s="184">
        <f t="shared" ca="1" si="21"/>
        <v>2028</v>
      </c>
      <c r="J125" s="184">
        <f t="shared" ca="1" si="21"/>
        <v>2029</v>
      </c>
      <c r="K125" s="184">
        <f t="shared" ca="1" si="21"/>
        <v>2030</v>
      </c>
      <c r="L125" s="184">
        <f t="shared" ca="1" si="21"/>
        <v>2031</v>
      </c>
      <c r="M125" s="184">
        <f t="shared" ca="1" si="21"/>
        <v>2032</v>
      </c>
      <c r="N125" s="490" t="s">
        <v>896</v>
      </c>
    </row>
    <row r="127" spans="1:14">
      <c r="A127" s="172" t="s">
        <v>1052</v>
      </c>
      <c r="D127" s="455">
        <f>SUM(D128:D129)</f>
        <v>-10354.125000000004</v>
      </c>
      <c r="E127" s="455">
        <f t="shared" ref="E127:M127" si="22">SUM(E128:E129)</f>
        <v>-40445.33625</v>
      </c>
      <c r="F127" s="455">
        <f t="shared" si="22"/>
        <v>-101982.36470625001</v>
      </c>
      <c r="G127" s="455">
        <f t="shared" si="22"/>
        <v>-226469.71127025</v>
      </c>
      <c r="H127" s="455">
        <f t="shared" si="22"/>
        <v>-476912.60232958128</v>
      </c>
      <c r="I127" s="455">
        <f t="shared" si="22"/>
        <v>-979316.92117246438</v>
      </c>
      <c r="J127" s="455">
        <f t="shared" si="22"/>
        <v>-1985689.1149340267</v>
      </c>
      <c r="K127" s="455">
        <f t="shared" si="22"/>
        <v>-4000036.0775498152</v>
      </c>
      <c r="L127" s="455">
        <f t="shared" si="22"/>
        <v>-8030365.0100679211</v>
      </c>
      <c r="M127" s="455">
        <f t="shared" si="22"/>
        <v>-16092683.260571318</v>
      </c>
    </row>
    <row r="128" spans="1:14">
      <c r="A128" s="185" t="s">
        <v>663</v>
      </c>
      <c r="D128" s="455">
        <f t="shared" ref="D128:M128" si="23">(110-60)*D107</f>
        <v>-8712.6250000000018</v>
      </c>
      <c r="E128" s="455">
        <f t="shared" si="23"/>
        <v>-25421.76125</v>
      </c>
      <c r="F128" s="455">
        <f t="shared" si="23"/>
        <v>-59607.610956250006</v>
      </c>
      <c r="G128" s="455">
        <f t="shared" si="23"/>
        <v>-128776.21983275001</v>
      </c>
      <c r="H128" s="455">
        <f t="shared" si="23"/>
        <v>-267934.43632020627</v>
      </c>
      <c r="I128" s="455">
        <f t="shared" si="23"/>
        <v>-547089.84686262067</v>
      </c>
      <c r="J128" s="455">
        <f t="shared" si="23"/>
        <v>-1106250.686908691</v>
      </c>
      <c r="K128" s="455">
        <f t="shared" si="23"/>
        <v>-2225425.7281232122</v>
      </c>
      <c r="L128" s="455">
        <f t="shared" si="23"/>
        <v>-4464624.1431699889</v>
      </c>
      <c r="M128" s="455">
        <f t="shared" si="23"/>
        <v>-8943855.3503284883</v>
      </c>
    </row>
    <row r="129" spans="1:18">
      <c r="A129" s="185" t="s">
        <v>662</v>
      </c>
      <c r="D129" s="455">
        <f t="shared" ref="D129:M129" si="24">(100-60)*D108</f>
        <v>-1641.5000000000009</v>
      </c>
      <c r="E129" s="455">
        <f t="shared" si="24"/>
        <v>-15023.575000000003</v>
      </c>
      <c r="F129" s="455">
        <f t="shared" si="24"/>
        <v>-42374.753750000003</v>
      </c>
      <c r="G129" s="455">
        <f t="shared" si="24"/>
        <v>-97693.491437499993</v>
      </c>
      <c r="H129" s="455">
        <f t="shared" si="24"/>
        <v>-208978.16600937501</v>
      </c>
      <c r="I129" s="455">
        <f t="shared" si="24"/>
        <v>-432227.07430984371</v>
      </c>
      <c r="J129" s="455">
        <f t="shared" si="24"/>
        <v>-879438.42802533589</v>
      </c>
      <c r="K129" s="455">
        <f t="shared" si="24"/>
        <v>-1774610.3494266027</v>
      </c>
      <c r="L129" s="455">
        <f t="shared" si="24"/>
        <v>-3565740.8668979327</v>
      </c>
      <c r="M129" s="455">
        <f t="shared" si="24"/>
        <v>-7148827.9102428295</v>
      </c>
    </row>
    <row r="130" spans="1:18">
      <c r="A130" s="185"/>
      <c r="D130" s="455"/>
      <c r="E130" s="455"/>
      <c r="F130" s="455"/>
      <c r="G130" s="455"/>
      <c r="H130" s="455"/>
      <c r="I130" s="455"/>
      <c r="J130" s="455"/>
      <c r="K130" s="455"/>
      <c r="L130" s="455"/>
      <c r="M130" s="455"/>
    </row>
    <row r="131" spans="1:18">
      <c r="A131" s="176" t="s">
        <v>1053</v>
      </c>
      <c r="D131" s="455">
        <f t="shared" ref="D131:M131" si="25">D104*(60-$D$93)</f>
        <v>0</v>
      </c>
      <c r="E131" s="455">
        <f t="shared" si="25"/>
        <v>5250</v>
      </c>
      <c r="F131" s="455">
        <f t="shared" si="25"/>
        <v>15750</v>
      </c>
      <c r="G131" s="455">
        <f t="shared" si="25"/>
        <v>36750</v>
      </c>
      <c r="H131" s="455">
        <f t="shared" si="25"/>
        <v>78750</v>
      </c>
      <c r="I131" s="455">
        <f t="shared" si="25"/>
        <v>162750</v>
      </c>
      <c r="J131" s="455">
        <f t="shared" si="25"/>
        <v>330750</v>
      </c>
      <c r="K131" s="455">
        <f t="shared" si="25"/>
        <v>666750</v>
      </c>
      <c r="L131" s="455">
        <f t="shared" si="25"/>
        <v>1338750</v>
      </c>
      <c r="M131" s="455">
        <f t="shared" si="25"/>
        <v>2682750</v>
      </c>
    </row>
    <row r="132" spans="1:18">
      <c r="A132" s="185"/>
    </row>
    <row r="133" spans="1:18">
      <c r="A133" s="176" t="s">
        <v>1049</v>
      </c>
      <c r="D133" s="119">
        <f>D131-D127</f>
        <v>10354.125000000004</v>
      </c>
      <c r="E133" s="119">
        <f t="shared" ref="E133:M133" si="26">E131-E127</f>
        <v>45695.33625</v>
      </c>
      <c r="F133" s="119">
        <f t="shared" si="26"/>
        <v>117732.36470625001</v>
      </c>
      <c r="G133" s="119">
        <f t="shared" si="26"/>
        <v>263219.71127025003</v>
      </c>
      <c r="H133" s="119">
        <f t="shared" si="26"/>
        <v>555662.60232958128</v>
      </c>
      <c r="I133" s="119">
        <f t="shared" si="26"/>
        <v>1142066.9211724643</v>
      </c>
      <c r="J133" s="119">
        <f t="shared" si="26"/>
        <v>2316439.1149340267</v>
      </c>
      <c r="K133" s="119">
        <f t="shared" si="26"/>
        <v>4666786.0775498152</v>
      </c>
      <c r="L133" s="119">
        <f t="shared" si="26"/>
        <v>9369115.0100679211</v>
      </c>
      <c r="M133" s="119">
        <f t="shared" si="26"/>
        <v>18775433.260571316</v>
      </c>
      <c r="P133" s="926"/>
    </row>
    <row r="134" spans="1:18">
      <c r="A134" s="626" t="str">
        <f>"Hint: This is based on the 'Capacity Expansion (Units)' in row "&amp;ROW(A102)&amp;" above (you should use a reference function to incorporate the data)."</f>
        <v>Hint: This is based on the 'Capacity Expansion (Units)' in row 102 above (you should use a reference function to incorporate the data).</v>
      </c>
      <c r="N134" s="703"/>
    </row>
    <row r="136" spans="1:18">
      <c r="A136" s="926" t="s">
        <v>1050</v>
      </c>
      <c r="C136" s="489"/>
      <c r="D136" s="119"/>
      <c r="E136" s="119"/>
      <c r="F136" s="119"/>
      <c r="G136" s="119"/>
      <c r="H136" s="119"/>
      <c r="I136" s="119"/>
      <c r="J136" s="119"/>
      <c r="K136" s="119"/>
      <c r="L136" s="119"/>
      <c r="M136" s="119"/>
      <c r="N136" s="119"/>
    </row>
    <row r="137" spans="1:18" s="33" customFormat="1" ht="12.75">
      <c r="A137" s="185" t="str">
        <f>"Hint: For the calculation of the 'Terminal Value' in "&amp;INDEX(Column,2,COLUMN(N136))&amp;ROW(N136)&amp;" the 'Growth Rate' is zero and the 'Discount Rate' is in "&amp;INDEX(Column,2,COLUMN(D142))&amp;ROW(D142)&amp;"."</f>
        <v>Hint: For the calculation of the 'Terminal Value' in N136 the 'Growth Rate' is zero and the 'Discount Rate' is in D142.</v>
      </c>
      <c r="O137" s="459"/>
    </row>
    <row r="138" spans="1:18" s="33" customFormat="1" ht="12.75">
      <c r="O138" s="459"/>
    </row>
    <row r="139" spans="1:18" s="184" customFormat="1">
      <c r="A139" s="450" t="s">
        <v>660</v>
      </c>
      <c r="D139" s="451"/>
      <c r="E139" s="452"/>
      <c r="F139" s="452"/>
      <c r="G139" s="452"/>
      <c r="H139" s="452"/>
      <c r="I139" s="452"/>
      <c r="J139" s="452"/>
      <c r="K139" s="452"/>
      <c r="L139" s="452"/>
      <c r="M139" s="452"/>
      <c r="N139" s="452"/>
      <c r="R139" s="453"/>
    </row>
    <row r="140" spans="1:18">
      <c r="A140" s="172" t="s">
        <v>862</v>
      </c>
      <c r="K140" s="489"/>
      <c r="L140" s="937"/>
      <c r="M140" s="937"/>
      <c r="N140" s="936"/>
      <c r="O140" s="459"/>
    </row>
    <row r="141" spans="1:18">
      <c r="A141" s="172" t="s">
        <v>1065</v>
      </c>
      <c r="L141" s="460"/>
      <c r="M141" s="460"/>
      <c r="N141" s="458"/>
      <c r="O141" s="459"/>
    </row>
    <row r="142" spans="1:18">
      <c r="C142" s="491" t="s">
        <v>281</v>
      </c>
      <c r="D142" s="492"/>
      <c r="L142" s="460"/>
      <c r="M142" s="460"/>
      <c r="N142" s="458"/>
      <c r="O142" s="459"/>
    </row>
    <row r="143" spans="1:18">
      <c r="A143" s="33" t="str">
        <f ca="1">"In cell "&amp;INDEX(Column,2,COLUMN(N136))&amp;ROW(N136)&amp;" enter a formula to calculate the terminal value assume no additional growth beyond "&amp;M125&amp;"."</f>
        <v>In cell N136 enter a formula to calculate the terminal value assume no additional growth beyond 2032.</v>
      </c>
      <c r="L143" s="460"/>
      <c r="M143" s="460"/>
      <c r="N143" s="458"/>
      <c r="O143" s="459"/>
    </row>
    <row r="144" spans="1:18">
      <c r="A144" s="172" t="s">
        <v>1062</v>
      </c>
      <c r="L144" s="460"/>
      <c r="M144" s="460"/>
      <c r="N144" s="458"/>
      <c r="O144" s="459"/>
    </row>
    <row r="145" spans="1:28">
      <c r="C145" s="491" t="s">
        <v>279</v>
      </c>
      <c r="D145" s="119"/>
      <c r="L145" s="460"/>
      <c r="M145" s="460"/>
      <c r="N145" s="458"/>
      <c r="O145" s="459"/>
    </row>
    <row r="146" spans="1:28">
      <c r="A146" s="894" t="s">
        <v>1507</v>
      </c>
      <c r="C146" s="491"/>
      <c r="L146" s="460"/>
      <c r="M146" s="460"/>
      <c r="N146" s="458"/>
      <c r="O146" s="459"/>
    </row>
    <row r="147" spans="1:28">
      <c r="A147" s="172" t="s">
        <v>1063</v>
      </c>
      <c r="C147" s="491"/>
      <c r="L147" s="460"/>
      <c r="M147" s="460"/>
      <c r="N147" s="458"/>
      <c r="O147" s="459"/>
    </row>
    <row r="148" spans="1:28">
      <c r="C148" s="491" t="s">
        <v>280</v>
      </c>
      <c r="D148" s="115"/>
      <c r="L148" s="460"/>
      <c r="M148" s="460"/>
      <c r="N148" s="458"/>
      <c r="O148" s="459"/>
    </row>
    <row r="149" spans="1:28">
      <c r="A149" s="172" t="s">
        <v>1072</v>
      </c>
    </row>
    <row r="150" spans="1:28">
      <c r="A150" s="176" t="s">
        <v>1102</v>
      </c>
    </row>
    <row r="151" spans="1:28">
      <c r="A151" s="40" t="s">
        <v>1109</v>
      </c>
    </row>
    <row r="153" spans="1:28">
      <c r="A153" s="450" t="s">
        <v>1051</v>
      </c>
    </row>
    <row r="154" spans="1:28" s="172" customFormat="1" ht="12.75">
      <c r="A154" s="176" t="s">
        <v>1110</v>
      </c>
      <c r="AA154" s="2"/>
      <c r="AB154" s="2"/>
    </row>
    <row r="155" spans="1:28" s="172" customFormat="1" ht="12.75">
      <c r="A155" s="176" t="s">
        <v>1073</v>
      </c>
      <c r="AA155" s="2"/>
      <c r="AB155" s="2"/>
    </row>
    <row r="156" spans="1:28" s="172" customFormat="1" ht="12.75">
      <c r="A156" s="176"/>
      <c r="AA156" s="2"/>
      <c r="AB156" s="2"/>
    </row>
    <row r="157" spans="1:28" s="172" customFormat="1" ht="12.75">
      <c r="A157" s="172" t="s">
        <v>1071</v>
      </c>
    </row>
    <row r="158" spans="1:28" s="172" customFormat="1" ht="12.75">
      <c r="A158" s="176" t="s">
        <v>969</v>
      </c>
    </row>
    <row r="159" spans="1:28" s="172" customFormat="1" ht="12.75">
      <c r="A159" s="176" t="s">
        <v>861</v>
      </c>
    </row>
    <row r="160" spans="1:28" s="172" customFormat="1" ht="12.75">
      <c r="A160" s="176"/>
    </row>
    <row r="161" spans="1:2">
      <c r="A161" s="68" t="s">
        <v>860</v>
      </c>
    </row>
    <row r="162" spans="1:2">
      <c r="A162" s="185" t="str">
        <f>"Instructions on how to view multiple Sheets are on Row "&amp;ROW('EXCEL Financial Functions'!A$143)&amp;" of the 'EXCEL Financial Functions' Sheet of this Workbook."</f>
        <v>Instructions on how to view multiple Sheets are on Row 143 of the 'EXCEL Financial Functions' Sheet of this Workbook.</v>
      </c>
    </row>
    <row r="163" spans="1:2">
      <c r="A163" s="185" t="str">
        <f>"The data table(s) related to this Sheet start on Row "&amp;ROW('DATA TABLES'!A30)&amp;" of the 'DATA TABLES' Sheet."</f>
        <v>The data table(s) related to this Sheet start on Row 30 of the 'DATA TABLES' Sheet.</v>
      </c>
    </row>
    <row r="165" spans="1:2">
      <c r="A165" s="33" t="str">
        <f>"Create a Data Table in the template starting in row "&amp;ROW('DATA TABLES'!B37)&amp;" of the 'DATA TABLES' Sheet."</f>
        <v>Create a Data Table in the template starting in row 37 of the 'DATA TABLES' Sheet.</v>
      </c>
    </row>
    <row r="166" spans="1:2">
      <c r="A166" s="925" t="s">
        <v>1579</v>
      </c>
    </row>
    <row r="167" spans="1:2" ht="16.5" thickBot="1">
      <c r="A167" s="715" t="s">
        <v>1200</v>
      </c>
    </row>
    <row r="168" spans="1:2" ht="16.5" thickBot="1">
      <c r="B168" s="120">
        <v>150</v>
      </c>
    </row>
    <row r="169" spans="1:2">
      <c r="B169" s="172"/>
    </row>
    <row r="177" s="33" customFormat="1" ht="12.75"/>
    <row r="178" s="33" customFormat="1" ht="12.75"/>
    <row r="179" s="33" customFormat="1" ht="12.75"/>
    <row r="180" s="33" customFormat="1" ht="12.75"/>
    <row r="181" s="33" customFormat="1" ht="12.75"/>
    <row r="182" s="33" customFormat="1" ht="12.75"/>
    <row r="183" s="33" customFormat="1" ht="12.75"/>
    <row r="184" s="33" customFormat="1" ht="12.75"/>
    <row r="185" s="33" customFormat="1" ht="12.75"/>
    <row r="186" s="33" customFormat="1" ht="12.75"/>
    <row r="187" s="33" customFormat="1" ht="12.75"/>
    <row r="188" s="33" customFormat="1" ht="12.75"/>
    <row r="189" s="33" customFormat="1" ht="12.75"/>
    <row r="190" s="33" customFormat="1" ht="12.75"/>
  </sheetData>
  <sheetProtection algorithmName="SHA-512" hashValue="ZcUFmKCdtTZKecyAvc6DxmnpK70ukmDXT00qw7uK+ryeRduOpHkX0D6FzkFtZmsU5CJK7PXQuH00JacbTOyyGg==" saltValue="k8UmQ+g4L7aYCPQJuGAszA==" spinCount="100000" sheet="1" objects="1" scenarios="1"/>
  <mergeCells count="1">
    <mergeCell ref="B78:E78"/>
  </mergeCells>
  <dataValidations count="1">
    <dataValidation type="list" allowBlank="1" showInputMessage="1" showErrorMessage="1" sqref="B168" xr:uid="{04A58A8B-5AEE-D544-99CB-429B6A9E6F56}">
      <formula1>$B$80:$B$82</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4259" id="{00000000-000E-0000-0800-00003A050000}">
            <xm:f>AND(Graded,$B$168&lt;&gt;"",X!$G$138=0)</xm:f>
            <x14:dxf>
              <font>
                <color rgb="FF9C0006"/>
              </font>
              <fill>
                <patternFill>
                  <bgColor rgb="FFFFC7CE"/>
                </patternFill>
              </fill>
            </x14:dxf>
          </x14:cfRule>
          <xm:sqref>B168</xm:sqref>
        </x14:conditionalFormatting>
        <x14:conditionalFormatting xmlns:xm="http://schemas.microsoft.com/office/excel/2006/main">
          <x14:cfRule type="expression" priority="2034" id="{00000000-000E-0000-0800-000006000000}">
            <xm:f>AND(Graded,D93&lt;&gt;"",X!G131=0)</xm:f>
            <x14:dxf>
              <font>
                <color rgb="FF9C0006"/>
              </font>
              <fill>
                <patternFill>
                  <bgColor rgb="FFFFC7CE"/>
                </patternFill>
              </fill>
            </x14:dxf>
          </x14:cfRule>
          <xm:sqref>D93</xm:sqref>
        </x14:conditionalFormatting>
        <x14:conditionalFormatting xmlns:xm="http://schemas.microsoft.com/office/excel/2006/main">
          <x14:cfRule type="expression" priority="2040" id="{00000000-000E-0000-0800-000006000000}">
            <xm:f>AND(Graded,D145&lt;&gt;"",X!G136=0)</xm:f>
            <x14:dxf>
              <font>
                <color rgb="FF9C0006"/>
              </font>
              <fill>
                <patternFill>
                  <bgColor rgb="FFFFC7CE"/>
                </patternFill>
              </fill>
            </x14:dxf>
          </x14:cfRule>
          <xm:sqref>D145</xm:sqref>
        </x14:conditionalFormatting>
        <x14:conditionalFormatting xmlns:xm="http://schemas.microsoft.com/office/excel/2006/main">
          <x14:cfRule type="expression" priority="2044" id="{00000000-000E-0000-0800-000006000000}">
            <xm:f>AND(Graded,D148&lt;&gt;"",X!G137=0)</xm:f>
            <x14:dxf>
              <font>
                <color rgb="FF9C0006"/>
              </font>
              <fill>
                <patternFill>
                  <bgColor rgb="FFFFC7CE"/>
                </patternFill>
              </fill>
            </x14:dxf>
          </x14:cfRule>
          <xm:sqref>D148</xm:sqref>
        </x14:conditionalFormatting>
        <x14:conditionalFormatting xmlns:xm="http://schemas.microsoft.com/office/excel/2006/main">
          <x14:cfRule type="expression" priority="4262" id="{00000000-000E-0000-0800-000004000000}">
            <xm:f>AND(Graded,D44&lt;&gt;"",X!L123=0)</xm:f>
            <x14:dxf>
              <font>
                <color rgb="FF9C0006"/>
              </font>
              <fill>
                <patternFill>
                  <bgColor rgb="FFFFC7CE"/>
                </patternFill>
              </fill>
            </x14:dxf>
          </x14:cfRule>
          <xm:sqref>D44:M45</xm:sqref>
        </x14:conditionalFormatting>
        <x14:conditionalFormatting xmlns:xm="http://schemas.microsoft.com/office/excel/2006/main">
          <x14:cfRule type="expression" priority="4263" id="{00000000-000E-0000-0800-000004000000}">
            <xm:f>AND(Graded,D54&lt;&gt;"",X!L125=0)</xm:f>
            <x14:dxf>
              <font>
                <color rgb="FF9C0006"/>
              </font>
              <fill>
                <patternFill>
                  <bgColor rgb="FFFFC7CE"/>
                </patternFill>
              </fill>
            </x14:dxf>
          </x14:cfRule>
          <xm:sqref>D54:M55</xm:sqref>
        </x14:conditionalFormatting>
        <x14:conditionalFormatting xmlns:xm="http://schemas.microsoft.com/office/excel/2006/main">
          <x14:cfRule type="expression" priority="4264" id="{00000000-000E-0000-0800-000004000000}">
            <xm:f>AND(Graded,D58&lt;&gt;"",X!L127=0)</xm:f>
            <x14:dxf>
              <font>
                <color rgb="FF9C0006"/>
              </font>
              <fill>
                <patternFill>
                  <bgColor rgb="FFFFC7CE"/>
                </patternFill>
              </fill>
            </x14:dxf>
          </x14:cfRule>
          <xm:sqref>D58:M59</xm:sqref>
        </x14:conditionalFormatting>
        <x14:conditionalFormatting xmlns:xm="http://schemas.microsoft.com/office/excel/2006/main">
          <x14:cfRule type="expression" priority="4265" id="{00000000-000E-0000-0800-000004000000}">
            <xm:f>AND(Graded,D73&lt;&gt;"",X!L129=0)</xm:f>
            <x14:dxf>
              <font>
                <color rgb="FF9C0006"/>
              </font>
              <fill>
                <patternFill>
                  <bgColor rgb="FFFFC7CE"/>
                </patternFill>
              </fill>
            </x14:dxf>
          </x14:cfRule>
          <xm:sqref>D73:M74</xm:sqref>
        </x14:conditionalFormatting>
        <x14:conditionalFormatting xmlns:xm="http://schemas.microsoft.com/office/excel/2006/main">
          <x14:cfRule type="expression" priority="4266" id="{00000000-000E-0000-0800-000004000000}">
            <xm:f>AND(Graded,D102&lt;&gt;"",X!L132=0)</xm:f>
            <x14:dxf>
              <font>
                <color rgb="FF9C0006"/>
              </font>
              <fill>
                <patternFill>
                  <bgColor rgb="FFFFC7CE"/>
                </patternFill>
              </fill>
            </x14:dxf>
          </x14:cfRule>
          <xm:sqref>D102:M102</xm:sqref>
        </x14:conditionalFormatting>
        <x14:conditionalFormatting xmlns:xm="http://schemas.microsoft.com/office/excel/2006/main">
          <x14:cfRule type="expression" priority="4278" id="{00000000-000E-0000-0800-000004000000}">
            <xm:f>AND(Graded,D107&lt;&gt;"",X!#REF!=0)</xm:f>
            <x14:dxf>
              <font>
                <color rgb="FF9C0006"/>
              </font>
              <fill>
                <patternFill>
                  <bgColor rgb="FFFFC7CE"/>
                </patternFill>
              </fill>
            </x14:dxf>
          </x14:cfRule>
          <xm:sqref>D107:M107</xm:sqref>
        </x14:conditionalFormatting>
        <x14:conditionalFormatting xmlns:xm="http://schemas.microsoft.com/office/excel/2006/main">
          <x14:cfRule type="expression" priority="4279" id="{00000000-000E-0000-0800-000004000000}">
            <xm:f>AND(Graded,D108&lt;&gt;"",X!L133=0)</xm:f>
            <x14:dxf>
              <font>
                <color rgb="FF9C0006"/>
              </font>
              <fill>
                <patternFill>
                  <bgColor rgb="FFFFC7CE"/>
                </patternFill>
              </fill>
            </x14:dxf>
          </x14:cfRule>
          <xm:sqref>D108:M108</xm:sqref>
        </x14:conditionalFormatting>
        <x14:conditionalFormatting xmlns:xm="http://schemas.microsoft.com/office/excel/2006/main">
          <x14:cfRule type="expression" priority="4269" id="{00000000-000E-0000-0800-000004000000}">
            <xm:f>AND(Graded,D133&lt;&gt;"",X!L134=0)</xm:f>
            <x14:dxf>
              <font>
                <color rgb="FF9C0006"/>
              </font>
              <fill>
                <patternFill>
                  <bgColor rgb="FFFFC7CE"/>
                </patternFill>
              </fill>
            </x14:dxf>
          </x14:cfRule>
          <xm:sqref>D133:M133</xm:sqref>
        </x14:conditionalFormatting>
        <x14:conditionalFormatting xmlns:xm="http://schemas.microsoft.com/office/excel/2006/main">
          <x14:cfRule type="expression" priority="4270" id="{00000000-000E-0000-0800-000004000000}">
            <xm:f>AND(Graded,D136&lt;&gt;"",X!L135=0)</xm:f>
            <x14:dxf>
              <font>
                <color rgb="FF9C0006"/>
              </font>
              <fill>
                <patternFill>
                  <bgColor rgb="FFFFC7CE"/>
                </patternFill>
              </fill>
            </x14:dxf>
          </x14:cfRule>
          <xm:sqref>D136:N136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ED7C0-A1B7-224B-B065-E87841A8877A}">
  <dimension ref="A1:AC243"/>
  <sheetViews>
    <sheetView topLeftCell="A187" zoomScale="140" zoomScaleNormal="140" workbookViewId="0">
      <selection activeCell="F228" sqref="F228"/>
    </sheetView>
  </sheetViews>
  <sheetFormatPr defaultColWidth="10.625" defaultRowHeight="15.75"/>
  <cols>
    <col min="1" max="1" width="10.5" customWidth="1"/>
    <col min="2" max="2" width="18.5" style="503" customWidth="1"/>
    <col min="3" max="6" width="10.625" style="504"/>
    <col min="25" max="33" width="10.625" customWidth="1"/>
    <col min="34" max="34" width="13.125" customWidth="1"/>
    <col min="35" max="52" width="10.625" customWidth="1"/>
  </cols>
  <sheetData>
    <row r="1" spans="1:29" s="365" customFormat="1" ht="18.75">
      <c r="A1" s="149" t="s">
        <v>1141</v>
      </c>
      <c r="G1" s="368" t="s">
        <v>54</v>
      </c>
      <c r="K1" s="369"/>
    </row>
    <row r="2" spans="1:29" s="365" customFormat="1" ht="12.75">
      <c r="A2" s="2" t="s">
        <v>757</v>
      </c>
      <c r="G2" s="368"/>
    </row>
    <row r="3" spans="1:29" s="365" customFormat="1" ht="12.75">
      <c r="A3" s="2" t="s">
        <v>1146</v>
      </c>
    </row>
    <row r="4" spans="1:29" s="365" customFormat="1" ht="12.75">
      <c r="A4" s="2" t="str">
        <f ca="1">"Sheet: "&amp;MID(CELL("filename",A1),FIND("]",CELL("filename",A1))+1,255)</f>
        <v>Sheet: MODEL Revise Budget &amp; Staffing</v>
      </c>
    </row>
    <row r="5" spans="1:29" s="2" customFormat="1" ht="13.5" thickBot="1">
      <c r="B5" s="311"/>
      <c r="C5" s="493"/>
      <c r="D5" s="493"/>
      <c r="E5" s="493"/>
      <c r="F5" s="493"/>
    </row>
    <row r="6" spans="1:29" s="33" customFormat="1">
      <c r="A6" s="509" t="s">
        <v>462</v>
      </c>
      <c r="B6" s="676"/>
      <c r="C6" s="676"/>
      <c r="D6" s="676"/>
      <c r="E6" s="677"/>
      <c r="F6" s="676"/>
      <c r="G6" s="676"/>
      <c r="H6" s="678"/>
      <c r="I6" s="678"/>
      <c r="J6" s="676"/>
      <c r="K6" s="679"/>
      <c r="AA6"/>
      <c r="AB6"/>
    </row>
    <row r="7" spans="1:29" ht="16.5" thickBot="1">
      <c r="A7" s="680" t="s">
        <v>1176</v>
      </c>
      <c r="B7" s="681"/>
      <c r="C7" s="681"/>
      <c r="D7" s="681"/>
      <c r="E7" s="681"/>
      <c r="F7" s="681"/>
      <c r="G7" s="681"/>
      <c r="H7" s="681"/>
      <c r="I7" s="681"/>
      <c r="J7" s="681"/>
      <c r="K7" s="682"/>
      <c r="AC7" s="201"/>
    </row>
    <row r="8" spans="1:29" s="2" customFormat="1" ht="12.75">
      <c r="B8" s="311"/>
      <c r="C8" s="493"/>
      <c r="D8" s="493"/>
      <c r="E8" s="493"/>
      <c r="F8" s="493"/>
    </row>
    <row r="9" spans="1:29" s="2" customFormat="1" ht="12.75">
      <c r="A9" s="373" t="s">
        <v>822</v>
      </c>
      <c r="B9" s="374"/>
      <c r="C9" s="374"/>
      <c r="D9" s="374"/>
      <c r="E9" s="374"/>
      <c r="F9" s="374"/>
      <c r="G9" s="374"/>
      <c r="H9" s="374"/>
      <c r="I9" s="374"/>
      <c r="J9" s="374"/>
      <c r="K9" s="375"/>
    </row>
    <row r="10" spans="1:29" s="2" customFormat="1" ht="12.75">
      <c r="A10" s="420" t="s">
        <v>931</v>
      </c>
      <c r="B10" s="33"/>
      <c r="C10" s="33"/>
      <c r="D10" s="33"/>
      <c r="E10" s="33"/>
      <c r="F10" s="33"/>
      <c r="G10" s="33"/>
      <c r="H10" s="33"/>
      <c r="I10" s="33"/>
      <c r="J10" s="33"/>
      <c r="K10" s="377"/>
    </row>
    <row r="11" spans="1:29" s="2" customFormat="1" ht="12.75">
      <c r="A11" s="448" t="s">
        <v>829</v>
      </c>
      <c r="B11" s="379"/>
      <c r="C11" s="379"/>
      <c r="D11" s="379"/>
      <c r="E11" s="379"/>
      <c r="F11" s="379"/>
      <c r="G11" s="379"/>
      <c r="H11" s="379"/>
      <c r="I11" s="379"/>
      <c r="J11" s="379"/>
      <c r="K11" s="380"/>
    </row>
    <row r="12" spans="1:29" s="2" customFormat="1" ht="12.75">
      <c r="A12" s="373" t="s">
        <v>1210</v>
      </c>
      <c r="B12" s="374"/>
      <c r="C12" s="374"/>
      <c r="D12" s="374"/>
      <c r="E12" s="374"/>
      <c r="F12" s="374"/>
      <c r="G12" s="374"/>
      <c r="H12" s="374"/>
      <c r="I12" s="374"/>
      <c r="J12" s="374"/>
      <c r="K12" s="375"/>
    </row>
    <row r="13" spans="1:29" s="2" customFormat="1" ht="12.75">
      <c r="A13" s="378" t="s">
        <v>830</v>
      </c>
      <c r="B13" s="379"/>
      <c r="C13" s="379"/>
      <c r="D13" s="379"/>
      <c r="E13" s="379"/>
      <c r="F13" s="379"/>
      <c r="G13" s="379"/>
      <c r="H13" s="379"/>
      <c r="I13" s="379"/>
      <c r="J13" s="379"/>
      <c r="K13" s="380"/>
    </row>
    <row r="14" spans="1:29" s="2" customFormat="1" ht="12.75">
      <c r="B14" s="311"/>
      <c r="C14" s="493"/>
      <c r="D14" s="493"/>
      <c r="E14" s="493"/>
      <c r="F14" s="493"/>
    </row>
    <row r="15" spans="1:29" s="2" customFormat="1" ht="12.75">
      <c r="A15" s="2" t="s">
        <v>932</v>
      </c>
      <c r="B15" s="311"/>
      <c r="C15" s="493"/>
      <c r="D15" s="493"/>
      <c r="E15" s="493"/>
      <c r="F15" s="493"/>
    </row>
    <row r="16" spans="1:29" s="2" customFormat="1" ht="12.75">
      <c r="A16" s="2" t="s">
        <v>937</v>
      </c>
      <c r="B16" s="311"/>
      <c r="C16" s="493"/>
      <c r="D16" s="493"/>
      <c r="E16" s="493"/>
      <c r="F16" s="493"/>
    </row>
    <row r="17" spans="1:6" s="2" customFormat="1" ht="12.75">
      <c r="A17" s="2" t="s">
        <v>1544</v>
      </c>
      <c r="B17" s="311"/>
      <c r="C17" s="493"/>
      <c r="D17" s="493"/>
      <c r="E17" s="493"/>
      <c r="F17" s="493"/>
    </row>
    <row r="18" spans="1:6" s="2" customFormat="1" ht="12.75">
      <c r="A18" s="19" t="s">
        <v>1545</v>
      </c>
      <c r="B18" s="311"/>
      <c r="C18" s="493"/>
      <c r="D18" s="493"/>
      <c r="E18" s="493"/>
      <c r="F18" s="493"/>
    </row>
    <row r="19" spans="1:6" s="2" customFormat="1" ht="12.75">
      <c r="A19" s="19" t="s">
        <v>1546</v>
      </c>
      <c r="B19" s="311"/>
      <c r="C19" s="493"/>
      <c r="D19" s="493"/>
      <c r="E19" s="493"/>
      <c r="F19" s="493"/>
    </row>
    <row r="20" spans="1:6" s="2" customFormat="1" ht="12.75">
      <c r="A20" s="19" t="s">
        <v>1547</v>
      </c>
      <c r="B20" s="311"/>
      <c r="C20" s="493"/>
      <c r="D20" s="493"/>
      <c r="E20" s="493"/>
      <c r="F20" s="493"/>
    </row>
    <row r="21" spans="1:6" s="2" customFormat="1" ht="12.75">
      <c r="A21" s="19" t="s">
        <v>1548</v>
      </c>
      <c r="B21" s="311"/>
      <c r="C21" s="493"/>
      <c r="D21" s="493"/>
      <c r="E21" s="493"/>
      <c r="F21" s="493"/>
    </row>
    <row r="22" spans="1:6" s="2" customFormat="1" ht="12.75">
      <c r="A22" s="19" t="s">
        <v>1549</v>
      </c>
      <c r="B22" s="311"/>
      <c r="C22" s="493"/>
      <c r="D22" s="493"/>
      <c r="E22" s="493"/>
      <c r="F22" s="493"/>
    </row>
    <row r="23" spans="1:6" s="2" customFormat="1" ht="12.75">
      <c r="A23" s="19" t="s">
        <v>1550</v>
      </c>
      <c r="B23" s="311"/>
      <c r="C23" s="493"/>
      <c r="D23" s="493"/>
      <c r="E23" s="493"/>
      <c r="F23" s="493"/>
    </row>
    <row r="24" spans="1:6" s="2" customFormat="1" ht="12.75">
      <c r="A24" s="19" t="s">
        <v>1551</v>
      </c>
      <c r="B24" s="311"/>
      <c r="C24" s="493"/>
      <c r="D24" s="493"/>
      <c r="E24" s="493"/>
      <c r="F24" s="493"/>
    </row>
    <row r="25" spans="1:6" s="2" customFormat="1" ht="12.75">
      <c r="A25" s="2" t="s">
        <v>1568</v>
      </c>
      <c r="B25" s="311"/>
      <c r="C25" s="493"/>
      <c r="D25" s="493"/>
      <c r="E25" s="493"/>
      <c r="F25" s="493"/>
    </row>
    <row r="26" spans="1:6" s="2" customFormat="1" ht="12.75">
      <c r="A26" s="2" t="str">
        <f>"In Workbook "&amp;INDEX(Workbook,2)&amp;" on the 'DATA ANALYSIS Budgets' Sheet, you analyzed sales budget variances. "</f>
        <v xml:space="preserve">In Workbook Data Analysis (Workbook 2) on the 'DATA ANALYSIS Budgets' Sheet, you analyzed sales budget variances. </v>
      </c>
      <c r="B26" s="311"/>
      <c r="C26" s="493"/>
      <c r="D26" s="493"/>
      <c r="E26" s="493"/>
      <c r="F26" s="493"/>
    </row>
    <row r="27" spans="1:6" s="2" customFormat="1" ht="12.75">
      <c r="B27" s="311"/>
      <c r="C27" s="493"/>
      <c r="D27" s="493"/>
      <c r="E27" s="493"/>
      <c r="F27" s="493"/>
    </row>
    <row r="28" spans="1:6" s="2" customFormat="1" ht="12.75">
      <c r="A28" s="2" t="s">
        <v>1553</v>
      </c>
      <c r="B28" s="311"/>
      <c r="C28" s="493"/>
      <c r="D28" s="493"/>
      <c r="E28" s="493"/>
      <c r="F28" s="493"/>
    </row>
    <row r="29" spans="1:6" s="2" customFormat="1" ht="12.75">
      <c r="A29" s="2" t="s">
        <v>1554</v>
      </c>
      <c r="B29" s="311"/>
      <c r="C29" s="493"/>
      <c r="D29" s="493"/>
      <c r="E29" s="493"/>
      <c r="F29" s="493"/>
    </row>
    <row r="30" spans="1:6" s="2" customFormat="1" ht="12.75">
      <c r="A30" s="2" t="s">
        <v>1575</v>
      </c>
      <c r="B30" s="311"/>
      <c r="C30" s="493"/>
      <c r="D30" s="493"/>
      <c r="E30" s="493"/>
      <c r="F30" s="493"/>
    </row>
    <row r="31" spans="1:6" s="2" customFormat="1" ht="12.75">
      <c r="A31" s="2" t="s">
        <v>1555</v>
      </c>
      <c r="B31" s="311"/>
      <c r="C31" s="493"/>
      <c r="D31" s="493"/>
      <c r="E31" s="493"/>
      <c r="F31" s="493"/>
    </row>
    <row r="32" spans="1:6" s="2" customFormat="1" ht="12.75">
      <c r="A32" s="19" t="s">
        <v>1556</v>
      </c>
      <c r="B32" s="311"/>
      <c r="C32" s="493"/>
      <c r="D32" s="493"/>
      <c r="E32" s="493"/>
      <c r="F32" s="493"/>
    </row>
    <row r="33" spans="1:6" s="2" customFormat="1" ht="12.75">
      <c r="A33" s="19" t="s">
        <v>1557</v>
      </c>
      <c r="B33" s="311"/>
      <c r="C33" s="493"/>
      <c r="D33" s="493"/>
      <c r="E33" s="493"/>
      <c r="F33" s="493"/>
    </row>
    <row r="34" spans="1:6" s="2" customFormat="1" ht="12.75">
      <c r="A34" s="2" t="s">
        <v>1576</v>
      </c>
      <c r="B34" s="311"/>
      <c r="C34" s="493"/>
      <c r="D34" s="493"/>
      <c r="E34" s="493"/>
      <c r="F34" s="493"/>
    </row>
    <row r="35" spans="1:6" s="2" customFormat="1" ht="12.75">
      <c r="A35" s="19" t="s">
        <v>1558</v>
      </c>
      <c r="B35" s="311"/>
      <c r="C35" s="493"/>
      <c r="D35" s="493"/>
      <c r="E35" s="493"/>
      <c r="F35" s="493"/>
    </row>
    <row r="36" spans="1:6" s="2" customFormat="1" ht="12.75">
      <c r="A36" s="19" t="s">
        <v>1559</v>
      </c>
      <c r="B36" s="311"/>
      <c r="C36" s="493"/>
      <c r="D36" s="493"/>
      <c r="E36" s="493"/>
      <c r="F36" s="493"/>
    </row>
    <row r="37" spans="1:6" s="2" customFormat="1" ht="12.75">
      <c r="A37" s="19"/>
      <c r="B37" s="311"/>
      <c r="C37" s="493"/>
      <c r="D37" s="493"/>
      <c r="E37" s="493"/>
      <c r="F37" s="493"/>
    </row>
    <row r="38" spans="1:6" s="2" customFormat="1" ht="12.75">
      <c r="A38" s="2" t="s">
        <v>1569</v>
      </c>
      <c r="B38" s="311"/>
      <c r="C38" s="493"/>
      <c r="D38" s="493"/>
      <c r="E38" s="493"/>
      <c r="F38" s="493"/>
    </row>
    <row r="39" spans="1:6" s="2" customFormat="1" ht="12.75">
      <c r="A39" s="2" t="s">
        <v>1560</v>
      </c>
      <c r="B39" s="311"/>
      <c r="C39" s="493"/>
      <c r="D39" s="493"/>
      <c r="E39" s="493"/>
      <c r="F39" s="493"/>
    </row>
    <row r="40" spans="1:6" s="2" customFormat="1" ht="12.75">
      <c r="A40" s="2" t="s">
        <v>948</v>
      </c>
      <c r="B40" s="311"/>
      <c r="C40" s="493"/>
      <c r="D40" s="493"/>
      <c r="E40" s="493"/>
      <c r="F40" s="493"/>
    </row>
    <row r="41" spans="1:6" s="2" customFormat="1" ht="12.75">
      <c r="A41" s="19" t="s">
        <v>921</v>
      </c>
      <c r="B41" s="311"/>
      <c r="C41" s="493"/>
      <c r="D41" s="493"/>
      <c r="E41" s="493"/>
      <c r="F41" s="493"/>
    </row>
    <row r="42" spans="1:6" s="2" customFormat="1" ht="12.75">
      <c r="A42" s="19" t="s">
        <v>922</v>
      </c>
      <c r="B42" s="311"/>
      <c r="C42" s="493"/>
      <c r="D42" s="493"/>
      <c r="E42" s="493"/>
      <c r="F42" s="493"/>
    </row>
    <row r="43" spans="1:6" s="2" customFormat="1" ht="12.75">
      <c r="A43" s="19" t="s">
        <v>938</v>
      </c>
      <c r="B43" s="311"/>
      <c r="C43" s="493"/>
      <c r="D43" s="493"/>
      <c r="E43" s="493"/>
      <c r="F43" s="493"/>
    </row>
    <row r="44" spans="1:6" s="2" customFormat="1" ht="12.75">
      <c r="A44" s="19" t="s">
        <v>1552</v>
      </c>
      <c r="B44" s="311"/>
      <c r="C44" s="493"/>
      <c r="D44" s="493"/>
      <c r="E44" s="493"/>
      <c r="F44" s="493"/>
    </row>
    <row r="45" spans="1:6" s="2" customFormat="1" ht="12.75">
      <c r="A45" s="2" t="s">
        <v>923</v>
      </c>
      <c r="B45" s="311"/>
      <c r="C45" s="493"/>
      <c r="D45" s="493"/>
      <c r="E45" s="493"/>
      <c r="F45" s="493"/>
    </row>
    <row r="46" spans="1:6" s="2" customFormat="1" ht="12.75">
      <c r="A46" s="2" t="s">
        <v>933</v>
      </c>
      <c r="B46" s="311"/>
      <c r="C46" s="493"/>
      <c r="D46" s="493"/>
      <c r="E46" s="493"/>
      <c r="F46" s="493"/>
    </row>
    <row r="47" spans="1:6" s="2" customFormat="1" ht="12.75">
      <c r="A47" s="168"/>
      <c r="B47" s="311"/>
      <c r="C47" s="493"/>
      <c r="D47" s="493"/>
      <c r="E47" s="493"/>
      <c r="F47" s="493"/>
    </row>
    <row r="48" spans="1:6" s="2" customFormat="1" ht="12.75">
      <c r="A48" s="2" t="s">
        <v>456</v>
      </c>
      <c r="B48" s="311"/>
      <c r="C48" s="493"/>
      <c r="D48" s="493"/>
      <c r="E48" s="493"/>
      <c r="F48" s="493"/>
    </row>
    <row r="49" spans="1:6" s="2" customFormat="1" ht="12.75">
      <c r="A49" s="2" t="s">
        <v>446</v>
      </c>
      <c r="B49" s="311"/>
      <c r="C49" s="493"/>
      <c r="D49" s="493"/>
      <c r="E49" s="493"/>
      <c r="F49" s="493"/>
    </row>
    <row r="50" spans="1:6" s="2" customFormat="1" ht="12.75">
      <c r="A50" s="2" t="s">
        <v>779</v>
      </c>
      <c r="B50" s="311"/>
      <c r="C50" s="493"/>
      <c r="D50" s="493"/>
      <c r="E50" s="493"/>
      <c r="F50" s="493"/>
    </row>
    <row r="51" spans="1:6" s="2" customFormat="1" ht="12.75">
      <c r="A51" s="2" t="s">
        <v>780</v>
      </c>
      <c r="B51" s="311"/>
      <c r="C51" s="493"/>
      <c r="D51" s="493"/>
      <c r="E51" s="493"/>
      <c r="F51" s="493"/>
    </row>
    <row r="52" spans="1:6" s="2" customFormat="1" ht="12.75">
      <c r="A52" s="2" t="s">
        <v>448</v>
      </c>
      <c r="B52" s="311"/>
      <c r="C52" s="493"/>
      <c r="D52" s="493"/>
      <c r="E52" s="493"/>
      <c r="F52" s="493"/>
    </row>
    <row r="53" spans="1:6" s="2" customFormat="1" ht="12.75">
      <c r="A53" s="2" t="s">
        <v>741</v>
      </c>
      <c r="B53" s="311"/>
      <c r="C53" s="493"/>
      <c r="D53" s="493"/>
      <c r="E53" s="493"/>
      <c r="F53" s="493"/>
    </row>
    <row r="54" spans="1:6" s="2" customFormat="1" ht="12.75">
      <c r="A54" s="2" t="s">
        <v>1570</v>
      </c>
      <c r="B54" s="311"/>
      <c r="C54" s="493"/>
      <c r="D54" s="493"/>
      <c r="E54" s="493"/>
      <c r="F54" s="493"/>
    </row>
    <row r="55" spans="1:6" s="2" customFormat="1" ht="12.75">
      <c r="B55" s="2" t="s">
        <v>1564</v>
      </c>
      <c r="C55" s="493"/>
      <c r="D55" s="493"/>
      <c r="E55" s="493"/>
      <c r="F55" s="493"/>
    </row>
    <row r="56" spans="1:6" s="2" customFormat="1" ht="12.75">
      <c r="A56" s="2" t="s">
        <v>1578</v>
      </c>
      <c r="B56" s="311"/>
      <c r="C56" s="493"/>
      <c r="D56" s="493"/>
      <c r="E56" s="493"/>
      <c r="F56" s="493"/>
    </row>
    <row r="57" spans="1:6" s="2" customFormat="1" ht="12.75">
      <c r="A57" s="2" t="s">
        <v>1561</v>
      </c>
      <c r="B57" s="311"/>
      <c r="C57" s="493"/>
      <c r="D57" s="493"/>
      <c r="E57" s="493"/>
      <c r="F57" s="493"/>
    </row>
    <row r="58" spans="1:6" s="2" customFormat="1" ht="12.75">
      <c r="A58" s="19" t="s">
        <v>1577</v>
      </c>
      <c r="C58" s="493"/>
      <c r="D58" s="493"/>
      <c r="E58" s="493"/>
      <c r="F58" s="493"/>
    </row>
    <row r="59" spans="1:6" s="2" customFormat="1" ht="12.75">
      <c r="A59" s="19" t="s">
        <v>1567</v>
      </c>
      <c r="C59" s="493"/>
      <c r="D59" s="493"/>
      <c r="E59" s="493"/>
      <c r="F59" s="493"/>
    </row>
    <row r="60" spans="1:6" s="2" customFormat="1" ht="12.75">
      <c r="A60" s="19" t="s">
        <v>1566</v>
      </c>
      <c r="B60" s="311"/>
      <c r="C60" s="493"/>
      <c r="D60" s="493"/>
      <c r="E60" s="493"/>
      <c r="F60" s="493"/>
    </row>
    <row r="61" spans="1:6" s="2" customFormat="1" ht="12.75">
      <c r="A61" s="2" t="s">
        <v>1562</v>
      </c>
      <c r="B61" s="311"/>
      <c r="C61" s="493"/>
      <c r="D61" s="493"/>
      <c r="E61" s="493"/>
      <c r="F61" s="493"/>
    </row>
    <row r="62" spans="1:6" s="2" customFormat="1" ht="12.75">
      <c r="A62" s="19" t="s">
        <v>1563</v>
      </c>
      <c r="B62" s="311"/>
      <c r="C62" s="493"/>
      <c r="D62" s="493"/>
      <c r="E62" s="493"/>
      <c r="F62" s="493"/>
    </row>
    <row r="63" spans="1:6" s="2" customFormat="1" ht="12.75">
      <c r="A63" s="19" t="s">
        <v>1571</v>
      </c>
      <c r="B63" s="311"/>
      <c r="C63" s="493"/>
      <c r="D63" s="493"/>
      <c r="E63" s="493"/>
      <c r="F63" s="493"/>
    </row>
    <row r="64" spans="1:6" s="2" customFormat="1" ht="12.75">
      <c r="A64" s="19" t="s">
        <v>1572</v>
      </c>
      <c r="B64" s="311"/>
      <c r="C64" s="493"/>
      <c r="D64" s="493"/>
      <c r="E64" s="493"/>
      <c r="F64" s="493"/>
    </row>
    <row r="65" spans="1:6" s="2" customFormat="1" ht="12.75">
      <c r="A65" s="19" t="s">
        <v>1565</v>
      </c>
      <c r="B65" s="311"/>
      <c r="C65" s="493"/>
      <c r="D65" s="493"/>
      <c r="E65" s="493"/>
      <c r="F65" s="493"/>
    </row>
    <row r="66" spans="1:6" s="2" customFormat="1" ht="12.75">
      <c r="B66" s="311"/>
      <c r="C66" s="493"/>
      <c r="D66" s="493"/>
      <c r="E66" s="493"/>
      <c r="F66" s="493"/>
    </row>
    <row r="67" spans="1:6" s="2" customFormat="1" ht="12.75">
      <c r="A67" s="2" t="s">
        <v>447</v>
      </c>
      <c r="B67" s="311"/>
      <c r="C67" s="493"/>
      <c r="D67" s="493"/>
      <c r="E67" s="493"/>
      <c r="F67" s="493"/>
    </row>
    <row r="68" spans="1:6" s="2" customFormat="1" ht="12.75">
      <c r="A68" s="2" t="s">
        <v>781</v>
      </c>
      <c r="B68" s="311"/>
      <c r="C68" s="493"/>
      <c r="D68" s="493"/>
      <c r="E68" s="493"/>
      <c r="F68" s="493"/>
    </row>
    <row r="69" spans="1:6" s="2" customFormat="1" ht="12.75">
      <c r="A69" s="2" t="s">
        <v>428</v>
      </c>
      <c r="B69" s="311"/>
      <c r="C69" s="493"/>
      <c r="D69" s="493"/>
      <c r="E69" s="493"/>
      <c r="F69" s="493"/>
    </row>
    <row r="70" spans="1:6" s="2" customFormat="1" ht="12.75">
      <c r="A70" s="168" t="s">
        <v>785</v>
      </c>
    </row>
    <row r="71" spans="1:6" s="2" customFormat="1" ht="12.75">
      <c r="A71" s="494" t="s">
        <v>714</v>
      </c>
    </row>
    <row r="72" spans="1:6" s="2" customFormat="1" ht="12.75">
      <c r="A72" s="494" t="s">
        <v>768</v>
      </c>
    </row>
    <row r="73" spans="1:6" s="2" customFormat="1" ht="12.75">
      <c r="A73" s="168" t="s">
        <v>769</v>
      </c>
    </row>
    <row r="74" spans="1:6" s="2" customFormat="1" ht="12.75">
      <c r="A74" s="168"/>
    </row>
    <row r="75" spans="1:6" s="2" customFormat="1" ht="12.75">
      <c r="A75" s="168"/>
      <c r="B75" s="495" t="s">
        <v>415</v>
      </c>
      <c r="C75" s="2" t="s">
        <v>429</v>
      </c>
    </row>
    <row r="76" spans="1:6" s="2" customFormat="1" ht="12.75">
      <c r="A76" s="168"/>
      <c r="B76" s="495" t="s">
        <v>416</v>
      </c>
      <c r="C76" s="2" t="s">
        <v>430</v>
      </c>
    </row>
    <row r="77" spans="1:6" s="2" customFormat="1" ht="12.75">
      <c r="A77" s="168"/>
      <c r="B77" s="495" t="s">
        <v>413</v>
      </c>
      <c r="C77" s="2" t="s">
        <v>782</v>
      </c>
    </row>
    <row r="78" spans="1:6" s="2" customFormat="1" ht="12.75">
      <c r="A78" s="168"/>
      <c r="B78" s="495" t="s">
        <v>414</v>
      </c>
      <c r="C78" s="2" t="s">
        <v>431</v>
      </c>
    </row>
    <row r="79" spans="1:6" s="2" customFormat="1" ht="12.75">
      <c r="A79" s="168"/>
    </row>
    <row r="80" spans="1:6" s="2" customFormat="1" ht="12.75">
      <c r="A80" s="393"/>
      <c r="C80" s="54" t="s">
        <v>422</v>
      </c>
      <c r="D80" s="54" t="s">
        <v>421</v>
      </c>
      <c r="E80" s="54" t="s">
        <v>420</v>
      </c>
      <c r="F80" s="54"/>
    </row>
    <row r="81" spans="1:6" s="2" customFormat="1" ht="12.75">
      <c r="A81" s="1069" t="s">
        <v>418</v>
      </c>
      <c r="B81" s="495" t="s">
        <v>415</v>
      </c>
      <c r="C81" s="493">
        <f>50+X!CE2</f>
        <v>51</v>
      </c>
      <c r="D81" s="493">
        <f>20+X!CE3</f>
        <v>23</v>
      </c>
      <c r="E81" s="493">
        <f>20+X!CE4</f>
        <v>22</v>
      </c>
      <c r="F81" s="493"/>
    </row>
    <row r="82" spans="1:6" s="2" customFormat="1" ht="12.75">
      <c r="A82" s="1069"/>
      <c r="B82" s="495" t="s">
        <v>416</v>
      </c>
      <c r="C82" s="493">
        <f>5+X!CE4</f>
        <v>7</v>
      </c>
      <c r="D82" s="493">
        <f>15+X!CE3</f>
        <v>18</v>
      </c>
      <c r="E82" s="493">
        <f>30+X!CE2</f>
        <v>31</v>
      </c>
      <c r="F82" s="493"/>
    </row>
    <row r="83" spans="1:6" s="2" customFormat="1" ht="12.75">
      <c r="A83" s="1069"/>
      <c r="B83" s="495" t="s">
        <v>413</v>
      </c>
      <c r="C83" s="493">
        <f>10+X!CE3</f>
        <v>13</v>
      </c>
      <c r="D83" s="493">
        <f>5+X!CE4</f>
        <v>7</v>
      </c>
      <c r="E83" s="493">
        <f>5+X!CE2</f>
        <v>6</v>
      </c>
      <c r="F83" s="493"/>
    </row>
    <row r="84" spans="1:6" s="2" customFormat="1" ht="12.75">
      <c r="A84" s="1069"/>
      <c r="B84" s="495" t="s">
        <v>414</v>
      </c>
      <c r="C84" s="493">
        <f>5+X!CE2</f>
        <v>6</v>
      </c>
      <c r="D84" s="493">
        <f>10+X!CE3</f>
        <v>13</v>
      </c>
      <c r="E84" s="493">
        <f>10+X!CE4</f>
        <v>12</v>
      </c>
      <c r="F84" s="493"/>
    </row>
    <row r="85" spans="1:6" s="2" customFormat="1" ht="12.75">
      <c r="A85" s="18"/>
      <c r="B85" s="496"/>
      <c r="C85" s="493"/>
      <c r="D85" s="493"/>
      <c r="E85" s="493"/>
      <c r="F85" s="493"/>
    </row>
    <row r="86" spans="1:6" s="2" customFormat="1" ht="12.75">
      <c r="A86" s="497" t="s">
        <v>449</v>
      </c>
      <c r="B86" s="496"/>
      <c r="C86" s="493"/>
      <c r="D86" s="493"/>
      <c r="E86" s="493"/>
      <c r="F86" s="493"/>
    </row>
    <row r="87" spans="1:6" s="2" customFormat="1" ht="12.75">
      <c r="A87" s="497" t="s">
        <v>786</v>
      </c>
      <c r="B87" s="496"/>
      <c r="C87" s="493"/>
      <c r="D87" s="493"/>
      <c r="E87" s="493"/>
      <c r="F87" s="493"/>
    </row>
    <row r="88" spans="1:6" s="2" customFormat="1" ht="12.75">
      <c r="A88" s="497" t="s">
        <v>707</v>
      </c>
      <c r="B88" s="496"/>
      <c r="C88" s="493"/>
      <c r="D88" s="493"/>
      <c r="E88" s="493"/>
      <c r="F88" s="493"/>
    </row>
    <row r="89" spans="1:6" s="2" customFormat="1" ht="12.75">
      <c r="A89" s="497" t="s">
        <v>651</v>
      </c>
      <c r="B89" s="496"/>
      <c r="C89" s="493"/>
      <c r="D89" s="493"/>
      <c r="E89" s="493"/>
      <c r="F89" s="493"/>
    </row>
    <row r="90" spans="1:6" s="2" customFormat="1" ht="12.75">
      <c r="A90" s="497"/>
      <c r="B90" s="496"/>
      <c r="C90" s="493"/>
      <c r="D90" s="493"/>
      <c r="E90" s="493"/>
      <c r="F90" s="493"/>
    </row>
    <row r="91" spans="1:6" s="2" customFormat="1" ht="12.75">
      <c r="A91" s="497" t="s">
        <v>715</v>
      </c>
      <c r="B91" s="496"/>
      <c r="C91" s="493"/>
      <c r="D91" s="493"/>
      <c r="E91" s="493"/>
      <c r="F91" s="493"/>
    </row>
    <row r="92" spans="1:6" s="2" customFormat="1" ht="12.75">
      <c r="A92" s="497" t="s">
        <v>934</v>
      </c>
      <c r="B92" s="496"/>
      <c r="C92" s="493"/>
      <c r="D92" s="493"/>
      <c r="E92" s="493"/>
      <c r="F92" s="493"/>
    </row>
    <row r="93" spans="1:6" s="2" customFormat="1" ht="12.75">
      <c r="A93" s="497" t="s">
        <v>787</v>
      </c>
      <c r="B93" s="496"/>
      <c r="C93" s="493"/>
      <c r="D93" s="493"/>
      <c r="E93" s="493"/>
      <c r="F93" s="493"/>
    </row>
    <row r="94" spans="1:6" s="2" customFormat="1" ht="12.75">
      <c r="A94" s="498" t="s">
        <v>770</v>
      </c>
      <c r="B94" s="496"/>
      <c r="C94" s="493"/>
      <c r="D94" s="493"/>
      <c r="E94" s="493"/>
      <c r="F94" s="493"/>
    </row>
    <row r="95" spans="1:6" s="2" customFormat="1" ht="12.75">
      <c r="A95" s="498" t="s">
        <v>716</v>
      </c>
      <c r="B95" s="496"/>
      <c r="C95" s="493"/>
      <c r="D95" s="493"/>
      <c r="E95" s="493"/>
      <c r="F95" s="493"/>
    </row>
    <row r="96" spans="1:6" s="2" customFormat="1" ht="12.75">
      <c r="A96" s="498" t="s">
        <v>717</v>
      </c>
      <c r="B96" s="496"/>
      <c r="C96" s="493"/>
      <c r="D96" s="493"/>
      <c r="E96" s="493"/>
      <c r="F96" s="493"/>
    </row>
    <row r="97" spans="1:6" s="2" customFormat="1" ht="12.75">
      <c r="A97" s="497" t="s">
        <v>647</v>
      </c>
      <c r="B97" s="496"/>
      <c r="C97" s="493"/>
      <c r="D97" s="493"/>
      <c r="E97" s="493"/>
      <c r="F97" s="493"/>
    </row>
    <row r="98" spans="1:6" s="2" customFormat="1" ht="12.75">
      <c r="A98" s="497" t="s">
        <v>450</v>
      </c>
      <c r="B98" s="496"/>
      <c r="C98" s="493"/>
      <c r="D98" s="493"/>
      <c r="E98" s="493"/>
      <c r="F98" s="493"/>
    </row>
    <row r="99" spans="1:6" s="2" customFormat="1" ht="12.75">
      <c r="A99" s="168" t="s">
        <v>1114</v>
      </c>
      <c r="B99" s="496"/>
      <c r="C99" s="493"/>
      <c r="D99" s="493"/>
      <c r="E99" s="493"/>
      <c r="F99" s="493"/>
    </row>
    <row r="100" spans="1:6" s="2" customFormat="1" ht="12.75">
      <c r="B100" s="496"/>
      <c r="C100" s="493"/>
      <c r="D100" s="493"/>
      <c r="E100" s="493"/>
      <c r="F100" s="493"/>
    </row>
    <row r="101" spans="1:6" s="2" customFormat="1" ht="15.95" customHeight="1">
      <c r="A101" s="1069" t="s">
        <v>941</v>
      </c>
      <c r="B101" s="496"/>
      <c r="C101" s="54" t="s">
        <v>422</v>
      </c>
      <c r="D101" s="54" t="s">
        <v>421</v>
      </c>
      <c r="E101" s="54" t="s">
        <v>420</v>
      </c>
      <c r="F101" s="54" t="s">
        <v>246</v>
      </c>
    </row>
    <row r="102" spans="1:6" s="2" customFormat="1" ht="12.75">
      <c r="A102" s="1069"/>
      <c r="B102" s="496" t="s">
        <v>648</v>
      </c>
      <c r="C102" s="493">
        <v>100</v>
      </c>
      <c r="D102" s="493">
        <v>125</v>
      </c>
      <c r="E102" s="493">
        <v>150</v>
      </c>
      <c r="F102" s="493">
        <f>SUM(C102:E102)</f>
        <v>375</v>
      </c>
    </row>
    <row r="103" spans="1:6" s="2" customFormat="1" ht="13.5" thickBot="1">
      <c r="A103" s="18"/>
      <c r="B103" s="496"/>
      <c r="C103" s="493"/>
      <c r="D103" s="493"/>
      <c r="E103" s="493"/>
      <c r="F103" s="493"/>
    </row>
    <row r="104" spans="1:6" s="2" customFormat="1" ht="15" customHeight="1" thickBot="1">
      <c r="A104" s="1069" t="s">
        <v>650</v>
      </c>
      <c r="B104" s="495" t="s">
        <v>415</v>
      </c>
      <c r="C104" s="30">
        <f>C81*C$102</f>
        <v>5100</v>
      </c>
      <c r="D104" s="30">
        <f t="shared" ref="D104:E104" si="0">D81*D$102</f>
        <v>2875</v>
      </c>
      <c r="E104" s="30">
        <f t="shared" si="0"/>
        <v>3300</v>
      </c>
      <c r="F104" s="499">
        <f>SUM(C104:E104)</f>
        <v>11275</v>
      </c>
    </row>
    <row r="105" spans="1:6" s="2" customFormat="1" ht="13.5" thickBot="1">
      <c r="A105" s="1069"/>
      <c r="B105" s="495" t="s">
        <v>416</v>
      </c>
      <c r="C105" s="30">
        <f>C82*C$102</f>
        <v>700</v>
      </c>
      <c r="D105" s="30">
        <f t="shared" ref="D105:E105" si="1">D82*D$102</f>
        <v>2250</v>
      </c>
      <c r="E105" s="30">
        <f t="shared" si="1"/>
        <v>4650</v>
      </c>
      <c r="F105" s="499">
        <f>SUM(C105:E105)</f>
        <v>7600</v>
      </c>
    </row>
    <row r="106" spans="1:6" s="2" customFormat="1" ht="13.5" thickBot="1">
      <c r="A106" s="1069"/>
      <c r="B106" s="495" t="s">
        <v>413</v>
      </c>
      <c r="C106" s="30">
        <f t="shared" ref="C106:E107" si="2">C83*C$102</f>
        <v>1300</v>
      </c>
      <c r="D106" s="30">
        <f t="shared" si="2"/>
        <v>875</v>
      </c>
      <c r="E106" s="30">
        <f t="shared" si="2"/>
        <v>900</v>
      </c>
      <c r="F106" s="499">
        <f>SUM(C106:E106)</f>
        <v>3075</v>
      </c>
    </row>
    <row r="107" spans="1:6" s="2" customFormat="1" ht="13.5" thickBot="1">
      <c r="A107" s="1069"/>
      <c r="B107" s="495" t="s">
        <v>414</v>
      </c>
      <c r="C107" s="30">
        <f t="shared" si="2"/>
        <v>600</v>
      </c>
      <c r="D107" s="30">
        <f t="shared" si="2"/>
        <v>1625</v>
      </c>
      <c r="E107" s="30">
        <f t="shared" si="2"/>
        <v>1800</v>
      </c>
      <c r="F107" s="499">
        <f>SUM(C107:E107)</f>
        <v>4025</v>
      </c>
    </row>
    <row r="108" spans="1:6" s="2" customFormat="1" ht="12.75">
      <c r="A108" s="1069"/>
      <c r="B108" s="496" t="s">
        <v>246</v>
      </c>
      <c r="C108" s="499">
        <f>SUM(C104:C107)</f>
        <v>7700</v>
      </c>
      <c r="D108" s="499">
        <f>SUM(D104:D107)</f>
        <v>7625</v>
      </c>
      <c r="E108" s="499">
        <f>SUM(E104:E107)</f>
        <v>10650</v>
      </c>
      <c r="F108" s="499">
        <f>SUM(F104:F107)</f>
        <v>25975</v>
      </c>
    </row>
    <row r="109" spans="1:6" s="2" customFormat="1" ht="12.75">
      <c r="A109" s="18"/>
      <c r="B109" s="496"/>
      <c r="C109" s="493"/>
      <c r="D109" s="493"/>
      <c r="E109" s="493"/>
      <c r="F109" s="493"/>
    </row>
    <row r="110" spans="1:6" s="2" customFormat="1" ht="13.5" thickBot="1">
      <c r="A110" s="2" t="s">
        <v>788</v>
      </c>
      <c r="B110" s="496"/>
      <c r="C110" s="493"/>
      <c r="D110" s="493"/>
      <c r="E110" s="493"/>
      <c r="F110" s="493"/>
    </row>
    <row r="111" spans="1:6" s="2" customFormat="1" ht="13.5" thickBot="1">
      <c r="A111" s="18"/>
      <c r="B111" s="10" t="s">
        <v>420</v>
      </c>
      <c r="C111" s="493"/>
      <c r="D111" s="493"/>
      <c r="E111" s="493"/>
      <c r="F111" s="493"/>
    </row>
    <row r="112" spans="1:6" s="2" customFormat="1" ht="12.75">
      <c r="A112" s="18"/>
      <c r="B112" s="496"/>
      <c r="C112" s="493"/>
      <c r="D112" s="493"/>
      <c r="E112" s="493"/>
      <c r="F112" s="493"/>
    </row>
    <row r="113" spans="1:6" s="2" customFormat="1" ht="12.75">
      <c r="A113" s="497" t="s">
        <v>771</v>
      </c>
      <c r="B113" s="496"/>
      <c r="C113" s="493"/>
      <c r="D113" s="493"/>
      <c r="E113" s="493"/>
      <c r="F113" s="493"/>
    </row>
    <row r="114" spans="1:6" s="2" customFormat="1" ht="12.75">
      <c r="A114" s="18"/>
      <c r="B114" s="496"/>
      <c r="C114" s="493"/>
      <c r="D114" s="493"/>
      <c r="E114" s="493"/>
      <c r="F114" s="493"/>
    </row>
    <row r="115" spans="1:6" s="2" customFormat="1" ht="15.95" customHeight="1">
      <c r="A115" s="1069" t="s">
        <v>940</v>
      </c>
      <c r="B115" s="496"/>
      <c r="C115" s="54" t="s">
        <v>422</v>
      </c>
      <c r="D115" s="54" t="s">
        <v>421</v>
      </c>
      <c r="E115" s="54" t="s">
        <v>420</v>
      </c>
      <c r="F115" s="54" t="s">
        <v>246</v>
      </c>
    </row>
    <row r="116" spans="1:6" s="2" customFormat="1" ht="12.75">
      <c r="A116" s="1069"/>
      <c r="B116" s="496" t="s">
        <v>648</v>
      </c>
      <c r="C116" s="493">
        <v>170</v>
      </c>
      <c r="D116" s="493">
        <v>100</v>
      </c>
      <c r="E116" s="493">
        <v>120</v>
      </c>
      <c r="F116" s="493">
        <f>SUM(C116:E116)</f>
        <v>390</v>
      </c>
    </row>
    <row r="117" spans="1:6" s="2" customFormat="1" ht="12.75">
      <c r="A117" s="500"/>
      <c r="B117" s="496"/>
      <c r="C117" s="493"/>
      <c r="D117" s="493"/>
      <c r="E117" s="493"/>
      <c r="F117" s="493"/>
    </row>
    <row r="118" spans="1:6" s="2" customFormat="1" ht="12.75">
      <c r="A118" s="497" t="s">
        <v>789</v>
      </c>
      <c r="B118" s="496"/>
      <c r="C118" s="493"/>
      <c r="D118" s="493"/>
      <c r="E118" s="493"/>
      <c r="F118" s="493"/>
    </row>
    <row r="119" spans="1:6" s="2" customFormat="1" ht="12.75">
      <c r="A119" s="497" t="s">
        <v>790</v>
      </c>
      <c r="B119" s="496"/>
      <c r="C119" s="493"/>
      <c r="D119" s="493"/>
      <c r="E119" s="493"/>
      <c r="F119" s="493"/>
    </row>
    <row r="120" spans="1:6" s="2" customFormat="1" ht="12.75">
      <c r="A120" s="497" t="s">
        <v>791</v>
      </c>
      <c r="B120" s="496"/>
      <c r="C120" s="493"/>
      <c r="D120" s="493"/>
      <c r="E120" s="493"/>
      <c r="F120" s="493"/>
    </row>
    <row r="121" spans="1:6" s="2" customFormat="1" ht="12.75">
      <c r="A121" s="500"/>
      <c r="B121" s="496"/>
      <c r="C121" s="493"/>
      <c r="D121" s="493"/>
      <c r="E121" s="493"/>
      <c r="F121" s="493"/>
    </row>
    <row r="122" spans="1:6" s="2" customFormat="1" ht="13.5" thickBot="1">
      <c r="B122" s="496"/>
      <c r="C122" s="54" t="s">
        <v>422</v>
      </c>
      <c r="D122" s="54" t="s">
        <v>421</v>
      </c>
      <c r="E122" s="54" t="s">
        <v>420</v>
      </c>
      <c r="F122" s="54" t="s">
        <v>246</v>
      </c>
    </row>
    <row r="123" spans="1:6" s="2" customFormat="1" ht="15" customHeight="1" thickBot="1">
      <c r="A123" s="1069" t="s">
        <v>649</v>
      </c>
      <c r="B123" s="495" t="s">
        <v>415</v>
      </c>
      <c r="C123" s="30">
        <f>C$116*C81</f>
        <v>8670</v>
      </c>
      <c r="D123" s="30">
        <f t="shared" ref="D123:E123" si="3">D$116*D81</f>
        <v>2300</v>
      </c>
      <c r="E123" s="30">
        <f t="shared" si="3"/>
        <v>2640</v>
      </c>
      <c r="F123" s="499">
        <f>SUM(C123:E123)</f>
        <v>13610</v>
      </c>
    </row>
    <row r="124" spans="1:6" s="2" customFormat="1" ht="13.5" thickBot="1">
      <c r="A124" s="1069"/>
      <c r="B124" s="495" t="s">
        <v>416</v>
      </c>
      <c r="C124" s="30">
        <f t="shared" ref="C124:E126" si="4">C$116*C82</f>
        <v>1190</v>
      </c>
      <c r="D124" s="30">
        <f t="shared" si="4"/>
        <v>1800</v>
      </c>
      <c r="E124" s="30">
        <f t="shared" si="4"/>
        <v>3720</v>
      </c>
      <c r="F124" s="499">
        <f>SUM(C124:E124)</f>
        <v>6710</v>
      </c>
    </row>
    <row r="125" spans="1:6" s="2" customFormat="1" ht="13.5" thickBot="1">
      <c r="A125" s="1069"/>
      <c r="B125" s="495" t="s">
        <v>413</v>
      </c>
      <c r="C125" s="30">
        <f t="shared" si="4"/>
        <v>2210</v>
      </c>
      <c r="D125" s="30">
        <f t="shared" si="4"/>
        <v>700</v>
      </c>
      <c r="E125" s="30">
        <f t="shared" si="4"/>
        <v>720</v>
      </c>
      <c r="F125" s="499">
        <f>SUM(C125:E125)</f>
        <v>3630</v>
      </c>
    </row>
    <row r="126" spans="1:6" s="2" customFormat="1" ht="13.5" thickBot="1">
      <c r="A126" s="1069"/>
      <c r="B126" s="495" t="s">
        <v>414</v>
      </c>
      <c r="C126" s="30">
        <f t="shared" si="4"/>
        <v>1020</v>
      </c>
      <c r="D126" s="30">
        <f t="shared" si="4"/>
        <v>1300</v>
      </c>
      <c r="E126" s="30">
        <f t="shared" si="4"/>
        <v>1440</v>
      </c>
      <c r="F126" s="499">
        <f>SUM(C126:E126)</f>
        <v>3760</v>
      </c>
    </row>
    <row r="127" spans="1:6" s="2" customFormat="1" ht="12.75">
      <c r="A127" s="1069"/>
      <c r="B127" s="496" t="s">
        <v>246</v>
      </c>
      <c r="C127" s="499">
        <f>SUM(C123:C126)</f>
        <v>13090</v>
      </c>
      <c r="D127" s="499">
        <f>SUM(D123:D126)</f>
        <v>6100</v>
      </c>
      <c r="E127" s="499">
        <f>SUM(E123:E126)</f>
        <v>8520</v>
      </c>
      <c r="F127" s="499">
        <f>SUM(F123:F126)</f>
        <v>27710</v>
      </c>
    </row>
    <row r="128" spans="1:6" s="2" customFormat="1" ht="12.75">
      <c r="A128" s="18"/>
      <c r="B128" s="496"/>
      <c r="C128" s="493"/>
      <c r="D128" s="493"/>
      <c r="E128" s="493"/>
      <c r="F128" s="493"/>
    </row>
    <row r="129" spans="1:6" s="2" customFormat="1" ht="13.5" thickBot="1">
      <c r="A129" s="2" t="s">
        <v>792</v>
      </c>
      <c r="B129" s="496"/>
      <c r="C129" s="493"/>
      <c r="D129" s="493"/>
      <c r="E129" s="493"/>
      <c r="F129" s="493"/>
    </row>
    <row r="130" spans="1:6" s="2" customFormat="1" ht="13.5" thickBot="1">
      <c r="A130" s="18"/>
      <c r="B130" s="10" t="s">
        <v>422</v>
      </c>
      <c r="C130" s="493"/>
      <c r="D130" s="493"/>
      <c r="E130" s="501"/>
      <c r="F130" s="493"/>
    </row>
    <row r="131" spans="1:6" s="2" customFormat="1" ht="12.75">
      <c r="A131" s="18"/>
      <c r="B131" s="496"/>
      <c r="C131" s="493"/>
      <c r="D131" s="493"/>
      <c r="E131" s="493"/>
      <c r="F131" s="493"/>
    </row>
    <row r="132" spans="1:6" s="2" customFormat="1" ht="12.75">
      <c r="A132" s="2" t="s">
        <v>713</v>
      </c>
      <c r="B132" s="496"/>
      <c r="C132" s="493"/>
      <c r="D132" s="493"/>
      <c r="E132" s="493"/>
      <c r="F132" s="493"/>
    </row>
    <row r="133" spans="1:6" s="2" customFormat="1" ht="12.75">
      <c r="A133" s="2" t="s">
        <v>708</v>
      </c>
      <c r="B133" s="496"/>
      <c r="C133" s="493"/>
      <c r="D133" s="493"/>
      <c r="E133" s="493"/>
      <c r="F133" s="493"/>
    </row>
    <row r="134" spans="1:6" s="2" customFormat="1" ht="12.75">
      <c r="A134" s="2" t="s">
        <v>1573</v>
      </c>
      <c r="B134" s="496"/>
      <c r="C134" s="493"/>
      <c r="D134" s="493"/>
      <c r="E134" s="493"/>
      <c r="F134" s="493"/>
    </row>
    <row r="135" spans="1:6" s="2" customFormat="1" ht="12.75">
      <c r="A135" s="497" t="s">
        <v>783</v>
      </c>
      <c r="B135" s="496"/>
      <c r="C135" s="493"/>
      <c r="D135" s="493"/>
      <c r="E135" s="493"/>
      <c r="F135" s="493"/>
    </row>
    <row r="136" spans="1:6" s="2" customFormat="1" ht="12.75">
      <c r="A136" s="18"/>
      <c r="B136" s="496"/>
      <c r="C136" s="493"/>
      <c r="D136" s="493"/>
      <c r="E136" s="493"/>
      <c r="F136" s="493"/>
    </row>
    <row r="137" spans="1:6" s="2" customFormat="1" ht="13.5" thickBot="1">
      <c r="A137" s="18"/>
      <c r="B137" s="496"/>
      <c r="C137" s="54" t="s">
        <v>422</v>
      </c>
      <c r="D137" s="54" t="s">
        <v>421</v>
      </c>
      <c r="E137" s="54" t="s">
        <v>420</v>
      </c>
      <c r="F137" s="54" t="s">
        <v>246</v>
      </c>
    </row>
    <row r="138" spans="1:6" s="2" customFormat="1" ht="13.5" thickBot="1">
      <c r="A138" s="1069" t="s">
        <v>652</v>
      </c>
      <c r="B138" s="495" t="s">
        <v>415</v>
      </c>
      <c r="C138" s="31">
        <f>C123-C104</f>
        <v>3570</v>
      </c>
      <c r="D138" s="31">
        <f t="shared" ref="D138:E138" si="5">D123-D104</f>
        <v>-575</v>
      </c>
      <c r="E138" s="31">
        <f t="shared" si="5"/>
        <v>-660</v>
      </c>
      <c r="F138" s="499">
        <f>SUM(C138:E138)</f>
        <v>2335</v>
      </c>
    </row>
    <row r="139" spans="1:6" s="2" customFormat="1" ht="13.5" thickBot="1">
      <c r="A139" s="1069"/>
      <c r="B139" s="495" t="s">
        <v>416</v>
      </c>
      <c r="C139" s="31">
        <f t="shared" ref="C139:E141" si="6">C124-C105</f>
        <v>490</v>
      </c>
      <c r="D139" s="31">
        <f t="shared" si="6"/>
        <v>-450</v>
      </c>
      <c r="E139" s="31">
        <f t="shared" si="6"/>
        <v>-930</v>
      </c>
      <c r="F139" s="499">
        <f>SUM(C139:E139)</f>
        <v>-890</v>
      </c>
    </row>
    <row r="140" spans="1:6" s="2" customFormat="1" ht="13.5" thickBot="1">
      <c r="A140" s="1069"/>
      <c r="B140" s="495" t="s">
        <v>413</v>
      </c>
      <c r="C140" s="31">
        <f t="shared" si="6"/>
        <v>910</v>
      </c>
      <c r="D140" s="31">
        <f t="shared" si="6"/>
        <v>-175</v>
      </c>
      <c r="E140" s="31">
        <f t="shared" si="6"/>
        <v>-180</v>
      </c>
      <c r="F140" s="499">
        <f>SUM(C140:E140)</f>
        <v>555</v>
      </c>
    </row>
    <row r="141" spans="1:6" s="2" customFormat="1" ht="13.5" thickBot="1">
      <c r="A141" s="1069"/>
      <c r="B141" s="495" t="s">
        <v>414</v>
      </c>
      <c r="C141" s="31">
        <f t="shared" si="6"/>
        <v>420</v>
      </c>
      <c r="D141" s="31">
        <f t="shared" si="6"/>
        <v>-325</v>
      </c>
      <c r="E141" s="31">
        <f t="shared" si="6"/>
        <v>-360</v>
      </c>
      <c r="F141" s="499">
        <f>SUM(C141:E141)</f>
        <v>-265</v>
      </c>
    </row>
    <row r="142" spans="1:6" s="2" customFormat="1" ht="12.75">
      <c r="A142" s="1069"/>
      <c r="B142" s="496" t="s">
        <v>246</v>
      </c>
      <c r="C142" s="499">
        <f>SUM(C138:C141)</f>
        <v>5390</v>
      </c>
      <c r="D142" s="499">
        <f>SUM(D138:D141)</f>
        <v>-1525</v>
      </c>
      <c r="E142" s="499">
        <f>SUM(E138:E141)</f>
        <v>-2130</v>
      </c>
      <c r="F142" s="499">
        <f>SUM(F138:F141)</f>
        <v>1735</v>
      </c>
    </row>
    <row r="143" spans="1:6" s="2" customFormat="1" ht="12.75">
      <c r="B143" s="496"/>
      <c r="C143" s="493"/>
      <c r="D143" s="493"/>
      <c r="E143" s="493"/>
      <c r="F143" s="493"/>
    </row>
    <row r="144" spans="1:6" s="2" customFormat="1" ht="13.5" thickBot="1">
      <c r="A144" s="2" t="s">
        <v>1293</v>
      </c>
      <c r="B144" s="496"/>
      <c r="C144" s="493"/>
      <c r="D144" s="493"/>
      <c r="E144" s="493"/>
      <c r="F144" s="493"/>
    </row>
    <row r="145" spans="1:6" s="2" customFormat="1" ht="13.5" thickBot="1">
      <c r="B145" s="10" t="s">
        <v>415</v>
      </c>
      <c r="C145" s="493"/>
      <c r="D145" s="493"/>
      <c r="E145" s="493"/>
      <c r="F145" s="493"/>
    </row>
    <row r="146" spans="1:6" s="2" customFormat="1" ht="12.75">
      <c r="B146" s="496"/>
      <c r="C146" s="493"/>
      <c r="D146" s="493"/>
      <c r="E146" s="493"/>
      <c r="F146" s="493"/>
    </row>
    <row r="147" spans="1:6" s="2" customFormat="1" ht="12.75">
      <c r="A147" s="2" t="s">
        <v>457</v>
      </c>
      <c r="B147" s="496"/>
      <c r="C147" s="493"/>
      <c r="D147" s="493"/>
      <c r="E147" s="493"/>
      <c r="F147" s="493"/>
    </row>
    <row r="148" spans="1:6" s="2" customFormat="1" ht="12.75">
      <c r="A148" s="2" t="s">
        <v>653</v>
      </c>
      <c r="B148" s="496"/>
      <c r="C148" s="493"/>
      <c r="D148" s="493"/>
      <c r="E148" s="493"/>
      <c r="F148" s="493"/>
    </row>
    <row r="149" spans="1:6" s="2" customFormat="1" ht="12.75">
      <c r="A149" s="2" t="s">
        <v>654</v>
      </c>
      <c r="B149" s="496"/>
      <c r="C149" s="493"/>
      <c r="D149" s="493"/>
      <c r="E149" s="493"/>
      <c r="F149" s="493"/>
    </row>
    <row r="150" spans="1:6" s="2" customFormat="1" ht="12.75">
      <c r="A150" s="2" t="s">
        <v>793</v>
      </c>
      <c r="B150" s="496"/>
      <c r="C150" s="493"/>
      <c r="D150" s="493"/>
      <c r="E150" s="493"/>
      <c r="F150" s="493"/>
    </row>
    <row r="151" spans="1:6" s="2" customFormat="1" ht="12.75">
      <c r="A151" s="2" t="s">
        <v>451</v>
      </c>
      <c r="B151" s="496"/>
      <c r="C151" s="493"/>
      <c r="D151" s="493"/>
      <c r="E151" s="493"/>
      <c r="F151" s="493"/>
    </row>
    <row r="152" spans="1:6" s="2" customFormat="1" ht="12.75">
      <c r="B152" s="496"/>
      <c r="C152" s="493"/>
      <c r="D152" s="493"/>
      <c r="E152" s="493"/>
      <c r="F152" s="493"/>
    </row>
    <row r="153" spans="1:6" s="2" customFormat="1" ht="12.75">
      <c r="A153" s="18"/>
      <c r="B153" s="496"/>
      <c r="C153" s="54" t="s">
        <v>422</v>
      </c>
      <c r="D153" s="54" t="s">
        <v>421</v>
      </c>
      <c r="E153" s="54" t="s">
        <v>420</v>
      </c>
      <c r="F153" s="54" t="s">
        <v>246</v>
      </c>
    </row>
    <row r="154" spans="1:6" s="2" customFormat="1" ht="12.75">
      <c r="A154" s="1069" t="s">
        <v>419</v>
      </c>
      <c r="B154" s="495" t="s">
        <v>415</v>
      </c>
      <c r="C154" s="493"/>
      <c r="D154" s="493"/>
      <c r="E154" s="493"/>
      <c r="F154" s="493">
        <v>15000</v>
      </c>
    </row>
    <row r="155" spans="1:6" s="2" customFormat="1" ht="12.75">
      <c r="A155" s="1069"/>
      <c r="B155" s="495" t="s">
        <v>416</v>
      </c>
      <c r="C155" s="493"/>
      <c r="D155" s="493"/>
      <c r="E155" s="493"/>
      <c r="F155" s="493">
        <v>5000</v>
      </c>
    </row>
    <row r="156" spans="1:6" s="2" customFormat="1" ht="12.75">
      <c r="A156" s="1069"/>
      <c r="B156" s="495" t="s">
        <v>413</v>
      </c>
      <c r="C156" s="493"/>
      <c r="D156" s="493"/>
      <c r="E156" s="493"/>
      <c r="F156" s="493">
        <v>3000</v>
      </c>
    </row>
    <row r="157" spans="1:6" s="2" customFormat="1" ht="12.75">
      <c r="A157" s="1069"/>
      <c r="B157" s="495" t="s">
        <v>414</v>
      </c>
      <c r="C157" s="493"/>
      <c r="D157" s="493"/>
      <c r="E157" s="493"/>
      <c r="F157" s="493">
        <v>5500</v>
      </c>
    </row>
    <row r="158" spans="1:6" s="2" customFormat="1" ht="12.75">
      <c r="A158" s="1069"/>
      <c r="B158" s="496" t="s">
        <v>246</v>
      </c>
      <c r="C158" s="493"/>
      <c r="D158" s="493"/>
      <c r="E158" s="493"/>
      <c r="F158" s="493">
        <f>SUM(F154:F157)</f>
        <v>28500</v>
      </c>
    </row>
    <row r="159" spans="1:6" s="2" customFormat="1" ht="12.75">
      <c r="A159" s="18"/>
      <c r="B159" s="496"/>
      <c r="C159" s="493"/>
      <c r="D159" s="493"/>
      <c r="E159" s="493"/>
      <c r="F159" s="493"/>
    </row>
    <row r="160" spans="1:6" s="2" customFormat="1" ht="12.75">
      <c r="A160" s="2" t="s">
        <v>655</v>
      </c>
      <c r="B160" s="496"/>
      <c r="C160" s="493"/>
      <c r="D160" s="493"/>
      <c r="E160" s="493"/>
      <c r="F160" s="493"/>
    </row>
    <row r="161" spans="1:6" s="2" customFormat="1" ht="12.75">
      <c r="A161" s="2" t="s">
        <v>1115</v>
      </c>
      <c r="B161" s="496"/>
      <c r="C161" s="493"/>
      <c r="D161" s="493"/>
      <c r="E161" s="493"/>
      <c r="F161" s="493"/>
    </row>
    <row r="162" spans="1:6" s="2" customFormat="1" ht="12.75">
      <c r="A162" s="2" t="s">
        <v>452</v>
      </c>
      <c r="B162" s="496"/>
      <c r="C162" s="493"/>
      <c r="D162" s="493"/>
      <c r="E162" s="493"/>
      <c r="F162" s="493"/>
    </row>
    <row r="163" spans="1:6" s="2" customFormat="1" ht="12.75">
      <c r="A163" s="2" t="s">
        <v>1574</v>
      </c>
      <c r="B163" s="496"/>
      <c r="C163" s="493"/>
      <c r="D163" s="493"/>
      <c r="E163" s="493"/>
      <c r="F163" s="493"/>
    </row>
    <row r="164" spans="1:6" s="2" customFormat="1" ht="12.75">
      <c r="A164" s="497" t="s">
        <v>783</v>
      </c>
      <c r="B164" s="496"/>
      <c r="C164" s="493"/>
      <c r="D164" s="493"/>
      <c r="E164" s="493"/>
      <c r="F164" s="493"/>
    </row>
    <row r="165" spans="1:6" s="2" customFormat="1" ht="12.75">
      <c r="B165" s="496"/>
      <c r="C165" s="493"/>
      <c r="D165" s="493"/>
      <c r="E165" s="493"/>
      <c r="F165" s="493"/>
    </row>
    <row r="166" spans="1:6" s="2" customFormat="1" ht="13.5" thickBot="1">
      <c r="B166" s="496"/>
      <c r="C166" s="54" t="s">
        <v>422</v>
      </c>
      <c r="D166" s="54" t="s">
        <v>421</v>
      </c>
      <c r="E166" s="54" t="s">
        <v>420</v>
      </c>
      <c r="F166" s="54" t="s">
        <v>246</v>
      </c>
    </row>
    <row r="167" spans="1:6" s="2" customFormat="1" ht="13.5" thickBot="1">
      <c r="A167" s="1069" t="s">
        <v>417</v>
      </c>
      <c r="B167" s="495" t="s">
        <v>415</v>
      </c>
      <c r="C167" s="493"/>
      <c r="D167" s="493"/>
      <c r="E167" s="493"/>
      <c r="F167" s="31">
        <f>F154-F123</f>
        <v>1390</v>
      </c>
    </row>
    <row r="168" spans="1:6" s="2" customFormat="1" ht="13.5" thickBot="1">
      <c r="A168" s="1069"/>
      <c r="B168" s="495" t="s">
        <v>416</v>
      </c>
      <c r="C168" s="493"/>
      <c r="D168" s="493"/>
      <c r="E168" s="493"/>
      <c r="F168" s="31">
        <f t="shared" ref="F168:F170" si="7">F155-F124</f>
        <v>-1710</v>
      </c>
    </row>
    <row r="169" spans="1:6" s="2" customFormat="1" ht="13.5" thickBot="1">
      <c r="A169" s="1069"/>
      <c r="B169" s="495" t="s">
        <v>413</v>
      </c>
      <c r="C169" s="493"/>
      <c r="D169" s="493"/>
      <c r="E169" s="493"/>
      <c r="F169" s="31">
        <f t="shared" si="7"/>
        <v>-630</v>
      </c>
    </row>
    <row r="170" spans="1:6" s="2" customFormat="1" ht="13.5" thickBot="1">
      <c r="A170" s="1069"/>
      <c r="B170" s="495" t="s">
        <v>414</v>
      </c>
      <c r="C170" s="493"/>
      <c r="D170" s="493"/>
      <c r="E170" s="493"/>
      <c r="F170" s="31">
        <f t="shared" si="7"/>
        <v>1740</v>
      </c>
    </row>
    <row r="171" spans="1:6" s="2" customFormat="1" ht="12.75">
      <c r="A171" s="1069"/>
      <c r="B171" s="496" t="s">
        <v>246</v>
      </c>
      <c r="C171" s="493"/>
      <c r="D171" s="493"/>
      <c r="E171" s="493"/>
      <c r="F171" s="499">
        <f>SUM(F167:F170)</f>
        <v>790</v>
      </c>
    </row>
    <row r="172" spans="1:6" s="2" customFormat="1" ht="12.75">
      <c r="B172" s="311"/>
      <c r="C172" s="493"/>
      <c r="D172" s="493"/>
      <c r="E172" s="493"/>
      <c r="F172" s="493"/>
    </row>
    <row r="173" spans="1:6" s="2" customFormat="1" ht="13.5" thickBot="1">
      <c r="A173" s="2" t="s">
        <v>1294</v>
      </c>
      <c r="B173" s="496"/>
      <c r="C173" s="493"/>
      <c r="D173" s="493"/>
      <c r="E173" s="493"/>
      <c r="F173" s="493"/>
    </row>
    <row r="174" spans="1:6" s="2" customFormat="1" ht="15" customHeight="1" thickBot="1">
      <c r="B174" s="10" t="s">
        <v>416</v>
      </c>
      <c r="C174" s="493"/>
      <c r="D174" s="493"/>
      <c r="E174" s="493"/>
      <c r="F174" s="493"/>
    </row>
    <row r="175" spans="1:6" s="2" customFormat="1" ht="12.75">
      <c r="B175" s="311"/>
      <c r="C175" s="493"/>
      <c r="D175" s="493"/>
      <c r="E175" s="493"/>
      <c r="F175" s="493"/>
    </row>
    <row r="176" spans="1:6" s="2" customFormat="1" ht="12.75">
      <c r="A176" s="2" t="s">
        <v>432</v>
      </c>
      <c r="B176" s="311"/>
      <c r="C176" s="493"/>
      <c r="D176" s="493"/>
      <c r="E176" s="493"/>
      <c r="F176" s="493"/>
    </row>
    <row r="177" spans="1:27" s="2" customFormat="1" ht="12.75">
      <c r="A177" s="2" t="s">
        <v>784</v>
      </c>
      <c r="B177" s="311"/>
      <c r="C177" s="493"/>
      <c r="D177" s="493"/>
      <c r="E177" s="493"/>
      <c r="F177" s="493"/>
    </row>
    <row r="178" spans="1:27" s="2" customFormat="1" ht="12.75">
      <c r="B178" s="311"/>
      <c r="C178" s="493"/>
      <c r="D178" s="493"/>
      <c r="E178" s="493"/>
      <c r="F178" s="493"/>
    </row>
    <row r="179" spans="1:27" s="2" customFormat="1" ht="13.5" thickBot="1">
      <c r="A179" s="2" t="s">
        <v>939</v>
      </c>
      <c r="B179" s="311"/>
      <c r="C179" s="493"/>
      <c r="D179" s="493"/>
      <c r="E179" s="493"/>
      <c r="F179" s="493"/>
    </row>
    <row r="180" spans="1:27" s="2" customFormat="1" ht="13.5" thickBot="1">
      <c r="B180" s="30">
        <f>F158-F108</f>
        <v>2525</v>
      </c>
      <c r="C180" s="493"/>
      <c r="D180" s="493"/>
      <c r="E180" s="493"/>
      <c r="F180" s="493"/>
    </row>
    <row r="181" spans="1:27" s="2" customFormat="1" ht="13.5" thickBot="1">
      <c r="A181" s="2" t="s">
        <v>455</v>
      </c>
      <c r="B181" s="311"/>
      <c r="C181" s="493"/>
      <c r="D181" s="493"/>
      <c r="E181" s="493"/>
      <c r="F181" s="493"/>
    </row>
    <row r="182" spans="1:27" s="2" customFormat="1" ht="13.5" thickBot="1">
      <c r="B182" s="10" t="s">
        <v>454</v>
      </c>
      <c r="C182" s="493"/>
      <c r="D182" s="493"/>
      <c r="E182" s="493"/>
      <c r="F182" s="493"/>
      <c r="AA182" s="912" t="s">
        <v>453</v>
      </c>
    </row>
    <row r="183" spans="1:27" s="2" customFormat="1" ht="13.5" thickBot="1">
      <c r="A183" s="2" t="s">
        <v>656</v>
      </c>
      <c r="B183" s="311"/>
      <c r="C183" s="493"/>
      <c r="D183" s="493"/>
      <c r="E183" s="493"/>
      <c r="F183" s="493"/>
      <c r="AA183" s="912" t="s">
        <v>454</v>
      </c>
    </row>
    <row r="184" spans="1:27" s="2" customFormat="1" ht="13.5" thickBot="1">
      <c r="B184" s="10" t="s">
        <v>414</v>
      </c>
      <c r="C184" s="493"/>
      <c r="D184" s="493"/>
      <c r="E184" s="493"/>
      <c r="F184" s="493"/>
    </row>
    <row r="185" spans="1:27" s="2" customFormat="1" ht="12.75">
      <c r="B185" s="311"/>
      <c r="C185" s="493"/>
      <c r="D185" s="493"/>
      <c r="E185" s="493"/>
      <c r="F185" s="493"/>
    </row>
    <row r="186" spans="1:27" s="2" customFormat="1" ht="12.75">
      <c r="A186" s="2" t="s">
        <v>935</v>
      </c>
      <c r="B186" s="311"/>
      <c r="C186" s="493"/>
      <c r="D186" s="493"/>
      <c r="E186" s="493"/>
      <c r="F186" s="493"/>
    </row>
    <row r="187" spans="1:27" s="2" customFormat="1" ht="12.75">
      <c r="A187" s="2" t="s">
        <v>772</v>
      </c>
      <c r="B187" s="311"/>
      <c r="C187" s="493"/>
      <c r="D187" s="493"/>
      <c r="E187" s="493"/>
      <c r="F187" s="493"/>
    </row>
    <row r="188" spans="1:27" s="2" customFormat="1" ht="12.75">
      <c r="A188" s="19" t="str">
        <f>"The first 6 month budget for Direct Labor was $"&amp;TEXT(F104,"00,000")</f>
        <v>The first 6 month budget for Direct Labor was $11,275</v>
      </c>
      <c r="B188" s="311"/>
      <c r="C188" s="493"/>
      <c r="D188" s="493"/>
      <c r="E188" s="493"/>
      <c r="F188" s="493"/>
    </row>
    <row r="189" spans="1:27" s="2" customFormat="1" ht="12.75">
      <c r="A189" s="19" t="str">
        <f>"The 6 month actual volumes at standard cost for Direct Labor was $"&amp;TEXT(F123,"00,000")</f>
        <v>The 6 month actual volumes at standard cost for Direct Labor was $13,610</v>
      </c>
      <c r="B189" s="311"/>
      <c r="C189" s="493"/>
      <c r="D189" s="493"/>
      <c r="E189" s="493"/>
      <c r="F189" s="493"/>
    </row>
    <row r="190" spans="1:27" s="2" customFormat="1" ht="12.75">
      <c r="A190" s="80" t="str">
        <f>"The 6 month volume variance for Direct Labor was $"&amp;TEXT(F138,"0,000")</f>
        <v>The 6 month volume variance for Direct Labor was $2,335</v>
      </c>
      <c r="B190" s="311"/>
      <c r="C190" s="493"/>
      <c r="D190" s="493"/>
      <c r="E190" s="493"/>
      <c r="F190" s="493"/>
    </row>
    <row r="191" spans="1:27" s="2" customFormat="1" ht="12.75">
      <c r="A191" s="19" t="str">
        <f>"The 6 month actual expense for Direct Labor was $"&amp;TEXT(F154,"00,000")</f>
        <v>The 6 month actual expense for Direct Labor was $15,000</v>
      </c>
      <c r="B191" s="311"/>
      <c r="C191" s="493"/>
      <c r="D191" s="493"/>
      <c r="E191" s="493"/>
      <c r="F191" s="493"/>
    </row>
    <row r="192" spans="1:27" s="2" customFormat="1" ht="12.75">
      <c r="A192" s="80" t="str">
        <f>"The 6 month usage variance for Direct Labor was $"&amp;TEXT(F167,"0,000")</f>
        <v>The 6 month usage variance for Direct Labor was $1,390</v>
      </c>
      <c r="B192" s="311"/>
      <c r="C192" s="493"/>
      <c r="D192" s="493"/>
      <c r="E192" s="493"/>
      <c r="F192" s="493"/>
    </row>
    <row r="193" spans="1:6" s="2" customFormat="1" ht="12.75">
      <c r="A193" s="2" t="s">
        <v>942</v>
      </c>
      <c r="B193" s="311"/>
      <c r="C193" s="493"/>
      <c r="D193" s="493"/>
      <c r="E193" s="493"/>
      <c r="F193" s="493"/>
    </row>
    <row r="194" spans="1:6" s="2" customFormat="1" ht="12.75">
      <c r="A194" s="2" t="s">
        <v>773</v>
      </c>
      <c r="B194" s="311"/>
      <c r="C194" s="493"/>
      <c r="D194" s="493"/>
      <c r="E194" s="493"/>
      <c r="F194" s="493"/>
    </row>
    <row r="195" spans="1:6" s="2" customFormat="1" ht="12.75">
      <c r="A195" s="2" t="s">
        <v>794</v>
      </c>
      <c r="B195" s="311"/>
      <c r="C195" s="493"/>
      <c r="D195" s="493"/>
      <c r="E195" s="493"/>
      <c r="F195" s="493"/>
    </row>
    <row r="196" spans="1:6" s="2" customFormat="1" ht="12.75"/>
    <row r="197" spans="1:6" s="2" customFormat="1" ht="12.75">
      <c r="B197" s="311"/>
      <c r="C197" s="54" t="s">
        <v>422</v>
      </c>
      <c r="D197" s="54" t="s">
        <v>421</v>
      </c>
      <c r="E197" s="54" t="s">
        <v>420</v>
      </c>
      <c r="F197" s="54" t="s">
        <v>246</v>
      </c>
    </row>
    <row r="198" spans="1:6" s="2" customFormat="1" ht="12.75">
      <c r="A198" s="19" t="s">
        <v>774</v>
      </c>
      <c r="B198" s="311"/>
      <c r="C198" s="493">
        <v>100</v>
      </c>
      <c r="D198" s="493">
        <v>125</v>
      </c>
      <c r="E198" s="493">
        <v>150</v>
      </c>
      <c r="F198" s="493">
        <f>SUM(C198:E198)</f>
        <v>375</v>
      </c>
    </row>
    <row r="199" spans="1:6" s="2" customFormat="1" ht="12.75">
      <c r="A199" s="19" t="s">
        <v>775</v>
      </c>
      <c r="B199" s="311"/>
      <c r="C199" s="493">
        <v>170</v>
      </c>
      <c r="D199" s="493">
        <v>100</v>
      </c>
      <c r="E199" s="493">
        <v>120</v>
      </c>
      <c r="F199" s="493">
        <f>SUM(C199:E199)</f>
        <v>390</v>
      </c>
    </row>
    <row r="200" spans="1:6" s="2" customFormat="1" ht="12.75">
      <c r="A200" s="432" t="s">
        <v>776</v>
      </c>
      <c r="B200" s="502"/>
      <c r="C200" s="54">
        <v>140</v>
      </c>
      <c r="D200" s="54">
        <v>110</v>
      </c>
      <c r="E200" s="54">
        <v>130</v>
      </c>
      <c r="F200" s="54">
        <f>SUM(C200:E200)</f>
        <v>380</v>
      </c>
    </row>
    <row r="201" spans="1:6" s="2" customFormat="1" ht="12.75">
      <c r="B201" s="311"/>
      <c r="C201" s="493"/>
      <c r="D201" s="493"/>
      <c r="E201" s="493"/>
      <c r="F201" s="493"/>
    </row>
    <row r="202" spans="1:6" s="2" customFormat="1" ht="12.75">
      <c r="A202" s="2" t="s">
        <v>777</v>
      </c>
      <c r="B202" s="311"/>
      <c r="C202" s="493"/>
      <c r="D202" s="493"/>
      <c r="E202" s="493"/>
      <c r="F202" s="493"/>
    </row>
    <row r="203" spans="1:6" s="2" customFormat="1" ht="12.75">
      <c r="B203" s="311"/>
      <c r="C203" s="493"/>
      <c r="D203" s="493"/>
      <c r="E203" s="493"/>
      <c r="F203" s="493"/>
    </row>
    <row r="204" spans="1:6" s="2" customFormat="1" ht="13.5" thickBot="1">
      <c r="B204" s="311"/>
      <c r="C204" s="54" t="s">
        <v>422</v>
      </c>
      <c r="D204" s="54" t="s">
        <v>421</v>
      </c>
      <c r="E204" s="54" t="s">
        <v>420</v>
      </c>
      <c r="F204" s="54" t="s">
        <v>246</v>
      </c>
    </row>
    <row r="205" spans="1:6" s="2" customFormat="1" ht="13.5" thickBot="1">
      <c r="B205" s="495" t="s">
        <v>415</v>
      </c>
      <c r="C205" s="31">
        <f>C200*C81</f>
        <v>7140</v>
      </c>
      <c r="D205" s="31">
        <f t="shared" ref="D205:E205" si="8">D200*D81</f>
        <v>2530</v>
      </c>
      <c r="E205" s="31">
        <f t="shared" si="8"/>
        <v>2860</v>
      </c>
      <c r="F205" s="499">
        <f>SUM(C205:E205)</f>
        <v>12530</v>
      </c>
    </row>
    <row r="206" spans="1:6" s="2" customFormat="1" ht="12.75">
      <c r="B206" s="311"/>
      <c r="C206" s="493"/>
      <c r="D206" s="493"/>
      <c r="E206" s="493"/>
      <c r="F206" s="493"/>
    </row>
    <row r="207" spans="1:6" s="2" customFormat="1" ht="12.75">
      <c r="A207" s="2" t="str">
        <f>"However, if your Direct Labor staffing remains at the same level as the first half of the year it will run at $"&amp;TEXT(F154,"00,000")&amp;"."</f>
        <v>However, if your Direct Labor staffing remains at the same level as the first half of the year it will run at $15,000.</v>
      </c>
      <c r="B207" s="311"/>
      <c r="C207" s="493"/>
      <c r="D207" s="493"/>
      <c r="E207" s="493"/>
      <c r="F207" s="493"/>
    </row>
    <row r="208" spans="1:6" s="2" customFormat="1" ht="12.75">
      <c r="A208" s="2" t="s">
        <v>778</v>
      </c>
      <c r="B208" s="311"/>
      <c r="C208" s="493"/>
      <c r="D208" s="493"/>
      <c r="E208" s="493"/>
      <c r="F208" s="493"/>
    </row>
    <row r="209" spans="1:19" s="2" customFormat="1" ht="12.75">
      <c r="A209" s="19" t="s">
        <v>936</v>
      </c>
      <c r="B209" s="311"/>
      <c r="C209" s="493"/>
      <c r="D209" s="493"/>
      <c r="E209" s="493"/>
      <c r="F209" s="493"/>
    </row>
    <row r="210" spans="1:19" s="2" customFormat="1" ht="12.75">
      <c r="A210" s="19" t="s">
        <v>795</v>
      </c>
      <c r="B210" s="311"/>
      <c r="C210" s="493"/>
      <c r="D210" s="493"/>
      <c r="E210" s="493"/>
      <c r="F210" s="493"/>
    </row>
    <row r="211" spans="1:19" s="2" customFormat="1" ht="12.75">
      <c r="B211" s="311"/>
      <c r="C211" s="493"/>
      <c r="D211" s="493"/>
      <c r="E211" s="493"/>
      <c r="F211" s="493"/>
    </row>
    <row r="212" spans="1:19" s="2" customFormat="1" ht="12.75">
      <c r="B212" s="311"/>
      <c r="C212" s="493"/>
      <c r="D212" s="493"/>
      <c r="E212" s="493"/>
      <c r="F212" s="493"/>
    </row>
    <row r="213" spans="1:19" s="2" customFormat="1" ht="12.75">
      <c r="B213" s="311"/>
      <c r="C213" s="493"/>
      <c r="D213" s="493"/>
      <c r="E213" s="493"/>
      <c r="F213" s="493"/>
    </row>
    <row r="214" spans="1:19" s="2" customFormat="1" ht="12.75">
      <c r="B214" s="311"/>
      <c r="C214" s="493"/>
      <c r="D214" s="493"/>
      <c r="E214" s="493"/>
      <c r="F214" s="493"/>
    </row>
    <row r="215" spans="1:19" s="2" customFormat="1" ht="12.75">
      <c r="B215" s="311"/>
      <c r="C215" s="493"/>
      <c r="D215" s="493"/>
      <c r="E215" s="493"/>
      <c r="F215" s="493"/>
    </row>
    <row r="216" spans="1:19" s="2" customFormat="1" ht="12.75"/>
    <row r="217" spans="1:19" s="2" customFormat="1" ht="12.75"/>
    <row r="218" spans="1:19">
      <c r="B218" s="2"/>
      <c r="C218" s="2"/>
      <c r="J218" s="2"/>
      <c r="K218" s="2"/>
      <c r="L218" s="2"/>
      <c r="M218" s="2"/>
      <c r="N218" s="2"/>
      <c r="O218" s="2"/>
      <c r="P218" s="2"/>
      <c r="Q218" s="2"/>
      <c r="R218" s="2"/>
      <c r="S218" s="2"/>
    </row>
    <row r="219" spans="1:19">
      <c r="B219" s="2"/>
      <c r="C219" s="2"/>
      <c r="J219" s="2"/>
      <c r="K219" s="2"/>
      <c r="L219" s="2"/>
      <c r="M219" s="2"/>
      <c r="N219" s="2"/>
      <c r="O219" s="2"/>
      <c r="P219" s="2"/>
      <c r="Q219" s="2"/>
      <c r="R219" s="2"/>
      <c r="S219" s="2"/>
    </row>
    <row r="220" spans="1:19">
      <c r="B220" s="2"/>
      <c r="C220" s="2"/>
      <c r="J220" s="2"/>
      <c r="K220" s="2"/>
      <c r="L220" s="2"/>
      <c r="M220" s="2"/>
      <c r="N220" s="2"/>
      <c r="O220" s="2"/>
      <c r="P220" s="2"/>
      <c r="Q220" s="2"/>
      <c r="R220" s="2"/>
      <c r="S220" s="2"/>
    </row>
    <row r="221" spans="1:19">
      <c r="B221" s="2"/>
      <c r="C221" s="2"/>
      <c r="J221" s="2"/>
      <c r="K221" s="2"/>
      <c r="L221" s="2"/>
      <c r="M221" s="2"/>
      <c r="N221" s="2"/>
      <c r="O221" s="2"/>
      <c r="P221" s="2"/>
      <c r="Q221" s="2"/>
      <c r="R221" s="2"/>
      <c r="S221" s="2"/>
    </row>
    <row r="222" spans="1:19">
      <c r="B222" s="2"/>
      <c r="C222" s="2"/>
      <c r="J222" s="2"/>
      <c r="K222" s="2"/>
      <c r="L222" s="2"/>
      <c r="M222" s="2"/>
      <c r="N222" s="2"/>
      <c r="O222" s="2"/>
      <c r="P222" s="2"/>
      <c r="Q222" s="2"/>
      <c r="R222" s="2"/>
      <c r="S222" s="2"/>
    </row>
    <row r="223" spans="1:19">
      <c r="A223" s="2"/>
      <c r="B223" s="2"/>
      <c r="C223" s="2"/>
      <c r="D223" s="2"/>
      <c r="E223" s="2"/>
      <c r="F223" s="2"/>
      <c r="G223" s="2"/>
      <c r="H223" s="2"/>
      <c r="I223" s="2"/>
      <c r="J223" s="2"/>
      <c r="K223" s="2"/>
      <c r="L223" s="2"/>
      <c r="M223" s="2"/>
      <c r="N223" s="2"/>
      <c r="O223" s="2"/>
      <c r="P223" s="2"/>
      <c r="Q223" s="2"/>
      <c r="R223" s="2"/>
      <c r="S223" s="2"/>
    </row>
    <row r="224" spans="1:19">
      <c r="A224" s="2"/>
      <c r="B224" s="2"/>
      <c r="C224" s="2"/>
      <c r="D224" s="2"/>
      <c r="E224" s="2"/>
      <c r="F224" s="2"/>
      <c r="G224" s="2"/>
      <c r="H224" s="2"/>
      <c r="I224" s="2"/>
      <c r="J224" s="2"/>
      <c r="K224" s="2"/>
      <c r="L224" s="2"/>
      <c r="M224" s="2"/>
      <c r="N224" s="2"/>
      <c r="O224" s="2"/>
      <c r="P224" s="2"/>
      <c r="Q224" s="2"/>
      <c r="R224" s="2"/>
      <c r="S224" s="2"/>
    </row>
    <row r="225" spans="1:19">
      <c r="A225" s="2"/>
      <c r="B225" s="2"/>
      <c r="C225" s="2"/>
      <c r="D225" s="2"/>
      <c r="E225" s="2"/>
      <c r="F225" s="2"/>
      <c r="G225" s="2"/>
      <c r="H225" s="2"/>
      <c r="I225" s="2"/>
      <c r="J225" s="2"/>
      <c r="K225" s="2"/>
      <c r="L225" s="2"/>
      <c r="M225" s="2"/>
      <c r="N225" s="2"/>
      <c r="O225" s="2"/>
      <c r="P225" s="2"/>
      <c r="Q225" s="2"/>
      <c r="R225" s="2"/>
      <c r="S225" s="2"/>
    </row>
    <row r="226" spans="1:19">
      <c r="A226" s="2"/>
      <c r="B226" s="2"/>
      <c r="C226" s="2"/>
      <c r="D226" s="2"/>
      <c r="E226" s="2"/>
      <c r="F226" s="2"/>
      <c r="G226" s="2"/>
      <c r="H226" s="2"/>
      <c r="I226" s="2"/>
      <c r="J226" s="2"/>
      <c r="K226" s="2"/>
      <c r="L226" s="2"/>
      <c r="M226" s="2"/>
      <c r="N226" s="2"/>
      <c r="O226" s="2"/>
      <c r="P226" s="2"/>
      <c r="Q226" s="2"/>
      <c r="R226" s="2"/>
      <c r="S226" s="2"/>
    </row>
    <row r="227" spans="1:19">
      <c r="A227" s="2"/>
      <c r="B227" s="2"/>
      <c r="C227" s="2"/>
      <c r="D227" s="2"/>
      <c r="E227" s="2"/>
      <c r="F227" s="2"/>
      <c r="G227" s="2"/>
      <c r="H227" s="2"/>
      <c r="I227" s="2"/>
      <c r="J227" s="2"/>
      <c r="K227" s="2"/>
      <c r="L227" s="2"/>
      <c r="M227" s="2"/>
      <c r="N227" s="2"/>
      <c r="O227" s="2"/>
      <c r="P227" s="2"/>
      <c r="Q227" s="2"/>
      <c r="R227" s="2"/>
      <c r="S227" s="2"/>
    </row>
    <row r="228" spans="1:19">
      <c r="A228" s="2"/>
      <c r="B228" s="2"/>
      <c r="C228" s="2"/>
      <c r="D228" s="2"/>
      <c r="E228" s="2"/>
      <c r="F228" s="2"/>
      <c r="G228" s="2"/>
      <c r="H228" s="2"/>
      <c r="I228" s="2"/>
      <c r="J228" s="2"/>
      <c r="K228" s="2"/>
      <c r="L228" s="2"/>
      <c r="M228" s="2"/>
      <c r="N228" s="2"/>
      <c r="O228" s="2"/>
      <c r="P228" s="2"/>
      <c r="Q228" s="2"/>
      <c r="R228" s="2"/>
      <c r="S228" s="2"/>
    </row>
    <row r="229" spans="1:19">
      <c r="A229" s="2"/>
      <c r="B229" s="2"/>
      <c r="C229" s="2"/>
      <c r="D229" s="2"/>
      <c r="E229" s="2"/>
      <c r="F229" s="2"/>
      <c r="G229" s="2"/>
      <c r="H229" s="2"/>
      <c r="I229" s="2"/>
      <c r="J229" s="2"/>
      <c r="K229" s="2"/>
      <c r="L229" s="2"/>
      <c r="M229" s="2"/>
      <c r="N229" s="2"/>
      <c r="O229" s="2"/>
      <c r="P229" s="2"/>
      <c r="Q229" s="2"/>
      <c r="R229" s="2"/>
      <c r="S229" s="2"/>
    </row>
    <row r="230" spans="1:19">
      <c r="A230" s="2"/>
      <c r="B230" s="2"/>
      <c r="C230" s="2"/>
      <c r="D230" s="2"/>
      <c r="E230" s="2"/>
      <c r="F230" s="2"/>
      <c r="G230" s="2"/>
      <c r="H230" s="2"/>
      <c r="I230" s="2"/>
      <c r="J230" s="2"/>
      <c r="K230" s="2"/>
      <c r="L230" s="2"/>
      <c r="M230" s="2"/>
      <c r="N230" s="2"/>
      <c r="O230" s="2"/>
      <c r="P230" s="2"/>
      <c r="Q230" s="2"/>
      <c r="R230" s="2"/>
      <c r="S230" s="2"/>
    </row>
    <row r="231" spans="1:19">
      <c r="A231" s="2"/>
      <c r="B231" s="2"/>
      <c r="C231" s="2"/>
      <c r="D231" s="2"/>
      <c r="E231" s="2"/>
      <c r="F231" s="2"/>
      <c r="G231" s="2"/>
      <c r="H231" s="2"/>
      <c r="I231" s="2"/>
      <c r="J231" s="2"/>
      <c r="K231" s="2"/>
      <c r="L231" s="2"/>
      <c r="M231" s="2"/>
      <c r="N231" s="2"/>
      <c r="O231" s="2"/>
      <c r="P231" s="2"/>
      <c r="Q231" s="2"/>
      <c r="R231" s="2"/>
      <c r="S231" s="2"/>
    </row>
    <row r="232" spans="1:19">
      <c r="A232" s="2"/>
      <c r="B232" s="2"/>
      <c r="C232" s="2"/>
      <c r="D232" s="2"/>
      <c r="E232" s="2"/>
      <c r="F232" s="2"/>
      <c r="G232" s="2"/>
      <c r="H232" s="2"/>
      <c r="I232" s="2"/>
      <c r="J232" s="2"/>
      <c r="K232" s="2"/>
      <c r="L232" s="2"/>
      <c r="M232" s="2"/>
      <c r="N232" s="2"/>
      <c r="O232" s="2"/>
      <c r="P232" s="2"/>
      <c r="Q232" s="2"/>
      <c r="R232" s="2"/>
      <c r="S232" s="2"/>
    </row>
    <row r="233" spans="1:19">
      <c r="A233" s="2"/>
      <c r="B233" s="2"/>
      <c r="C233" s="2"/>
      <c r="D233" s="2"/>
      <c r="E233" s="2"/>
      <c r="F233" s="2"/>
      <c r="G233" s="2"/>
      <c r="H233" s="2"/>
      <c r="I233" s="2"/>
      <c r="J233" s="2"/>
      <c r="K233" s="2"/>
      <c r="L233" s="2"/>
      <c r="M233" s="2"/>
      <c r="N233" s="2"/>
      <c r="O233" s="2"/>
      <c r="P233" s="2"/>
      <c r="Q233" s="2"/>
      <c r="R233" s="2"/>
      <c r="S233" s="2"/>
    </row>
    <row r="234" spans="1:19">
      <c r="A234" s="2"/>
      <c r="B234" s="2"/>
      <c r="C234" s="2"/>
      <c r="D234" s="2"/>
      <c r="E234" s="2"/>
      <c r="F234" s="2"/>
      <c r="G234" s="2"/>
      <c r="H234" s="2"/>
      <c r="I234" s="2"/>
      <c r="J234" s="2"/>
      <c r="K234" s="2"/>
      <c r="L234" s="2"/>
      <c r="M234" s="2"/>
      <c r="N234" s="2"/>
      <c r="O234" s="2"/>
      <c r="P234" s="2"/>
      <c r="Q234" s="2"/>
      <c r="R234" s="2"/>
      <c r="S234" s="2"/>
    </row>
    <row r="235" spans="1:19">
      <c r="A235" s="2"/>
      <c r="B235" s="2"/>
      <c r="C235" s="2"/>
      <c r="D235" s="2"/>
      <c r="E235" s="2"/>
      <c r="F235" s="2"/>
      <c r="G235" s="2"/>
      <c r="H235" s="2"/>
      <c r="I235" s="2"/>
      <c r="J235" s="2"/>
      <c r="K235" s="2"/>
      <c r="L235" s="2"/>
      <c r="M235" s="2"/>
      <c r="N235" s="2"/>
      <c r="O235" s="2"/>
      <c r="P235" s="2"/>
      <c r="Q235" s="2"/>
      <c r="R235" s="2"/>
      <c r="S235" s="2"/>
    </row>
    <row r="236" spans="1:19">
      <c r="A236" s="2"/>
      <c r="B236" s="2"/>
      <c r="C236" s="2"/>
      <c r="D236" s="2"/>
      <c r="E236" s="2"/>
      <c r="F236" s="2"/>
      <c r="G236" s="2"/>
      <c r="H236" s="2"/>
      <c r="I236" s="2"/>
      <c r="J236" s="2"/>
      <c r="K236" s="2"/>
      <c r="L236" s="2"/>
      <c r="M236" s="2"/>
      <c r="N236" s="2"/>
      <c r="O236" s="2"/>
      <c r="P236" s="2"/>
      <c r="Q236" s="2"/>
      <c r="R236" s="2"/>
      <c r="S236" s="2"/>
    </row>
    <row r="237" spans="1:19">
      <c r="A237" s="2"/>
      <c r="B237" s="2"/>
      <c r="C237" s="2"/>
      <c r="D237" s="2"/>
      <c r="E237" s="2"/>
      <c r="F237" s="2"/>
      <c r="G237" s="2"/>
      <c r="H237" s="2"/>
      <c r="I237" s="2"/>
      <c r="J237" s="2"/>
      <c r="K237" s="2"/>
      <c r="L237" s="2"/>
      <c r="M237" s="2"/>
      <c r="N237" s="2"/>
      <c r="O237" s="2"/>
      <c r="P237" s="2"/>
      <c r="Q237" s="2"/>
      <c r="R237" s="2"/>
      <c r="S237" s="2"/>
    </row>
    <row r="238" spans="1:19">
      <c r="A238" s="2"/>
      <c r="B238" s="2"/>
      <c r="C238" s="2"/>
      <c r="D238" s="2"/>
      <c r="E238" s="2"/>
      <c r="F238" s="2"/>
      <c r="G238" s="2"/>
      <c r="H238" s="2"/>
      <c r="I238" s="2"/>
      <c r="J238" s="2"/>
      <c r="K238" s="2"/>
      <c r="L238" s="2"/>
      <c r="M238" s="2"/>
      <c r="N238" s="2"/>
      <c r="O238" s="2"/>
      <c r="P238" s="2"/>
      <c r="Q238" s="2"/>
      <c r="R238" s="2"/>
      <c r="S238" s="2"/>
    </row>
    <row r="239" spans="1:19">
      <c r="A239" s="2"/>
      <c r="B239" s="2"/>
      <c r="C239" s="2"/>
      <c r="D239" s="2"/>
      <c r="E239" s="2"/>
      <c r="F239" s="2"/>
      <c r="G239" s="2"/>
      <c r="H239" s="2"/>
      <c r="I239" s="2"/>
      <c r="J239" s="2"/>
      <c r="K239" s="2"/>
      <c r="L239" s="2"/>
      <c r="M239" s="2"/>
      <c r="N239" s="2"/>
      <c r="O239" s="2"/>
      <c r="P239" s="2"/>
      <c r="Q239" s="2"/>
      <c r="R239" s="2"/>
      <c r="S239" s="2"/>
    </row>
    <row r="240" spans="1:19">
      <c r="A240" s="2"/>
      <c r="B240" s="2"/>
      <c r="C240" s="2"/>
      <c r="D240" s="2"/>
      <c r="E240" s="2"/>
      <c r="F240" s="2"/>
      <c r="G240" s="2"/>
      <c r="H240" s="2"/>
      <c r="I240" s="2"/>
      <c r="J240" s="2"/>
      <c r="K240" s="2"/>
      <c r="L240" s="2"/>
      <c r="M240" s="2"/>
      <c r="N240" s="2"/>
      <c r="O240" s="2"/>
      <c r="P240" s="2"/>
      <c r="Q240" s="2"/>
      <c r="R240" s="2"/>
      <c r="S240" s="2"/>
    </row>
    <row r="241" spans="1:19">
      <c r="A241" s="2"/>
      <c r="B241" s="2"/>
      <c r="C241" s="2"/>
      <c r="D241" s="2"/>
      <c r="E241" s="2"/>
      <c r="F241" s="2"/>
      <c r="G241" s="2"/>
      <c r="H241" s="2"/>
      <c r="I241" s="2"/>
      <c r="J241" s="2"/>
      <c r="K241" s="2"/>
      <c r="L241" s="2"/>
      <c r="M241" s="2"/>
      <c r="N241" s="2"/>
      <c r="O241" s="2"/>
      <c r="P241" s="2"/>
      <c r="Q241" s="2"/>
      <c r="R241" s="2"/>
      <c r="S241" s="2"/>
    </row>
    <row r="242" spans="1:19">
      <c r="A242" s="2"/>
      <c r="B242" s="2"/>
      <c r="C242" s="2"/>
      <c r="D242" s="2"/>
      <c r="E242" s="2"/>
      <c r="F242" s="2"/>
      <c r="G242" s="2"/>
      <c r="H242" s="2"/>
      <c r="I242" s="2"/>
      <c r="J242" s="2"/>
      <c r="K242" s="2"/>
      <c r="L242" s="2"/>
      <c r="M242" s="2"/>
      <c r="N242" s="2"/>
      <c r="O242" s="2"/>
      <c r="P242" s="2"/>
      <c r="Q242" s="2"/>
      <c r="R242" s="2"/>
      <c r="S242" s="2"/>
    </row>
    <row r="243" spans="1:19">
      <c r="A243" s="2"/>
      <c r="B243" s="2"/>
      <c r="C243" s="2"/>
      <c r="D243" s="2"/>
      <c r="E243" s="2"/>
      <c r="F243" s="2"/>
      <c r="G243" s="2"/>
      <c r="H243" s="2"/>
      <c r="I243" s="2"/>
      <c r="J243" s="2"/>
      <c r="K243" s="2"/>
      <c r="L243" s="2"/>
      <c r="M243" s="2"/>
      <c r="N243" s="2"/>
      <c r="O243" s="2"/>
      <c r="P243" s="2"/>
      <c r="Q243" s="2"/>
      <c r="R243" s="2"/>
      <c r="S243" s="2"/>
    </row>
  </sheetData>
  <sheetProtection algorithmName="SHA-512" hashValue="wB6KAZ0CFfCY7yKBk7d9GY9+N4Pzo61o25DR5Qt/zfW67J+neCQerYqCRDm3QwgMlunGcIv5zV2YWMq11/0/rA==" saltValue="2sApoFfPwzy2Q51MavTn+g==" spinCount="100000" sheet="1" objects="1" scenarios="1"/>
  <mergeCells count="8">
    <mergeCell ref="A138:A142"/>
    <mergeCell ref="A154:A158"/>
    <mergeCell ref="A167:A171"/>
    <mergeCell ref="A81:A84"/>
    <mergeCell ref="A123:A127"/>
    <mergeCell ref="A104:A108"/>
    <mergeCell ref="A101:A102"/>
    <mergeCell ref="A115:A116"/>
  </mergeCells>
  <conditionalFormatting sqref="C205:E205">
    <cfRule type="expression" dxfId="2" priority="2117">
      <formula>AND(Graded,C205&lt;&gt;"",M243=0)</formula>
    </cfRule>
  </conditionalFormatting>
  <dataValidations count="4">
    <dataValidation type="list" allowBlank="1" showInputMessage="1" showErrorMessage="1" sqref="B145 B174" xr:uid="{16179288-9F29-404F-87E6-0D5CC24CAB6A}">
      <formula1>$B$138:$B$141</formula1>
    </dataValidation>
    <dataValidation type="list" allowBlank="1" showInputMessage="1" showErrorMessage="1" sqref="B111 B130" xr:uid="{B61E2BD9-151D-6541-8E63-B848220A03E8}">
      <formula1>$C$101:$E$101</formula1>
    </dataValidation>
    <dataValidation type="list" allowBlank="1" showInputMessage="1" showErrorMessage="1" sqref="B184" xr:uid="{960B4399-0813-674B-971E-85409944951B}">
      <formula1>$B$167:$B$170</formula1>
    </dataValidation>
    <dataValidation type="list" allowBlank="1" showInputMessage="1" showErrorMessage="1" sqref="B182" xr:uid="{BA7E582C-6857-E74E-9CEA-801638B7BB53}">
      <formula1>$AA$182:$AA$183</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251" id="{00000000-000E-0000-0900-000046080000}">
            <xm:f>AND(Graded,B111&lt;&gt;"",X!G139=0)</xm:f>
            <x14:dxf>
              <font>
                <color rgb="FF9C0006"/>
              </font>
              <fill>
                <patternFill>
                  <bgColor rgb="FFFFC7CE"/>
                </patternFill>
              </fill>
            </x14:dxf>
          </x14:cfRule>
          <xm:sqref>B111</xm:sqref>
        </x14:conditionalFormatting>
        <x14:conditionalFormatting xmlns:xm="http://schemas.microsoft.com/office/excel/2006/main">
          <x14:cfRule type="expression" priority="4252" id="{00000000-000E-0000-0900-000095080000}">
            <xm:f>AND(Graded,B130&lt;&gt;"",X!G140=0)</xm:f>
            <x14:dxf>
              <font>
                <color rgb="FF9C0006"/>
              </font>
              <fill>
                <patternFill>
                  <bgColor rgb="FFFFC7CE"/>
                </patternFill>
              </fill>
            </x14:dxf>
          </x14:cfRule>
          <xm:sqref>B130</xm:sqref>
        </x14:conditionalFormatting>
        <x14:conditionalFormatting xmlns:xm="http://schemas.microsoft.com/office/excel/2006/main">
          <x14:cfRule type="expression" priority="4253" id="{00000000-000E-0000-0900-0000E3080000}">
            <xm:f>AND(Graded,B145&lt;&gt;"",X!G141=0)</xm:f>
            <x14:dxf>
              <font>
                <color rgb="FF9C0006"/>
              </font>
              <fill>
                <patternFill>
                  <bgColor rgb="FFFFC7CE"/>
                </patternFill>
              </fill>
            </x14:dxf>
          </x14:cfRule>
          <xm:sqref>B145</xm:sqref>
        </x14:conditionalFormatting>
        <x14:conditionalFormatting xmlns:xm="http://schemas.microsoft.com/office/excel/2006/main">
          <x14:cfRule type="expression" priority="4254" id="{00000000-000E-0000-0900-000030090000}">
            <xm:f>AND(Graded,B174&lt;&gt;"",X!G142=0)</xm:f>
            <x14:dxf>
              <font>
                <color rgb="FF9C0006"/>
              </font>
              <fill>
                <patternFill>
                  <bgColor rgb="FFFFC7CE"/>
                </patternFill>
              </fill>
            </x14:dxf>
          </x14:cfRule>
          <xm:sqref>B174</xm:sqref>
        </x14:conditionalFormatting>
        <x14:conditionalFormatting xmlns:xm="http://schemas.microsoft.com/office/excel/2006/main">
          <x14:cfRule type="expression" priority="4255" id="{00000000-000E-0000-0900-00007C090000}">
            <xm:f>AND(Graded,B180&lt;&gt;"",X!G143=0)</xm:f>
            <x14:dxf>
              <font>
                <color rgb="FF9C0006"/>
              </font>
              <fill>
                <patternFill>
                  <bgColor rgb="FFFFC7CE"/>
                </patternFill>
              </fill>
            </x14:dxf>
          </x14:cfRule>
          <xm:sqref>B180</xm:sqref>
        </x14:conditionalFormatting>
        <x14:conditionalFormatting xmlns:xm="http://schemas.microsoft.com/office/excel/2006/main">
          <x14:cfRule type="expression" priority="4256" id="{00000000-000E-0000-0900-0000C7090000}">
            <xm:f>AND(Graded,B182&lt;&gt;"",X!G144=0)</xm:f>
            <x14:dxf>
              <font>
                <color rgb="FF9C0006"/>
              </font>
              <fill>
                <patternFill>
                  <bgColor rgb="FFFFC7CE"/>
                </patternFill>
              </fill>
            </x14:dxf>
          </x14:cfRule>
          <xm:sqref>B182</xm:sqref>
        </x14:conditionalFormatting>
        <x14:conditionalFormatting xmlns:xm="http://schemas.microsoft.com/office/excel/2006/main">
          <x14:cfRule type="expression" priority="4257" id="{00000000-000E-0000-0900-0000110A0000}">
            <xm:f>-AND(Graded,$B$184&lt;&gt;"",X!$G$145=0)</xm:f>
            <x14:dxf>
              <font>
                <color rgb="FF9C0006"/>
              </font>
              <fill>
                <patternFill>
                  <bgColor rgb="FFFFC7CE"/>
                </patternFill>
              </fill>
            </x14:dxf>
          </x14:cfRule>
          <xm:sqref>B184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44454-DD65-B64E-89BB-F5A28F064433}">
  <dimension ref="A1:AO136"/>
  <sheetViews>
    <sheetView topLeftCell="A55" zoomScale="120" zoomScaleNormal="120" workbookViewId="0">
      <selection activeCell="B68" sqref="B68"/>
    </sheetView>
  </sheetViews>
  <sheetFormatPr defaultColWidth="9.5" defaultRowHeight="15.75"/>
  <cols>
    <col min="1" max="3" width="9.5" style="505"/>
    <col min="4" max="4" width="9.5" style="506"/>
    <col min="5" max="5" width="9.375" style="505" customWidth="1"/>
    <col min="6" max="6" width="9.5" style="505"/>
    <col min="7" max="7" width="10.875" style="505" bestFit="1" customWidth="1"/>
    <col min="8" max="9" width="12.875" style="505" bestFit="1" customWidth="1"/>
    <col min="10" max="10" width="10.125" style="505" customWidth="1"/>
    <col min="11" max="13" width="7.625" style="505" customWidth="1"/>
    <col min="14" max="21" width="9.5" style="505"/>
    <col min="22" max="22" width="18.375" style="505" bestFit="1" customWidth="1"/>
    <col min="23" max="52" width="7.625" style="505" bestFit="1" customWidth="1"/>
    <col min="53" max="57" width="9.5" style="505"/>
    <col min="58" max="58" width="11.125" style="505" bestFit="1" customWidth="1"/>
    <col min="59" max="60" width="10.875" style="505" bestFit="1" customWidth="1"/>
    <col min="61" max="1829" width="7.625" style="505" bestFit="1" customWidth="1"/>
    <col min="1830" max="1830" width="10" style="505" bestFit="1" customWidth="1"/>
    <col min="1831" max="16384" width="9.5" style="505"/>
  </cols>
  <sheetData>
    <row r="1" spans="1:41" ht="18.75">
      <c r="A1" s="149" t="s">
        <v>1141</v>
      </c>
      <c r="G1" s="507" t="s">
        <v>54</v>
      </c>
    </row>
    <row r="2" spans="1:41">
      <c r="A2" s="508" t="s">
        <v>895</v>
      </c>
      <c r="J2" s="507"/>
    </row>
    <row r="3" spans="1:41">
      <c r="A3" s="2" t="s">
        <v>1146</v>
      </c>
    </row>
    <row r="4" spans="1:41">
      <c r="A4" s="35" t="str">
        <f ca="1">"Sheet: "&amp;MID(CELL("filename",A1),FIND("]",CELL("filename",A1))+1,255)</f>
        <v>Sheet: DATA ANALYSIS Subscription Biz</v>
      </c>
    </row>
    <row r="5" spans="1:41" ht="16.5" thickBot="1"/>
    <row r="6" spans="1:41">
      <c r="A6" s="509" t="s">
        <v>462</v>
      </c>
      <c r="B6" s="510"/>
      <c r="C6" s="510"/>
      <c r="D6" s="511"/>
      <c r="E6" s="510"/>
      <c r="F6" s="510"/>
      <c r="G6" s="510"/>
      <c r="H6" s="510"/>
      <c r="I6" s="510"/>
      <c r="J6" s="510"/>
      <c r="K6" s="512"/>
    </row>
    <row r="7" spans="1:41" ht="16.5" thickBot="1">
      <c r="A7" s="513" t="s">
        <v>894</v>
      </c>
      <c r="B7" s="514"/>
      <c r="C7" s="514"/>
      <c r="D7" s="515"/>
      <c r="E7" s="514"/>
      <c r="F7" s="514"/>
      <c r="G7" s="514"/>
      <c r="H7" s="514"/>
      <c r="I7" s="514"/>
      <c r="J7" s="514"/>
      <c r="K7" s="516"/>
    </row>
    <row r="9" spans="1:41" ht="12.75">
      <c r="A9" s="517" t="s">
        <v>743</v>
      </c>
      <c r="D9" s="505"/>
      <c r="AI9" s="518"/>
      <c r="AJ9" s="518"/>
      <c r="AK9" s="518"/>
      <c r="AL9" s="518"/>
      <c r="AM9" s="518"/>
      <c r="AN9" s="518"/>
      <c r="AO9" s="518"/>
    </row>
    <row r="10" spans="1:41" ht="12.75">
      <c r="A10" s="519" t="s">
        <v>893</v>
      </c>
      <c r="D10" s="505"/>
      <c r="AI10" s="518"/>
      <c r="AJ10" s="518"/>
      <c r="AK10" s="518"/>
      <c r="AL10" s="518"/>
      <c r="AM10" s="518"/>
      <c r="AN10" s="518"/>
      <c r="AO10" s="518"/>
    </row>
    <row r="11" spans="1:41" ht="12.75">
      <c r="A11" s="520" t="str">
        <f>"To accomplish this, see instructions on Row "&amp;ROW('EXCEL Financial Functions'!A143)&amp;" of the 'EXCEL Financial Functions' Sheet"</f>
        <v>To accomplish this, see instructions on Row 143 of the 'EXCEL Financial Functions' Sheet</v>
      </c>
      <c r="D11" s="505"/>
      <c r="AI11" s="518"/>
      <c r="AJ11" s="518"/>
      <c r="AK11" s="518"/>
      <c r="AL11" s="518"/>
      <c r="AM11" s="518"/>
      <c r="AN11" s="518"/>
      <c r="AO11" s="518"/>
    </row>
    <row r="13" spans="1:41">
      <c r="A13" s="521" t="s">
        <v>900</v>
      </c>
    </row>
    <row r="14" spans="1:41">
      <c r="A14" s="505" t="s">
        <v>892</v>
      </c>
    </row>
    <row r="15" spans="1:41">
      <c r="A15" s="505" t="s">
        <v>891</v>
      </c>
    </row>
    <row r="16" spans="1:41">
      <c r="A16" s="505" t="s">
        <v>890</v>
      </c>
    </row>
    <row r="17" spans="1:8">
      <c r="A17" s="505" t="s">
        <v>889</v>
      </c>
      <c r="D17" s="522"/>
    </row>
    <row r="18" spans="1:8">
      <c r="A18" s="505" t="s">
        <v>888</v>
      </c>
      <c r="D18" s="522"/>
    </row>
    <row r="19" spans="1:8">
      <c r="A19" s="505" t="s">
        <v>887</v>
      </c>
      <c r="D19" s="522"/>
    </row>
    <row r="20" spans="1:8">
      <c r="A20" s="505" t="s">
        <v>1116</v>
      </c>
      <c r="D20" s="522"/>
    </row>
    <row r="21" spans="1:8">
      <c r="A21" s="505" t="s">
        <v>886</v>
      </c>
      <c r="D21" s="522"/>
    </row>
    <row r="22" spans="1:8">
      <c r="A22" s="505" t="s">
        <v>901</v>
      </c>
      <c r="D22" s="522"/>
    </row>
    <row r="23" spans="1:8">
      <c r="A23" s="168"/>
      <c r="D23" s="522"/>
    </row>
    <row r="24" spans="1:8">
      <c r="A24" s="521" t="s">
        <v>1118</v>
      </c>
      <c r="D24" s="522"/>
    </row>
    <row r="25" spans="1:8">
      <c r="A25" s="505" t="s">
        <v>1119</v>
      </c>
      <c r="D25" s="522"/>
    </row>
    <row r="26" spans="1:8">
      <c r="A26" s="505" t="s">
        <v>1122</v>
      </c>
      <c r="D26" s="522"/>
      <c r="H26" s="121"/>
    </row>
    <row r="27" spans="1:8">
      <c r="A27" s="523" t="s">
        <v>1151</v>
      </c>
      <c r="D27" s="522"/>
    </row>
    <row r="28" spans="1:8">
      <c r="A28" s="505" t="s">
        <v>1120</v>
      </c>
      <c r="D28" s="522"/>
    </row>
    <row r="29" spans="1:8">
      <c r="A29" s="505" t="s">
        <v>1121</v>
      </c>
      <c r="D29" s="522"/>
    </row>
    <row r="30" spans="1:8">
      <c r="A30" s="505" t="s">
        <v>1152</v>
      </c>
      <c r="D30" s="524"/>
    </row>
    <row r="31" spans="1:8">
      <c r="A31" s="505" t="s">
        <v>904</v>
      </c>
      <c r="D31" s="524"/>
    </row>
    <row r="32" spans="1:8">
      <c r="A32" s="505" t="s">
        <v>905</v>
      </c>
      <c r="D32" s="524"/>
    </row>
    <row r="33" spans="1:4">
      <c r="A33" s="505">
        <v>1</v>
      </c>
      <c r="B33" s="505" t="str">
        <f>"On the 'DATA Subscription Biz' Sheet using the Subscription History data create a PivotTable in "&amp;INDEX(Column,2,COLUMN(G11))&amp;ROW('DATA Subscription Biz'!G11)&amp;"."</f>
        <v>On the 'DATA Subscription Biz' Sheet using the Subscription History data create a PivotTable in G11.</v>
      </c>
      <c r="D33" s="522"/>
    </row>
    <row r="34" spans="1:4">
      <c r="B34" s="519" t="s">
        <v>1181</v>
      </c>
      <c r="D34" s="522"/>
    </row>
    <row r="35" spans="1:4">
      <c r="A35" s="505">
        <v>2</v>
      </c>
      <c r="B35" s="505" t="s">
        <v>885</v>
      </c>
      <c r="D35" s="522"/>
    </row>
    <row r="36" spans="1:4">
      <c r="A36" s="505">
        <f>A35+1</f>
        <v>3</v>
      </c>
      <c r="B36" s="505" t="s">
        <v>884</v>
      </c>
      <c r="D36" s="522"/>
    </row>
    <row r="37" spans="1:4">
      <c r="A37" s="505">
        <f>A36+1</f>
        <v>4</v>
      </c>
      <c r="B37" s="505" t="s">
        <v>902</v>
      </c>
      <c r="D37" s="522"/>
    </row>
    <row r="38" spans="1:4">
      <c r="B38" s="505" t="s">
        <v>1111</v>
      </c>
      <c r="D38" s="522"/>
    </row>
    <row r="39" spans="1:4">
      <c r="A39" s="505">
        <f>A37+1</f>
        <v>5</v>
      </c>
      <c r="B39" s="505" t="s">
        <v>883</v>
      </c>
      <c r="D39" s="522"/>
    </row>
    <row r="40" spans="1:4">
      <c r="A40" s="505">
        <f>A39+1</f>
        <v>6</v>
      </c>
      <c r="B40" s="505" t="s">
        <v>882</v>
      </c>
      <c r="D40" s="522"/>
    </row>
    <row r="41" spans="1:4">
      <c r="A41" s="505">
        <f>A40+1</f>
        <v>7</v>
      </c>
      <c r="B41" s="505" t="s">
        <v>881</v>
      </c>
      <c r="D41" s="522"/>
    </row>
    <row r="42" spans="1:4">
      <c r="B42" s="525" t="s">
        <v>880</v>
      </c>
      <c r="D42" s="522"/>
    </row>
    <row r="43" spans="1:4">
      <c r="B43" s="525" t="s">
        <v>879</v>
      </c>
      <c r="D43" s="522"/>
    </row>
    <row r="44" spans="1:4">
      <c r="B44" s="525" t="s">
        <v>878</v>
      </c>
      <c r="D44" s="522"/>
    </row>
    <row r="45" spans="1:4">
      <c r="B45" s="523" t="s">
        <v>877</v>
      </c>
      <c r="D45" s="522"/>
    </row>
    <row r="46" spans="1:4">
      <c r="A46" s="505">
        <f>A41+1</f>
        <v>8</v>
      </c>
      <c r="B46" s="505" t="s">
        <v>876</v>
      </c>
      <c r="D46" s="522"/>
    </row>
    <row r="47" spans="1:4">
      <c r="A47" s="505">
        <f>A46+1</f>
        <v>9</v>
      </c>
      <c r="B47" s="520" t="s">
        <v>875</v>
      </c>
      <c r="D47" s="522"/>
    </row>
    <row r="48" spans="1:4">
      <c r="D48" s="522"/>
    </row>
    <row r="49" spans="1:9">
      <c r="A49" s="521" t="s">
        <v>903</v>
      </c>
      <c r="D49" s="522"/>
    </row>
    <row r="50" spans="1:9">
      <c r="A50" s="505">
        <v>1</v>
      </c>
      <c r="B50" s="505" t="s">
        <v>874</v>
      </c>
      <c r="D50" s="522"/>
    </row>
    <row r="51" spans="1:9">
      <c r="A51" s="505">
        <v>2</v>
      </c>
      <c r="B51" s="505" t="s">
        <v>902</v>
      </c>
      <c r="D51" s="522"/>
    </row>
    <row r="52" spans="1:9">
      <c r="B52" s="505" t="s">
        <v>1111</v>
      </c>
      <c r="D52" s="522"/>
    </row>
    <row r="53" spans="1:9">
      <c r="A53" s="505">
        <v>3</v>
      </c>
      <c r="B53" s="505" t="s">
        <v>873</v>
      </c>
      <c r="D53" s="522"/>
    </row>
    <row r="54" spans="1:9">
      <c r="A54" s="505">
        <v>4</v>
      </c>
      <c r="B54" s="505" t="s">
        <v>872</v>
      </c>
      <c r="D54" s="522"/>
    </row>
    <row r="55" spans="1:9">
      <c r="A55" s="505">
        <v>5</v>
      </c>
      <c r="B55" s="520" t="s">
        <v>871</v>
      </c>
      <c r="D55" s="522"/>
    </row>
    <row r="56" spans="1:9">
      <c r="A56" s="505">
        <v>6</v>
      </c>
      <c r="B56" s="505" t="s">
        <v>870</v>
      </c>
      <c r="D56" s="522"/>
    </row>
    <row r="57" spans="1:9">
      <c r="A57" s="505">
        <v>7</v>
      </c>
      <c r="B57" s="520" t="s">
        <v>906</v>
      </c>
      <c r="D57" s="522"/>
    </row>
    <row r="58" spans="1:9">
      <c r="A58" s="505">
        <v>8</v>
      </c>
      <c r="B58" s="520" t="s">
        <v>869</v>
      </c>
      <c r="D58" s="522"/>
    </row>
    <row r="59" spans="1:9">
      <c r="A59" s="505">
        <v>9</v>
      </c>
      <c r="B59" s="520" t="s">
        <v>868</v>
      </c>
      <c r="D59" s="522"/>
    </row>
    <row r="60" spans="1:9">
      <c r="D60" s="522"/>
    </row>
    <row r="61" spans="1:9" ht="16.5" thickBot="1">
      <c r="A61" s="505" t="s">
        <v>867</v>
      </c>
      <c r="D61" s="522"/>
    </row>
    <row r="62" spans="1:9" ht="16.5" thickBot="1">
      <c r="B62" s="36">
        <v>0.59899999999999998</v>
      </c>
      <c r="D62" s="522"/>
      <c r="I62" s="526"/>
    </row>
    <row r="63" spans="1:9">
      <c r="D63" s="522"/>
    </row>
    <row r="64" spans="1:9" ht="16.5" thickBot="1">
      <c r="A64" s="505" t="s">
        <v>866</v>
      </c>
      <c r="D64" s="522"/>
    </row>
    <row r="65" spans="1:16" ht="16.5" thickBot="1">
      <c r="B65" s="37">
        <v>8</v>
      </c>
      <c r="D65" s="522"/>
    </row>
    <row r="66" spans="1:16">
      <c r="D66" s="522"/>
    </row>
    <row r="67" spans="1:16" ht="16.5" thickBot="1">
      <c r="A67" s="505" t="s">
        <v>865</v>
      </c>
      <c r="D67" s="522"/>
    </row>
    <row r="68" spans="1:16" ht="16.5" thickBot="1">
      <c r="B68" s="37">
        <v>140</v>
      </c>
      <c r="D68" s="522"/>
    </row>
    <row r="69" spans="1:16">
      <c r="D69" s="522"/>
    </row>
    <row r="71" spans="1:16" s="365" customFormat="1" ht="12.75">
      <c r="A71" s="369"/>
      <c r="B71" s="538"/>
      <c r="C71" s="628"/>
      <c r="D71" s="628"/>
      <c r="E71" s="366"/>
      <c r="F71" s="366"/>
      <c r="O71" s="527"/>
      <c r="P71" s="527"/>
    </row>
    <row r="72" spans="1:16" s="532" customFormat="1" ht="25.5">
      <c r="A72" s="528"/>
      <c r="B72" s="529" t="s">
        <v>321</v>
      </c>
      <c r="C72" s="530" t="s">
        <v>322</v>
      </c>
      <c r="D72" s="530" t="s">
        <v>323</v>
      </c>
      <c r="E72" s="629" t="s">
        <v>244</v>
      </c>
      <c r="F72" s="531"/>
      <c r="G72" s="369"/>
      <c r="O72" s="533"/>
      <c r="P72" s="533"/>
    </row>
    <row r="73" spans="1:16" s="365" customFormat="1" ht="13.5" thickBot="1">
      <c r="A73" s="369"/>
      <c r="B73" s="534">
        <v>1</v>
      </c>
      <c r="C73" s="535">
        <v>1</v>
      </c>
      <c r="D73" s="940">
        <v>5</v>
      </c>
      <c r="E73" s="366"/>
      <c r="F73" s="366"/>
      <c r="O73" s="527"/>
      <c r="P73" s="527"/>
    </row>
    <row r="74" spans="1:16" s="365" customFormat="1" ht="13.5" thickBot="1">
      <c r="A74" s="369"/>
      <c r="B74" s="534">
        <v>2</v>
      </c>
      <c r="C74" s="535">
        <v>0.69951923076923073</v>
      </c>
      <c r="D74" s="940">
        <v>99.994639400684207</v>
      </c>
      <c r="E74" s="6">
        <f>(C74-C73)/C73</f>
        <v>-0.30048076923076927</v>
      </c>
      <c r="F74" s="366"/>
      <c r="O74" s="527"/>
      <c r="P74" s="527"/>
    </row>
    <row r="75" spans="1:16" s="365" customFormat="1" ht="13.5" thickBot="1">
      <c r="A75" s="369"/>
      <c r="B75" s="534">
        <v>3</v>
      </c>
      <c r="C75" s="535">
        <v>0.62980769230769229</v>
      </c>
      <c r="D75" s="940">
        <v>119.95229698502378</v>
      </c>
      <c r="E75" s="6">
        <f t="shared" ref="E75:E108" si="0">(C75-C74)/C74</f>
        <v>-9.9656357388316116E-2</v>
      </c>
      <c r="F75" s="366"/>
      <c r="O75" s="527"/>
      <c r="P75" s="527"/>
    </row>
    <row r="76" spans="1:16" s="365" customFormat="1" ht="13.5" thickBot="1">
      <c r="A76" s="369"/>
      <c r="B76" s="534">
        <v>4</v>
      </c>
      <c r="C76" s="535">
        <v>0.59615384615384615</v>
      </c>
      <c r="D76" s="940">
        <v>140.16819482192568</v>
      </c>
      <c r="E76" s="6">
        <f t="shared" si="0"/>
        <v>-5.3435114503816779E-2</v>
      </c>
      <c r="F76" s="366"/>
      <c r="O76" s="527"/>
      <c r="P76" s="527"/>
    </row>
    <row r="77" spans="1:16" s="365" customFormat="1" ht="13.5" thickBot="1">
      <c r="A77" s="369"/>
      <c r="B77" s="534">
        <v>5</v>
      </c>
      <c r="C77" s="535">
        <v>0.56370192307692313</v>
      </c>
      <c r="D77" s="940">
        <v>140.07297673165999</v>
      </c>
      <c r="E77" s="6">
        <f t="shared" si="0"/>
        <v>-5.4435483870967645E-2</v>
      </c>
      <c r="F77" s="366"/>
      <c r="O77" s="527"/>
      <c r="P77" s="527"/>
    </row>
    <row r="78" spans="1:16" s="365" customFormat="1" ht="13.5" thickBot="1">
      <c r="A78" s="369"/>
      <c r="B78" s="534">
        <v>6</v>
      </c>
      <c r="C78" s="535">
        <v>0.53725961538461542</v>
      </c>
      <c r="D78" s="940">
        <v>140.02764704616243</v>
      </c>
      <c r="E78" s="6">
        <f t="shared" si="0"/>
        <v>-4.6908315565032006E-2</v>
      </c>
      <c r="F78" s="366"/>
      <c r="O78" s="527"/>
      <c r="P78" s="527"/>
    </row>
    <row r="79" spans="1:16" s="365" customFormat="1" ht="13.5" thickBot="1">
      <c r="A79" s="369"/>
      <c r="B79" s="534">
        <v>7</v>
      </c>
      <c r="C79" s="535">
        <v>0.51322115384615385</v>
      </c>
      <c r="D79" s="940">
        <v>139.84904580297516</v>
      </c>
      <c r="E79" s="6">
        <f t="shared" si="0"/>
        <v>-4.474272930648774E-2</v>
      </c>
      <c r="F79" s="366"/>
      <c r="O79" s="527"/>
      <c r="P79" s="527"/>
    </row>
    <row r="80" spans="1:16" s="365" customFormat="1" ht="13.5" thickBot="1">
      <c r="A80" s="369"/>
      <c r="B80" s="534">
        <v>8</v>
      </c>
      <c r="C80" s="535">
        <v>0.48918269230769229</v>
      </c>
      <c r="D80" s="940">
        <v>139.97570938503375</v>
      </c>
      <c r="E80" s="6">
        <f t="shared" si="0"/>
        <v>-4.6838407494145251E-2</v>
      </c>
      <c r="F80" s="366"/>
      <c r="O80" s="527"/>
      <c r="P80" s="527"/>
    </row>
    <row r="81" spans="1:16" s="365" customFormat="1" ht="13.5" thickBot="1">
      <c r="A81" s="369"/>
      <c r="B81" s="534">
        <v>9</v>
      </c>
      <c r="C81" s="535">
        <v>0.46213942307692307</v>
      </c>
      <c r="D81" s="940">
        <v>139.80889088379536</v>
      </c>
      <c r="E81" s="6">
        <f t="shared" si="0"/>
        <v>-5.5282555282555261E-2</v>
      </c>
      <c r="F81" s="366"/>
      <c r="O81" s="527"/>
      <c r="P81" s="527"/>
    </row>
    <row r="82" spans="1:16" s="365" customFormat="1" ht="13.5" thickBot="1">
      <c r="A82" s="369"/>
      <c r="B82" s="534">
        <v>10</v>
      </c>
      <c r="C82" s="535">
        <v>0.43169711538461503</v>
      </c>
      <c r="D82" s="940">
        <v>140.01238329824051</v>
      </c>
      <c r="E82" s="6">
        <f t="shared" si="0"/>
        <v>-6.5872561768531332E-2</v>
      </c>
      <c r="F82" s="366"/>
      <c r="O82" s="527"/>
      <c r="P82" s="527"/>
    </row>
    <row r="83" spans="1:16" s="365" customFormat="1" ht="13.5" thickBot="1">
      <c r="A83" s="369"/>
      <c r="B83" s="534">
        <v>11</v>
      </c>
      <c r="C83" s="535">
        <v>0.41186538461538502</v>
      </c>
      <c r="D83" s="940">
        <v>140.20042769940588</v>
      </c>
      <c r="E83" s="6">
        <f t="shared" si="0"/>
        <v>-4.5938993017271328E-2</v>
      </c>
      <c r="F83" s="366"/>
      <c r="O83" s="527"/>
      <c r="P83" s="527"/>
    </row>
    <row r="84" spans="1:16" s="365" customFormat="1" ht="13.5" thickBot="1">
      <c r="A84" s="369"/>
      <c r="B84" s="534">
        <v>12</v>
      </c>
      <c r="C84" s="535">
        <v>0.39663461538461536</v>
      </c>
      <c r="D84" s="940">
        <v>139.85190482499834</v>
      </c>
      <c r="E84" s="6">
        <f t="shared" si="0"/>
        <v>-3.6979969183360016E-2</v>
      </c>
      <c r="F84" s="366"/>
      <c r="O84" s="527"/>
      <c r="P84" s="527"/>
    </row>
    <row r="85" spans="1:16" s="365" customFormat="1" ht="13.5" thickBot="1">
      <c r="A85" s="369"/>
      <c r="B85" s="534">
        <v>13</v>
      </c>
      <c r="C85" s="535">
        <v>0.38040865384615385</v>
      </c>
      <c r="D85" s="940">
        <v>139.98169095549918</v>
      </c>
      <c r="E85" s="6">
        <f t="shared" si="0"/>
        <v>-4.0909090909090833E-2</v>
      </c>
      <c r="F85" s="366"/>
      <c r="O85" s="527"/>
      <c r="P85" s="527"/>
    </row>
    <row r="86" spans="1:16" s="365" customFormat="1" ht="13.5" thickBot="1">
      <c r="A86" s="369"/>
      <c r="B86" s="534">
        <v>14</v>
      </c>
      <c r="C86" s="535">
        <v>0.35817307692307693</v>
      </c>
      <c r="D86" s="940">
        <v>140.02100494251127</v>
      </c>
      <c r="E86" s="6">
        <f t="shared" si="0"/>
        <v>-5.8451816745655617E-2</v>
      </c>
      <c r="F86" s="366"/>
      <c r="O86" s="527"/>
      <c r="P86" s="527"/>
    </row>
    <row r="87" spans="1:16" s="365" customFormat="1" ht="13.5" thickBot="1">
      <c r="A87" s="369"/>
      <c r="B87" s="534">
        <v>15</v>
      </c>
      <c r="C87" s="535">
        <v>0.33713942307692307</v>
      </c>
      <c r="D87" s="940">
        <v>139.87231167720418</v>
      </c>
      <c r="E87" s="6">
        <f t="shared" si="0"/>
        <v>-5.8724832214765127E-2</v>
      </c>
      <c r="F87" s="366"/>
      <c r="O87" s="527"/>
      <c r="P87" s="527"/>
    </row>
    <row r="88" spans="1:16" s="365" customFormat="1" ht="13.5" thickBot="1">
      <c r="A88" s="369"/>
      <c r="B88" s="534">
        <v>16</v>
      </c>
      <c r="C88" s="535">
        <v>0.31971153846153844</v>
      </c>
      <c r="D88" s="940">
        <v>140.11226709143378</v>
      </c>
      <c r="E88" s="6">
        <f t="shared" si="0"/>
        <v>-5.1693404634581171E-2</v>
      </c>
      <c r="F88" s="366"/>
      <c r="O88" s="527"/>
      <c r="P88" s="527"/>
    </row>
    <row r="89" spans="1:16" s="365" customFormat="1" ht="13.5" thickBot="1">
      <c r="A89" s="369"/>
      <c r="B89" s="534">
        <v>17</v>
      </c>
      <c r="C89" s="535">
        <v>0.30288461538461536</v>
      </c>
      <c r="D89" s="940">
        <v>140.07351086525514</v>
      </c>
      <c r="E89" s="6">
        <f t="shared" si="0"/>
        <v>-5.2631578947368411E-2</v>
      </c>
      <c r="F89" s="366"/>
      <c r="O89" s="527"/>
      <c r="P89" s="527"/>
    </row>
    <row r="90" spans="1:16" s="365" customFormat="1" ht="13.5" thickBot="1">
      <c r="A90" s="369"/>
      <c r="B90" s="534">
        <v>18</v>
      </c>
      <c r="C90" s="535">
        <v>0.29086538461538464</v>
      </c>
      <c r="D90" s="940">
        <v>140.01330754472616</v>
      </c>
      <c r="E90" s="6">
        <f t="shared" si="0"/>
        <v>-3.9682539682539542E-2</v>
      </c>
      <c r="F90" s="366"/>
      <c r="O90" s="527"/>
      <c r="P90" s="527"/>
    </row>
    <row r="91" spans="1:16" s="365" customFormat="1" ht="13.5" thickBot="1">
      <c r="A91" s="369"/>
      <c r="B91" s="534">
        <v>19</v>
      </c>
      <c r="C91" s="535">
        <v>0.27124038461538502</v>
      </c>
      <c r="D91" s="940">
        <v>140.08689272070859</v>
      </c>
      <c r="E91" s="6">
        <f t="shared" si="0"/>
        <v>-6.7471074380163962E-2</v>
      </c>
      <c r="F91" s="366"/>
      <c r="O91" s="527"/>
      <c r="P91" s="527"/>
    </row>
    <row r="92" spans="1:16" s="365" customFormat="1" ht="13.5" thickBot="1">
      <c r="A92" s="369"/>
      <c r="B92" s="534">
        <v>20</v>
      </c>
      <c r="C92" s="535">
        <v>0.26201923076923078</v>
      </c>
      <c r="D92" s="940">
        <v>140.31407863247023</v>
      </c>
      <c r="E92" s="6">
        <f t="shared" si="0"/>
        <v>-3.3996242334008275E-2</v>
      </c>
      <c r="F92" s="366"/>
      <c r="O92" s="527"/>
      <c r="P92" s="527"/>
    </row>
    <row r="93" spans="1:16" s="365" customFormat="1" ht="13.5" thickBot="1">
      <c r="A93" s="369"/>
      <c r="B93" s="534">
        <v>21</v>
      </c>
      <c r="C93" s="535">
        <v>0.24699519230769232</v>
      </c>
      <c r="D93" s="940">
        <v>139.71652681802664</v>
      </c>
      <c r="E93" s="6">
        <f t="shared" si="0"/>
        <v>-5.7339449541284407E-2</v>
      </c>
      <c r="F93" s="366"/>
      <c r="O93" s="527"/>
      <c r="P93" s="527"/>
    </row>
    <row r="94" spans="1:16" s="365" customFormat="1" ht="13.5" thickBot="1">
      <c r="A94" s="369"/>
      <c r="B94" s="534">
        <v>22</v>
      </c>
      <c r="C94" s="535">
        <v>0.23157692307692301</v>
      </c>
      <c r="D94" s="940">
        <v>139.81612674633189</v>
      </c>
      <c r="E94" s="6">
        <f t="shared" si="0"/>
        <v>-6.2423357664233875E-2</v>
      </c>
      <c r="F94" s="366"/>
      <c r="O94" s="527"/>
      <c r="P94" s="527"/>
    </row>
    <row r="95" spans="1:16" s="365" customFormat="1" ht="13.5" thickBot="1">
      <c r="A95" s="369"/>
      <c r="B95" s="534">
        <v>23</v>
      </c>
      <c r="C95" s="535">
        <v>0.23137019230769232</v>
      </c>
      <c r="D95" s="940">
        <v>140.07810011138872</v>
      </c>
      <c r="E95" s="6">
        <f t="shared" si="0"/>
        <v>-8.927088523497886E-4</v>
      </c>
      <c r="F95" s="366"/>
      <c r="O95" s="527"/>
      <c r="P95" s="527"/>
    </row>
    <row r="96" spans="1:16" s="365" customFormat="1" ht="13.5" thickBot="1">
      <c r="A96" s="369"/>
      <c r="B96" s="534">
        <v>24</v>
      </c>
      <c r="C96" s="535">
        <v>0.22235576923076922</v>
      </c>
      <c r="D96" s="940">
        <v>140.00973194083517</v>
      </c>
      <c r="E96" s="6">
        <f t="shared" si="0"/>
        <v>-3.8961038961039057E-2</v>
      </c>
      <c r="F96" s="366"/>
      <c r="O96" s="527"/>
      <c r="P96" s="527"/>
    </row>
    <row r="97" spans="1:16" s="365" customFormat="1" ht="13.5" thickBot="1">
      <c r="A97" s="369"/>
      <c r="B97" s="534">
        <v>25</v>
      </c>
      <c r="C97" s="535">
        <v>0.20973557692307693</v>
      </c>
      <c r="D97" s="940">
        <v>139.81546967127318</v>
      </c>
      <c r="E97" s="6">
        <f t="shared" si="0"/>
        <v>-5.6756756756756684E-2</v>
      </c>
      <c r="F97" s="366"/>
      <c r="O97" s="527"/>
      <c r="P97" s="527"/>
    </row>
    <row r="98" spans="1:16" s="365" customFormat="1" ht="13.5" thickBot="1">
      <c r="A98" s="369"/>
      <c r="B98" s="534">
        <v>26</v>
      </c>
      <c r="C98" s="535">
        <v>0.19891826923076922</v>
      </c>
      <c r="D98" s="940">
        <v>140.1162052958137</v>
      </c>
      <c r="E98" s="6">
        <f t="shared" si="0"/>
        <v>-5.1575931232091768E-2</v>
      </c>
      <c r="F98" s="366"/>
      <c r="O98" s="527"/>
      <c r="P98" s="527"/>
    </row>
    <row r="99" spans="1:16" s="365" customFormat="1" ht="13.5" thickBot="1">
      <c r="A99" s="369"/>
      <c r="B99" s="534">
        <v>27</v>
      </c>
      <c r="C99" s="535">
        <v>0.18870192307692307</v>
      </c>
      <c r="D99" s="940">
        <v>139.97063793574532</v>
      </c>
      <c r="E99" s="6">
        <f t="shared" si="0"/>
        <v>-5.135951661631416E-2</v>
      </c>
      <c r="F99" s="366"/>
      <c r="O99" s="527"/>
      <c r="P99" s="527"/>
    </row>
    <row r="100" spans="1:16" s="365" customFormat="1" ht="13.5" thickBot="1">
      <c r="A100" s="369"/>
      <c r="B100" s="534">
        <v>28</v>
      </c>
      <c r="C100" s="535">
        <v>0.17487980769230768</v>
      </c>
      <c r="D100" s="940">
        <v>140.46339627541266</v>
      </c>
      <c r="E100" s="6">
        <f t="shared" si="0"/>
        <v>-7.3248407643312141E-2</v>
      </c>
      <c r="F100" s="366"/>
      <c r="G100" s="369"/>
      <c r="O100" s="527"/>
      <c r="P100" s="527"/>
    </row>
    <row r="101" spans="1:16" s="365" customFormat="1" ht="13.5" thickBot="1">
      <c r="A101" s="369"/>
      <c r="B101" s="534">
        <v>29</v>
      </c>
      <c r="C101" s="535">
        <v>0.17007211538461539</v>
      </c>
      <c r="D101" s="940">
        <v>140.07942898830416</v>
      </c>
      <c r="E101" s="6">
        <f t="shared" si="0"/>
        <v>-2.7491408934707806E-2</v>
      </c>
      <c r="F101" s="366"/>
      <c r="O101" s="527"/>
      <c r="P101" s="527"/>
    </row>
    <row r="102" spans="1:16" s="365" customFormat="1" ht="13.5" thickBot="1">
      <c r="A102" s="369"/>
      <c r="B102" s="534">
        <v>30</v>
      </c>
      <c r="C102" s="535">
        <v>0.16045673076923078</v>
      </c>
      <c r="D102" s="940">
        <v>139.92651525659917</v>
      </c>
      <c r="E102" s="6">
        <f t="shared" si="0"/>
        <v>-5.6537102473498191E-2</v>
      </c>
      <c r="F102" s="366"/>
      <c r="O102" s="527"/>
      <c r="P102" s="527"/>
    </row>
    <row r="103" spans="1:16" s="365" customFormat="1" ht="13.5" thickBot="1">
      <c r="A103" s="369"/>
      <c r="B103" s="534">
        <v>31</v>
      </c>
      <c r="C103" s="535">
        <v>0.15204326923076922</v>
      </c>
      <c r="D103" s="940">
        <v>140.12985265048349</v>
      </c>
      <c r="E103" s="6">
        <f t="shared" si="0"/>
        <v>-5.2434456928839107E-2</v>
      </c>
      <c r="F103" s="366"/>
      <c r="O103" s="527"/>
      <c r="P103" s="527"/>
    </row>
    <row r="104" spans="1:16" s="365" customFormat="1" ht="13.5" thickBot="1">
      <c r="A104" s="369"/>
      <c r="B104" s="534">
        <v>32</v>
      </c>
      <c r="C104" s="535">
        <v>0.14603365384615385</v>
      </c>
      <c r="D104" s="940">
        <v>140.09862118875594</v>
      </c>
      <c r="E104" s="6">
        <f t="shared" si="0"/>
        <v>-3.9525691699604605E-2</v>
      </c>
      <c r="F104" s="366"/>
      <c r="O104" s="527"/>
      <c r="P104" s="527"/>
    </row>
    <row r="105" spans="1:16" s="365" customFormat="1" ht="13.5" thickBot="1">
      <c r="A105" s="369"/>
      <c r="B105" s="534">
        <v>33</v>
      </c>
      <c r="C105" s="535">
        <v>0.13701923076923078</v>
      </c>
      <c r="D105" s="940">
        <v>140.12333479402054</v>
      </c>
      <c r="E105" s="6">
        <f t="shared" si="0"/>
        <v>-6.1728395061728364E-2</v>
      </c>
      <c r="F105" s="366"/>
      <c r="O105" s="527"/>
      <c r="P105" s="527"/>
    </row>
    <row r="106" spans="1:16" s="365" customFormat="1" ht="13.5" thickBot="1">
      <c r="A106" s="369"/>
      <c r="B106" s="534">
        <v>34</v>
      </c>
      <c r="C106" s="535">
        <v>0.12980769230769232</v>
      </c>
      <c r="D106" s="940">
        <v>140.2604759245541</v>
      </c>
      <c r="E106" s="6">
        <f t="shared" si="0"/>
        <v>-5.2631578947368432E-2</v>
      </c>
      <c r="F106" s="366"/>
      <c r="O106" s="527"/>
      <c r="P106" s="527"/>
    </row>
    <row r="107" spans="1:16" s="365" customFormat="1" ht="13.5" thickBot="1">
      <c r="A107" s="369"/>
      <c r="B107" s="534">
        <v>35</v>
      </c>
      <c r="C107" s="535">
        <v>0.12379807692307693</v>
      </c>
      <c r="D107" s="940">
        <v>139.13203083083999</v>
      </c>
      <c r="E107" s="6">
        <f t="shared" si="0"/>
        <v>-4.6296296296296342E-2</v>
      </c>
      <c r="F107" s="366"/>
      <c r="O107" s="527"/>
      <c r="P107" s="527"/>
    </row>
    <row r="108" spans="1:16" s="365" customFormat="1" ht="13.5" thickBot="1">
      <c r="A108" s="369"/>
      <c r="B108" s="536">
        <v>36</v>
      </c>
      <c r="C108" s="537">
        <v>0.11838942307692307</v>
      </c>
      <c r="D108" s="941">
        <v>140.109751418174</v>
      </c>
      <c r="E108" s="6">
        <f t="shared" si="0"/>
        <v>-4.3689320388349585E-2</v>
      </c>
      <c r="F108" s="366"/>
      <c r="O108" s="527"/>
      <c r="P108" s="527"/>
    </row>
    <row r="109" spans="1:16" s="365" customFormat="1" ht="12.75">
      <c r="A109" s="369"/>
      <c r="C109" s="366"/>
      <c r="D109" s="366"/>
      <c r="E109" s="366"/>
      <c r="F109" s="366"/>
      <c r="O109" s="527"/>
      <c r="P109" s="527"/>
    </row>
    <row r="110" spans="1:16" s="365" customFormat="1" ht="12.75">
      <c r="A110" s="538" t="s">
        <v>368</v>
      </c>
      <c r="C110" s="366"/>
      <c r="D110" s="366"/>
      <c r="E110" s="366"/>
      <c r="F110" s="366"/>
      <c r="O110" s="527"/>
      <c r="P110" s="527"/>
    </row>
    <row r="111" spans="1:16" s="365" customFormat="1" ht="12.75">
      <c r="A111" s="369" t="s">
        <v>403</v>
      </c>
      <c r="C111" s="366"/>
      <c r="D111" s="366"/>
      <c r="E111" s="366"/>
      <c r="F111" s="366"/>
      <c r="O111" s="527"/>
      <c r="P111" s="527"/>
    </row>
    <row r="112" spans="1:16" s="365" customFormat="1" ht="12.75">
      <c r="A112" s="369" t="s">
        <v>328</v>
      </c>
      <c r="C112" s="366"/>
      <c r="D112" s="366"/>
      <c r="E112" s="366"/>
      <c r="F112" s="366"/>
      <c r="O112" s="527"/>
      <c r="P112" s="527"/>
    </row>
    <row r="113" spans="1:16" s="365" customFormat="1" ht="15.95" customHeight="1">
      <c r="A113" s="369"/>
      <c r="B113" s="539" t="s">
        <v>329</v>
      </c>
      <c r="C113" s="366"/>
      <c r="D113" s="1070" t="s">
        <v>369</v>
      </c>
      <c r="E113" s="1070"/>
      <c r="F113" s="1070"/>
      <c r="L113" s="527"/>
      <c r="M113" s="527"/>
    </row>
    <row r="114" spans="1:16" s="2" customFormat="1" ht="12.75">
      <c r="B114" s="540" t="s">
        <v>327</v>
      </c>
      <c r="C114" s="417"/>
      <c r="D114" s="417"/>
      <c r="E114" s="21">
        <v>5</v>
      </c>
      <c r="G114" s="18"/>
      <c r="H114" s="18"/>
      <c r="I114" s="18"/>
      <c r="L114" s="58"/>
      <c r="M114" s="58"/>
    </row>
    <row r="115" spans="1:16" s="365" customFormat="1" ht="12.75">
      <c r="B115" s="540" t="s">
        <v>324</v>
      </c>
      <c r="C115" s="366"/>
      <c r="D115" s="366"/>
      <c r="E115" s="541">
        <v>100</v>
      </c>
      <c r="L115" s="527"/>
      <c r="M115" s="527"/>
    </row>
    <row r="116" spans="1:16" s="365" customFormat="1" ht="12.75">
      <c r="B116" s="540" t="s">
        <v>325</v>
      </c>
      <c r="C116" s="366"/>
      <c r="D116" s="366"/>
      <c r="E116" s="541">
        <v>120</v>
      </c>
      <c r="L116" s="527"/>
      <c r="M116" s="527"/>
    </row>
    <row r="117" spans="1:16" s="365" customFormat="1" ht="12.75">
      <c r="B117" s="540" t="s">
        <v>326</v>
      </c>
      <c r="C117" s="20"/>
      <c r="D117" s="20"/>
      <c r="E117" s="542">
        <v>140</v>
      </c>
      <c r="L117" s="527"/>
      <c r="M117" s="527"/>
    </row>
    <row r="118" spans="1:16" s="365" customFormat="1" ht="12.75">
      <c r="B118" s="540"/>
      <c r="C118" s="20"/>
      <c r="D118" s="20"/>
      <c r="E118" s="366"/>
      <c r="F118" s="366"/>
      <c r="G118" s="369"/>
      <c r="H118" s="369"/>
      <c r="O118" s="527"/>
      <c r="P118" s="527"/>
    </row>
    <row r="119" spans="1:16" s="365" customFormat="1" ht="12.75">
      <c r="A119" s="538" t="s">
        <v>244</v>
      </c>
      <c r="B119" s="540"/>
      <c r="C119" s="20"/>
      <c r="D119" s="20"/>
      <c r="E119" s="366"/>
      <c r="F119" s="366"/>
      <c r="G119" s="369"/>
      <c r="H119" s="369"/>
      <c r="O119" s="527"/>
      <c r="P119" s="527"/>
    </row>
    <row r="120" spans="1:16" s="365" customFormat="1" ht="12.75">
      <c r="A120" s="369" t="s">
        <v>275</v>
      </c>
      <c r="B120" s="369"/>
      <c r="C120" s="366"/>
      <c r="D120" s="366"/>
      <c r="E120" s="366"/>
      <c r="F120" s="366"/>
      <c r="H120" s="543"/>
      <c r="O120" s="527"/>
      <c r="P120" s="527"/>
    </row>
    <row r="121" spans="1:16" s="365" customFormat="1" ht="12.75">
      <c r="A121" s="369" t="str">
        <f>"In the green boxes in Column "&amp;INDEX(Column,2,COLUMN(E121))&amp;" above, calculate the change in Column "&amp;INDEX(Column,2,COLUMN(C121))&amp;" (the percent of customers retained that month) from the same value the previous month."</f>
        <v>In the green boxes in Column E above, calculate the change in Column C (the percent of customers retained that month) from the same value the previous month.</v>
      </c>
      <c r="B121" s="369"/>
      <c r="C121" s="366"/>
      <c r="D121" s="366"/>
      <c r="E121" s="366"/>
      <c r="F121" s="366"/>
      <c r="H121" s="543"/>
      <c r="O121" s="527"/>
      <c r="P121" s="527"/>
    </row>
    <row r="122" spans="1:16" s="365" customFormat="1" ht="12.75">
      <c r="A122" s="369" t="str">
        <f>"We can synthesize the churn of the dog food business you have calculated in Column "&amp;INDEX(Column,2,COLUMN(E122))&amp;" as follows:"</f>
        <v>We can synthesize the churn of the dog food business you have calculated in Column E as follows:</v>
      </c>
      <c r="C122" s="366"/>
      <c r="D122" s="366"/>
      <c r="E122" s="366"/>
      <c r="F122" s="366"/>
      <c r="H122" s="543"/>
      <c r="O122" s="527"/>
      <c r="P122" s="527"/>
    </row>
    <row r="123" spans="1:16" s="365" customFormat="1" ht="12.75">
      <c r="B123" s="544" t="s">
        <v>258</v>
      </c>
      <c r="C123" s="366"/>
      <c r="D123" s="366"/>
      <c r="E123" s="366"/>
      <c r="F123" s="366"/>
      <c r="H123" s="543"/>
      <c r="O123" s="527"/>
      <c r="P123" s="527"/>
    </row>
    <row r="124" spans="1:16" s="365" customFormat="1" ht="12.75">
      <c r="A124" s="545"/>
      <c r="B124" s="544" t="s">
        <v>276</v>
      </c>
      <c r="C124" s="366"/>
      <c r="D124" s="366"/>
      <c r="E124" s="366"/>
      <c r="F124" s="366"/>
      <c r="H124" s="543"/>
      <c r="O124" s="527"/>
      <c r="P124" s="527"/>
    </row>
    <row r="125" spans="1:16" s="365" customFormat="1" ht="12.75">
      <c r="A125" s="369"/>
      <c r="B125" s="544" t="s">
        <v>259</v>
      </c>
      <c r="C125" s="366"/>
      <c r="D125" s="366"/>
      <c r="E125" s="366"/>
      <c r="F125" s="366"/>
      <c r="G125" s="543"/>
      <c r="H125" s="543"/>
      <c r="O125" s="527"/>
      <c r="P125" s="527"/>
    </row>
    <row r="126" spans="1:16" s="365" customFormat="1" ht="12.75">
      <c r="A126" s="369" t="s">
        <v>907</v>
      </c>
      <c r="C126" s="366"/>
      <c r="D126" s="366"/>
      <c r="E126" s="366"/>
      <c r="F126" s="366"/>
      <c r="O126" s="527"/>
      <c r="P126" s="527"/>
    </row>
    <row r="127" spans="1:16" s="365" customFormat="1" ht="12.75">
      <c r="A127" s="369" t="s">
        <v>405</v>
      </c>
      <c r="C127" s="366"/>
      <c r="D127" s="366"/>
      <c r="E127" s="366"/>
      <c r="F127" s="366"/>
      <c r="O127" s="527"/>
      <c r="P127" s="527"/>
    </row>
    <row r="135" spans="4:4" ht="12.75">
      <c r="D135" s="505"/>
    </row>
    <row r="136" spans="4:4" ht="12.75">
      <c r="D136" s="505"/>
    </row>
  </sheetData>
  <sheetProtection algorithmName="SHA-512" hashValue="HrYUVLXDxOLFwG+7AxepabkEqdlBIdfMbq5Lq8YuEtvDpQbCecmEVMtQBWFqOsQby0YN1wdDB6kLLYOKqhu03g==" saltValue="jAScIOu/YyBeeOZSzYHhXw==" spinCount="100000" sheet="1" pivotTables="0"/>
  <mergeCells count="1">
    <mergeCell ref="D113:F11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7ABA-2F9F-054E-A400-DE856B182237}">
  <dimension ref="A1:BG20166"/>
  <sheetViews>
    <sheetView workbookViewId="0">
      <selection activeCell="A4" sqref="A4"/>
    </sheetView>
  </sheetViews>
  <sheetFormatPr defaultColWidth="9.625" defaultRowHeight="12.75"/>
  <cols>
    <col min="1" max="6" width="9.625" style="121"/>
    <col min="7" max="7" width="12.625" style="121" bestFit="1" customWidth="1"/>
    <col min="8" max="9" width="15.375" style="121" bestFit="1" customWidth="1"/>
    <col min="10" max="16384" width="9.625" style="121"/>
  </cols>
  <sheetData>
    <row r="1" spans="1:53" ht="18.75">
      <c r="A1" s="149" t="s">
        <v>1141</v>
      </c>
      <c r="E1" s="122"/>
      <c r="G1" s="123" t="s">
        <v>54</v>
      </c>
      <c r="H1" s="124"/>
      <c r="I1" s="124"/>
      <c r="N1" s="125"/>
    </row>
    <row r="2" spans="1:53" ht="15.75">
      <c r="A2" s="126" t="s">
        <v>895</v>
      </c>
      <c r="E2" s="122"/>
      <c r="G2" s="123"/>
      <c r="H2" s="124"/>
      <c r="I2" s="124"/>
      <c r="N2" s="125"/>
    </row>
    <row r="3" spans="1:53" ht="15.75">
      <c r="A3" s="2" t="s">
        <v>1146</v>
      </c>
      <c r="E3" s="122"/>
      <c r="G3" s="127"/>
      <c r="H3" s="124"/>
      <c r="I3" s="124"/>
      <c r="N3" s="125"/>
    </row>
    <row r="4" spans="1:53" ht="15.75">
      <c r="A4" s="128" t="str">
        <f ca="1">"Sheet: "&amp;MID(CELL("filename",A1),FIND("]",CELL("filename",A1))+1,255)</f>
        <v>Sheet: DATA Subscription Biz</v>
      </c>
      <c r="E4" s="122"/>
      <c r="G4" s="127"/>
      <c r="H4" s="124"/>
      <c r="I4" s="124"/>
      <c r="N4" s="125"/>
    </row>
    <row r="5" spans="1:53" ht="13.5" thickBot="1"/>
    <row r="6" spans="1:53">
      <c r="A6" s="129" t="s">
        <v>462</v>
      </c>
      <c r="B6" s="130"/>
      <c r="C6" s="130"/>
      <c r="D6" s="130"/>
      <c r="E6" s="130"/>
      <c r="F6" s="130"/>
      <c r="G6" s="130"/>
      <c r="H6" s="130"/>
      <c r="I6" s="130"/>
      <c r="J6" s="130"/>
      <c r="K6" s="131"/>
    </row>
    <row r="7" spans="1:53" s="133" customFormat="1" ht="13.5" thickBot="1">
      <c r="A7" s="683" t="str">
        <f ca="1">"This Sheet contains the Data and Workspace for the '"&amp;'DATA ANALYSIS Subscription Biz'!A4&amp;"' Sheet."</f>
        <v>This Sheet contains the Data and Workspace for the 'Sheet: DATA ANALYSIS Subscription Biz' Sheet.</v>
      </c>
      <c r="B7" s="684"/>
      <c r="C7" s="684"/>
      <c r="D7" s="684"/>
      <c r="E7" s="684"/>
      <c r="F7" s="685"/>
      <c r="G7" s="685"/>
      <c r="H7" s="685"/>
      <c r="I7" s="685"/>
      <c r="J7" s="685"/>
      <c r="K7" s="686"/>
      <c r="L7" s="132"/>
      <c r="M7" s="132"/>
    </row>
    <row r="9" spans="1:53" ht="15.75">
      <c r="B9" s="134" t="s">
        <v>899</v>
      </c>
      <c r="D9" s="135"/>
      <c r="G9" s="134" t="s">
        <v>898</v>
      </c>
    </row>
    <row r="10" spans="1:53" ht="15.75">
      <c r="D10" s="135"/>
      <c r="J10" s="136"/>
      <c r="K10" s="136"/>
    </row>
    <row r="11" spans="1:53" ht="15.75">
      <c r="B11" s="121" t="s">
        <v>897</v>
      </c>
      <c r="C11" s="121" t="s">
        <v>230</v>
      </c>
      <c r="D11" s="135" t="s">
        <v>896</v>
      </c>
      <c r="G11"/>
      <c r="H11"/>
      <c r="I11"/>
    </row>
    <row r="12" spans="1:53" ht="15.75">
      <c r="B12" s="121">
        <v>1</v>
      </c>
      <c r="C12" s="121">
        <v>1</v>
      </c>
      <c r="D12" s="734">
        <v>5</v>
      </c>
      <c r="E12" s="733"/>
      <c r="G12"/>
      <c r="H12"/>
      <c r="I12"/>
      <c r="J12" s="136"/>
    </row>
    <row r="13" spans="1:53" ht="15.75">
      <c r="B13" s="121">
        <v>2</v>
      </c>
      <c r="C13" s="121">
        <v>1</v>
      </c>
      <c r="D13" s="734">
        <v>5</v>
      </c>
      <c r="E13" s="733"/>
      <c r="G13"/>
      <c r="H13"/>
      <c r="I13"/>
      <c r="J13" s="627"/>
    </row>
    <row r="14" spans="1:53" ht="15.75">
      <c r="B14" s="121">
        <v>3</v>
      </c>
      <c r="C14" s="121">
        <v>1</v>
      </c>
      <c r="D14" s="734">
        <v>5</v>
      </c>
      <c r="E14" s="733"/>
      <c r="G14"/>
      <c r="H14"/>
      <c r="I14"/>
      <c r="J14"/>
      <c r="BA14" s="138"/>
    </row>
    <row r="15" spans="1:53" ht="15.75">
      <c r="B15" s="121">
        <v>3</v>
      </c>
      <c r="C15" s="121">
        <v>2</v>
      </c>
      <c r="D15" s="734">
        <v>103.31716905813491</v>
      </c>
      <c r="E15" s="733"/>
      <c r="G15"/>
      <c r="H15"/>
      <c r="I15"/>
      <c r="J15" s="136"/>
      <c r="BA15" s="138"/>
    </row>
    <row r="16" spans="1:53" ht="15.75">
      <c r="B16" s="121">
        <v>4</v>
      </c>
      <c r="C16" s="121">
        <v>1</v>
      </c>
      <c r="D16" s="734">
        <v>5</v>
      </c>
      <c r="E16" s="733"/>
      <c r="G16"/>
      <c r="H16"/>
      <c r="I16"/>
      <c r="J16" s="136"/>
      <c r="BA16" s="138"/>
    </row>
    <row r="17" spans="2:53" ht="15.75">
      <c r="B17" s="121">
        <v>4</v>
      </c>
      <c r="C17" s="121">
        <v>2</v>
      </c>
      <c r="D17" s="734">
        <v>98.090659132486465</v>
      </c>
      <c r="E17" s="733"/>
      <c r="G17"/>
      <c r="H17"/>
      <c r="I17"/>
      <c r="J17" s="136"/>
      <c r="BA17" s="138"/>
    </row>
    <row r="18" spans="2:53" ht="15.75">
      <c r="B18" s="121">
        <v>4</v>
      </c>
      <c r="C18" s="121">
        <v>3</v>
      </c>
      <c r="D18" s="734">
        <v>118.02617352901312</v>
      </c>
      <c r="E18" s="733"/>
      <c r="G18"/>
      <c r="H18"/>
      <c r="I18"/>
      <c r="J18" s="136"/>
      <c r="BA18" s="138"/>
    </row>
    <row r="19" spans="2:53" ht="15.75">
      <c r="B19" s="121">
        <v>5</v>
      </c>
      <c r="C19" s="121">
        <v>1</v>
      </c>
      <c r="D19" s="734">
        <v>5</v>
      </c>
      <c r="E19" s="733"/>
      <c r="G19"/>
      <c r="H19"/>
      <c r="I19"/>
      <c r="J19" s="136"/>
      <c r="BA19" s="138"/>
    </row>
    <row r="20" spans="2:53" ht="15.75">
      <c r="B20" s="121">
        <v>6</v>
      </c>
      <c r="C20" s="121">
        <v>1</v>
      </c>
      <c r="D20" s="734">
        <v>5</v>
      </c>
      <c r="E20" s="733"/>
      <c r="G20"/>
      <c r="H20"/>
      <c r="I20"/>
      <c r="J20" s="136"/>
      <c r="BA20" s="138"/>
    </row>
    <row r="21" spans="2:53" ht="15.75">
      <c r="B21" s="121">
        <v>7</v>
      </c>
      <c r="C21" s="121">
        <v>1</v>
      </c>
      <c r="D21" s="734">
        <v>5</v>
      </c>
      <c r="E21" s="733"/>
      <c r="G21"/>
      <c r="H21"/>
      <c r="I21"/>
      <c r="J21" s="136"/>
      <c r="BA21" s="138"/>
    </row>
    <row r="22" spans="2:53" ht="15.75">
      <c r="B22" s="121">
        <v>7</v>
      </c>
      <c r="C22" s="121">
        <v>2</v>
      </c>
      <c r="D22" s="734">
        <v>94.314693746184815</v>
      </c>
      <c r="E22" s="733"/>
      <c r="G22"/>
      <c r="H22"/>
      <c r="I22"/>
      <c r="J22" s="136"/>
      <c r="BA22" s="138"/>
    </row>
    <row r="23" spans="2:53" ht="15.75">
      <c r="B23" s="121">
        <v>7</v>
      </c>
      <c r="C23" s="121">
        <v>3</v>
      </c>
      <c r="D23" s="734">
        <v>114.02858445197934</v>
      </c>
      <c r="E23" s="733"/>
      <c r="G23"/>
      <c r="H23"/>
      <c r="I23"/>
      <c r="J23" s="136"/>
      <c r="BA23" s="138"/>
    </row>
    <row r="24" spans="2:53" ht="15.75">
      <c r="B24" s="121">
        <v>7</v>
      </c>
      <c r="C24" s="121">
        <v>4</v>
      </c>
      <c r="D24" s="734">
        <v>138.74484026168352</v>
      </c>
      <c r="E24" s="733"/>
      <c r="G24"/>
      <c r="H24"/>
      <c r="I24"/>
      <c r="J24" s="136"/>
      <c r="BA24" s="138"/>
    </row>
    <row r="25" spans="2:53" ht="15.75">
      <c r="B25" s="121">
        <v>7</v>
      </c>
      <c r="C25" s="121">
        <v>5</v>
      </c>
      <c r="D25" s="734">
        <v>137.29816488367217</v>
      </c>
      <c r="E25" s="733"/>
      <c r="G25"/>
      <c r="H25"/>
      <c r="I25"/>
      <c r="J25" s="136"/>
      <c r="BA25" s="138"/>
    </row>
    <row r="26" spans="2:53" ht="15.75">
      <c r="B26" s="121">
        <v>8</v>
      </c>
      <c r="C26" s="121">
        <v>1</v>
      </c>
      <c r="D26" s="734">
        <v>5</v>
      </c>
      <c r="E26" s="733"/>
      <c r="G26"/>
      <c r="H26"/>
      <c r="I26"/>
      <c r="J26" s="136"/>
      <c r="BA26" s="138"/>
    </row>
    <row r="27" spans="2:53" ht="15.75">
      <c r="B27" s="121">
        <v>8</v>
      </c>
      <c r="C27" s="121">
        <v>2</v>
      </c>
      <c r="D27" s="734">
        <v>101.01069490236945</v>
      </c>
      <c r="E27" s="733"/>
      <c r="G27"/>
      <c r="H27"/>
      <c r="I27"/>
      <c r="J27" s="136"/>
      <c r="BA27" s="138"/>
    </row>
    <row r="28" spans="2:53" ht="15.75">
      <c r="B28" s="121">
        <v>9</v>
      </c>
      <c r="C28" s="121">
        <v>1</v>
      </c>
      <c r="D28" s="734">
        <v>5</v>
      </c>
      <c r="E28" s="733"/>
      <c r="G28"/>
      <c r="H28"/>
      <c r="I28"/>
      <c r="J28" s="136"/>
      <c r="BA28" s="138"/>
    </row>
    <row r="29" spans="2:53" ht="15.75">
      <c r="B29" s="121">
        <v>9</v>
      </c>
      <c r="C29" s="121">
        <v>2</v>
      </c>
      <c r="D29" s="734">
        <v>100.96129080212997</v>
      </c>
      <c r="E29" s="733"/>
      <c r="G29"/>
      <c r="H29"/>
      <c r="I29" s="136"/>
      <c r="J29" s="136"/>
      <c r="BA29" s="138"/>
    </row>
    <row r="30" spans="2:53" ht="15.75">
      <c r="B30" s="121">
        <v>9</v>
      </c>
      <c r="C30" s="121">
        <v>3</v>
      </c>
      <c r="D30" s="734">
        <v>124.66165514429159</v>
      </c>
      <c r="E30" s="733"/>
      <c r="G30"/>
      <c r="H30"/>
      <c r="I30" s="136"/>
      <c r="J30" s="136"/>
      <c r="BA30" s="138"/>
    </row>
    <row r="31" spans="2:53" ht="15.75">
      <c r="B31" s="121">
        <v>9</v>
      </c>
      <c r="C31" s="121">
        <v>4</v>
      </c>
      <c r="D31" s="734">
        <v>143.98624457820918</v>
      </c>
      <c r="E31" s="733"/>
      <c r="G31"/>
      <c r="H31"/>
      <c r="I31" s="136"/>
      <c r="J31" s="136"/>
      <c r="BA31" s="138"/>
    </row>
    <row r="32" spans="2:53" ht="15.75">
      <c r="B32" s="121">
        <v>10</v>
      </c>
      <c r="C32" s="121">
        <v>1</v>
      </c>
      <c r="D32" s="734">
        <v>5</v>
      </c>
      <c r="E32" s="733"/>
      <c r="G32"/>
      <c r="H32"/>
      <c r="I32" s="136"/>
      <c r="J32" s="136"/>
      <c r="BA32" s="138"/>
    </row>
    <row r="33" spans="2:59" ht="15.75">
      <c r="B33" s="121">
        <v>11</v>
      </c>
      <c r="C33" s="121">
        <v>1</v>
      </c>
      <c r="D33" s="734">
        <v>5</v>
      </c>
      <c r="E33" s="733"/>
      <c r="G33"/>
      <c r="H33"/>
      <c r="I33" s="136"/>
      <c r="J33" s="136"/>
      <c r="BA33" s="138"/>
    </row>
    <row r="34" spans="2:59" ht="15.75">
      <c r="B34" s="121">
        <v>11</v>
      </c>
      <c r="C34" s="121">
        <v>2</v>
      </c>
      <c r="D34" s="734">
        <v>98.329320185737231</v>
      </c>
      <c r="E34" s="733"/>
      <c r="G34"/>
      <c r="H34"/>
      <c r="I34" s="136"/>
      <c r="J34" s="136"/>
      <c r="BA34" s="138"/>
    </row>
    <row r="35" spans="2:59" ht="15.75">
      <c r="B35" s="121">
        <v>11</v>
      </c>
      <c r="C35" s="121">
        <v>3</v>
      </c>
      <c r="D35" s="734">
        <v>118.18781908334083</v>
      </c>
      <c r="E35" s="733"/>
      <c r="G35"/>
      <c r="H35"/>
      <c r="I35" s="136"/>
      <c r="J35" s="136"/>
      <c r="BA35" s="138"/>
    </row>
    <row r="36" spans="2:59" ht="15.75">
      <c r="B36" s="121">
        <v>11</v>
      </c>
      <c r="C36" s="121">
        <v>4</v>
      </c>
      <c r="D36" s="734">
        <v>146.55088945469817</v>
      </c>
      <c r="E36" s="733"/>
      <c r="G36"/>
      <c r="H36"/>
      <c r="I36" s="136"/>
      <c r="J36" s="136"/>
      <c r="BA36" s="138"/>
      <c r="BC36" s="139"/>
      <c r="BD36" s="139"/>
    </row>
    <row r="37" spans="2:59" ht="15.75">
      <c r="B37" s="121">
        <v>11</v>
      </c>
      <c r="C37" s="121">
        <v>5</v>
      </c>
      <c r="D37" s="734">
        <v>142.88730118962425</v>
      </c>
      <c r="E37" s="733"/>
      <c r="G37"/>
      <c r="H37"/>
      <c r="I37" s="136"/>
      <c r="J37" s="136"/>
      <c r="BA37" s="138"/>
      <c r="BC37" s="139"/>
      <c r="BD37" s="139"/>
    </row>
    <row r="38" spans="2:59" ht="15.75">
      <c r="B38" s="121">
        <v>11</v>
      </c>
      <c r="C38" s="121">
        <v>6</v>
      </c>
      <c r="D38" s="734">
        <v>141.51728483475151</v>
      </c>
      <c r="E38" s="733"/>
      <c r="G38"/>
      <c r="H38"/>
      <c r="I38" s="136"/>
      <c r="J38" s="136"/>
      <c r="BA38" s="138"/>
      <c r="BC38" s="139"/>
      <c r="BD38" s="139"/>
    </row>
    <row r="39" spans="2:59" ht="15.75">
      <c r="B39" s="121">
        <v>11</v>
      </c>
      <c r="C39" s="121">
        <v>7</v>
      </c>
      <c r="D39" s="734">
        <v>136.90219178538419</v>
      </c>
      <c r="E39" s="733"/>
      <c r="G39"/>
      <c r="H39"/>
      <c r="I39" s="136"/>
      <c r="J39" s="136"/>
      <c r="S39" s="140"/>
      <c r="BA39" s="138"/>
      <c r="BC39" s="139"/>
      <c r="BD39" s="139"/>
    </row>
    <row r="40" spans="2:59" ht="15.75">
      <c r="B40" s="121">
        <v>11</v>
      </c>
      <c r="C40" s="121">
        <v>8</v>
      </c>
      <c r="D40" s="734">
        <v>140.93161856580926</v>
      </c>
      <c r="E40" s="733"/>
      <c r="G40"/>
      <c r="H40"/>
      <c r="I40" s="136"/>
      <c r="J40" s="136"/>
      <c r="S40" s="140"/>
      <c r="BA40" s="138"/>
      <c r="BC40" s="139"/>
      <c r="BD40" s="139"/>
    </row>
    <row r="41" spans="2:59" ht="15.75">
      <c r="B41" s="121">
        <v>11</v>
      </c>
      <c r="C41" s="121">
        <v>9</v>
      </c>
      <c r="D41" s="734">
        <v>141.48958511399039</v>
      </c>
      <c r="E41" s="733"/>
      <c r="G41"/>
      <c r="H41"/>
      <c r="I41" s="136"/>
      <c r="J41" s="136"/>
      <c r="S41" s="140"/>
      <c r="BA41" s="138"/>
      <c r="BC41" s="139"/>
      <c r="BD41" s="139"/>
    </row>
    <row r="42" spans="2:59" ht="15.75">
      <c r="B42" s="121">
        <v>11</v>
      </c>
      <c r="C42" s="121">
        <v>10</v>
      </c>
      <c r="D42" s="734">
        <v>135.80657562739589</v>
      </c>
      <c r="E42" s="733"/>
      <c r="G42"/>
      <c r="H42"/>
      <c r="I42" s="136"/>
      <c r="J42" s="136"/>
      <c r="S42" s="140"/>
      <c r="BA42" s="138"/>
      <c r="BC42" s="139"/>
      <c r="BD42" s="139"/>
    </row>
    <row r="43" spans="2:59" ht="15.75">
      <c r="B43" s="121">
        <v>11</v>
      </c>
      <c r="C43" s="121">
        <v>11</v>
      </c>
      <c r="D43" s="734">
        <v>141.7649122225468</v>
      </c>
      <c r="E43" s="733"/>
      <c r="G43"/>
      <c r="H43"/>
      <c r="I43" s="136"/>
      <c r="J43" s="136"/>
      <c r="S43" s="140"/>
      <c r="BA43" s="138"/>
      <c r="BC43" s="139"/>
      <c r="BD43" s="139"/>
    </row>
    <row r="44" spans="2:59" ht="15.75">
      <c r="B44" s="121">
        <v>11</v>
      </c>
      <c r="C44" s="121">
        <v>12</v>
      </c>
      <c r="D44" s="734">
        <v>144.78622956106631</v>
      </c>
      <c r="E44" s="733"/>
      <c r="G44"/>
      <c r="H44"/>
      <c r="I44" s="136"/>
      <c r="J44" s="136"/>
      <c r="S44" s="140"/>
      <c r="BA44" s="138"/>
      <c r="BC44" s="139"/>
      <c r="BD44" s="139"/>
    </row>
    <row r="45" spans="2:59" ht="15.75">
      <c r="B45" s="121">
        <v>11</v>
      </c>
      <c r="C45" s="121">
        <v>13</v>
      </c>
      <c r="D45" s="734">
        <v>144.48204705934259</v>
      </c>
      <c r="E45" s="733"/>
      <c r="G45"/>
      <c r="H45"/>
      <c r="I45" s="136"/>
      <c r="J45" s="136"/>
      <c r="S45" s="140"/>
      <c r="BA45" s="138"/>
      <c r="BC45" s="139"/>
      <c r="BD45" s="139"/>
    </row>
    <row r="46" spans="2:59" ht="15.75">
      <c r="B46" s="121">
        <v>11</v>
      </c>
      <c r="C46" s="121">
        <v>14</v>
      </c>
      <c r="D46" s="734">
        <v>145.54278443410035</v>
      </c>
      <c r="E46" s="733"/>
      <c r="G46"/>
      <c r="H46"/>
      <c r="I46" s="136"/>
      <c r="J46" s="136"/>
      <c r="S46" s="140"/>
      <c r="BA46" s="138"/>
      <c r="BC46" s="139"/>
      <c r="BD46" s="139"/>
    </row>
    <row r="47" spans="2:59" ht="15.75">
      <c r="B47" s="121">
        <v>11</v>
      </c>
      <c r="C47" s="121">
        <v>15</v>
      </c>
      <c r="D47" s="734">
        <v>134.00186342506115</v>
      </c>
      <c r="E47" s="733"/>
      <c r="G47"/>
      <c r="H47"/>
      <c r="I47" s="136"/>
      <c r="J47" s="136"/>
      <c r="S47" s="140"/>
      <c r="BA47" s="138"/>
      <c r="BC47" s="139"/>
      <c r="BD47" s="139"/>
    </row>
    <row r="48" spans="2:59" ht="15.75">
      <c r="B48" s="121">
        <v>11</v>
      </c>
      <c r="C48" s="121">
        <v>16</v>
      </c>
      <c r="D48" s="734">
        <v>138.81228374863252</v>
      </c>
      <c r="E48" s="733"/>
      <c r="G48"/>
      <c r="H48"/>
      <c r="I48" s="84"/>
      <c r="J48" s="137"/>
      <c r="K48" s="136"/>
      <c r="L48" s="136"/>
      <c r="M48" s="136"/>
      <c r="V48" s="140"/>
      <c r="BD48" s="138"/>
      <c r="BF48" s="139"/>
      <c r="BG48" s="139"/>
    </row>
    <row r="49" spans="2:59" ht="15.75">
      <c r="B49" s="121">
        <v>11</v>
      </c>
      <c r="C49" s="121">
        <v>17</v>
      </c>
      <c r="D49" s="734">
        <v>139.29440836725732</v>
      </c>
      <c r="E49" s="733"/>
      <c r="J49" s="136"/>
      <c r="K49" s="136"/>
      <c r="L49" s="136"/>
      <c r="M49" s="136"/>
      <c r="V49" s="140"/>
      <c r="BD49" s="138"/>
      <c r="BF49" s="139"/>
      <c r="BG49" s="139"/>
    </row>
    <row r="50" spans="2:59" ht="15.75">
      <c r="B50" s="121">
        <v>11</v>
      </c>
      <c r="C50" s="121">
        <v>18</v>
      </c>
      <c r="D50" s="734">
        <v>143.23043265580458</v>
      </c>
      <c r="E50" s="733"/>
      <c r="J50" s="136"/>
      <c r="K50" s="136"/>
      <c r="L50" s="136"/>
      <c r="M50" s="136"/>
      <c r="V50" s="140"/>
      <c r="BD50" s="138"/>
      <c r="BF50" s="139"/>
      <c r="BG50" s="139"/>
    </row>
    <row r="51" spans="2:59" ht="15.75">
      <c r="B51" s="121">
        <v>11</v>
      </c>
      <c r="C51" s="121">
        <v>19</v>
      </c>
      <c r="D51" s="734">
        <v>136.45955166749428</v>
      </c>
      <c r="E51" s="733"/>
      <c r="J51" s="136"/>
      <c r="K51" s="136"/>
      <c r="L51" s="136"/>
      <c r="M51" s="136"/>
      <c r="V51" s="140"/>
      <c r="BD51" s="138"/>
      <c r="BF51" s="139"/>
      <c r="BG51" s="139"/>
    </row>
    <row r="52" spans="2:59" ht="15.75">
      <c r="B52" s="121">
        <v>11</v>
      </c>
      <c r="C52" s="121">
        <v>20</v>
      </c>
      <c r="D52" s="734">
        <v>145.8211433018129</v>
      </c>
      <c r="E52" s="733"/>
      <c r="J52" s="136"/>
      <c r="K52" s="136"/>
      <c r="L52" s="136"/>
      <c r="M52" s="136"/>
      <c r="V52" s="140"/>
      <c r="BD52" s="138"/>
      <c r="BF52" s="139"/>
      <c r="BG52" s="139"/>
    </row>
    <row r="53" spans="2:59" ht="15.75">
      <c r="B53" s="121">
        <v>11</v>
      </c>
      <c r="C53" s="121">
        <v>21</v>
      </c>
      <c r="D53" s="734">
        <v>138.27295095242607</v>
      </c>
      <c r="E53" s="733"/>
      <c r="J53" s="136"/>
      <c r="K53" s="136"/>
      <c r="L53" s="136"/>
      <c r="M53" s="136"/>
      <c r="V53" s="140"/>
      <c r="BD53" s="138"/>
      <c r="BF53" s="139"/>
      <c r="BG53" s="139"/>
    </row>
    <row r="54" spans="2:59" ht="15.75">
      <c r="B54" s="121">
        <v>11</v>
      </c>
      <c r="C54" s="121">
        <v>22</v>
      </c>
      <c r="D54" s="734">
        <v>135.04959885640594</v>
      </c>
      <c r="E54" s="733"/>
      <c r="J54" s="136"/>
      <c r="K54" s="136"/>
      <c r="L54" s="136"/>
      <c r="M54" s="136"/>
      <c r="V54" s="140"/>
      <c r="BD54" s="138"/>
      <c r="BF54" s="139"/>
      <c r="BG54" s="139"/>
    </row>
    <row r="55" spans="2:59" ht="15.75">
      <c r="B55" s="121">
        <v>11</v>
      </c>
      <c r="C55" s="121">
        <v>23</v>
      </c>
      <c r="D55" s="734">
        <v>145.40266237704375</v>
      </c>
      <c r="E55" s="733"/>
      <c r="J55" s="136"/>
      <c r="K55" s="136"/>
      <c r="L55" s="136"/>
      <c r="M55" s="136"/>
      <c r="V55" s="140"/>
      <c r="BD55" s="138"/>
      <c r="BF55" s="139"/>
      <c r="BG55" s="139"/>
    </row>
    <row r="56" spans="2:59" ht="15.75">
      <c r="B56" s="121">
        <v>12</v>
      </c>
      <c r="C56" s="121">
        <v>1</v>
      </c>
      <c r="D56" s="734">
        <v>5</v>
      </c>
      <c r="E56" s="733"/>
      <c r="J56" s="136"/>
      <c r="K56" s="136"/>
      <c r="L56" s="136"/>
      <c r="M56" s="136"/>
      <c r="V56" s="140"/>
      <c r="BD56" s="138"/>
      <c r="BF56" s="139"/>
      <c r="BG56" s="139"/>
    </row>
    <row r="57" spans="2:59" ht="15.75">
      <c r="B57" s="121">
        <v>13</v>
      </c>
      <c r="C57" s="121">
        <v>1</v>
      </c>
      <c r="D57" s="734">
        <v>5</v>
      </c>
      <c r="E57" s="733"/>
      <c r="J57" s="136"/>
      <c r="K57" s="136"/>
      <c r="L57" s="136"/>
      <c r="M57" s="136"/>
      <c r="V57" s="140"/>
      <c r="BD57" s="138"/>
      <c r="BF57" s="139"/>
      <c r="BG57" s="139"/>
    </row>
    <row r="58" spans="2:59" ht="15.75">
      <c r="B58" s="121">
        <v>14</v>
      </c>
      <c r="C58" s="121">
        <v>1</v>
      </c>
      <c r="D58" s="734">
        <v>5</v>
      </c>
      <c r="E58" s="733"/>
      <c r="J58" s="136"/>
      <c r="K58" s="136"/>
      <c r="L58" s="136"/>
      <c r="M58" s="136"/>
      <c r="V58" s="140"/>
      <c r="BD58" s="138"/>
      <c r="BF58" s="139"/>
      <c r="BG58" s="139"/>
    </row>
    <row r="59" spans="2:59" ht="15.75">
      <c r="B59" s="121">
        <v>15</v>
      </c>
      <c r="C59" s="121">
        <v>1</v>
      </c>
      <c r="D59" s="734">
        <v>5</v>
      </c>
      <c r="E59" s="733"/>
      <c r="J59" s="136"/>
      <c r="K59" s="136"/>
      <c r="L59" s="136"/>
      <c r="M59" s="136"/>
      <c r="V59" s="140"/>
      <c r="BD59" s="138"/>
      <c r="BF59" s="139"/>
      <c r="BG59" s="139"/>
    </row>
    <row r="60" spans="2:59" ht="15.75">
      <c r="B60" s="121">
        <v>16</v>
      </c>
      <c r="C60" s="121">
        <v>1</v>
      </c>
      <c r="D60" s="734">
        <v>5</v>
      </c>
      <c r="E60" s="733"/>
      <c r="J60" s="136"/>
      <c r="K60" s="136"/>
      <c r="L60" s="136"/>
      <c r="M60" s="136"/>
      <c r="V60" s="140"/>
      <c r="BD60" s="138"/>
      <c r="BF60" s="139"/>
      <c r="BG60" s="139"/>
    </row>
    <row r="61" spans="2:59" ht="15.75">
      <c r="B61" s="121">
        <v>16</v>
      </c>
      <c r="C61" s="121">
        <v>2</v>
      </c>
      <c r="D61" s="734">
        <v>96.52198093291959</v>
      </c>
      <c r="E61" s="733"/>
      <c r="J61" s="136"/>
      <c r="K61" s="136"/>
      <c r="L61" s="136"/>
      <c r="M61" s="136"/>
      <c r="V61" s="140"/>
      <c r="BD61" s="138"/>
      <c r="BF61" s="139"/>
      <c r="BG61" s="139"/>
    </row>
    <row r="62" spans="2:59" ht="15.75">
      <c r="B62" s="121">
        <v>16</v>
      </c>
      <c r="C62" s="121">
        <v>3</v>
      </c>
      <c r="D62" s="734">
        <v>121.46089344636458</v>
      </c>
      <c r="E62" s="733"/>
      <c r="J62" s="136"/>
      <c r="K62" s="136"/>
      <c r="L62" s="136"/>
      <c r="M62" s="136"/>
      <c r="V62" s="140"/>
      <c r="BD62" s="138"/>
      <c r="BF62" s="139"/>
      <c r="BG62" s="139"/>
    </row>
    <row r="63" spans="2:59" ht="15.75">
      <c r="B63" s="121">
        <v>16</v>
      </c>
      <c r="C63" s="121">
        <v>4</v>
      </c>
      <c r="D63" s="734">
        <v>135.75410807634543</v>
      </c>
      <c r="E63" s="733"/>
      <c r="J63" s="136"/>
      <c r="K63" s="136"/>
      <c r="L63" s="136"/>
      <c r="M63" s="136"/>
      <c r="V63" s="140"/>
      <c r="BD63" s="138"/>
      <c r="BF63" s="139"/>
      <c r="BG63" s="139"/>
    </row>
    <row r="64" spans="2:59" ht="15.75">
      <c r="B64" s="121">
        <v>17</v>
      </c>
      <c r="C64" s="121">
        <v>1</v>
      </c>
      <c r="D64" s="734">
        <v>5</v>
      </c>
      <c r="E64" s="733"/>
      <c r="J64" s="136"/>
      <c r="K64" s="136"/>
      <c r="L64" s="136"/>
      <c r="M64" s="136"/>
      <c r="V64" s="140"/>
      <c r="BD64" s="138"/>
      <c r="BF64" s="139"/>
      <c r="BG64" s="139"/>
    </row>
    <row r="65" spans="2:59" ht="15.75">
      <c r="B65" s="121">
        <v>18</v>
      </c>
      <c r="C65" s="121">
        <v>1</v>
      </c>
      <c r="D65" s="734">
        <v>5</v>
      </c>
      <c r="E65" s="733"/>
      <c r="J65" s="136"/>
      <c r="K65" s="136"/>
      <c r="L65" s="136"/>
      <c r="M65" s="136"/>
      <c r="V65" s="140"/>
      <c r="BD65" s="138"/>
      <c r="BF65" s="139"/>
      <c r="BG65" s="139"/>
    </row>
    <row r="66" spans="2:59" ht="15.75">
      <c r="B66" s="121">
        <v>18</v>
      </c>
      <c r="C66" s="121">
        <v>2</v>
      </c>
      <c r="D66" s="734">
        <v>102.70433269804423</v>
      </c>
      <c r="E66" s="733"/>
      <c r="J66" s="136"/>
      <c r="K66" s="136"/>
      <c r="L66" s="136"/>
      <c r="M66" s="136"/>
      <c r="V66" s="140"/>
      <c r="BD66" s="138"/>
      <c r="BF66" s="139"/>
      <c r="BG66" s="139"/>
    </row>
    <row r="67" spans="2:59" ht="15.75">
      <c r="B67" s="121">
        <v>18</v>
      </c>
      <c r="C67" s="121">
        <v>3</v>
      </c>
      <c r="D67" s="734">
        <v>124.96034722283137</v>
      </c>
      <c r="E67" s="733"/>
      <c r="J67" s="136"/>
      <c r="K67" s="136"/>
      <c r="L67" s="136"/>
      <c r="M67" s="136"/>
      <c r="V67" s="140"/>
      <c r="BD67" s="138"/>
      <c r="BF67" s="139"/>
      <c r="BG67" s="139"/>
    </row>
    <row r="68" spans="2:59" ht="15.75">
      <c r="B68" s="121">
        <v>18</v>
      </c>
      <c r="C68" s="121">
        <v>4</v>
      </c>
      <c r="D68" s="734">
        <v>144.02240266297693</v>
      </c>
      <c r="E68" s="733"/>
      <c r="J68" s="136"/>
      <c r="K68" s="136"/>
      <c r="L68" s="136"/>
      <c r="M68" s="136"/>
      <c r="V68" s="140"/>
      <c r="BD68" s="138"/>
      <c r="BF68" s="139"/>
      <c r="BG68" s="139"/>
    </row>
    <row r="69" spans="2:59" ht="15.75">
      <c r="B69" s="121">
        <v>18</v>
      </c>
      <c r="C69" s="121">
        <v>5</v>
      </c>
      <c r="D69" s="734">
        <v>142.41363117953227</v>
      </c>
      <c r="E69" s="733"/>
      <c r="J69" s="136"/>
      <c r="K69" s="136"/>
      <c r="L69" s="136"/>
      <c r="M69" s="136"/>
      <c r="V69" s="140"/>
      <c r="BD69" s="138"/>
      <c r="BF69" s="139"/>
      <c r="BG69" s="139"/>
    </row>
    <row r="70" spans="2:59" ht="15.75">
      <c r="B70" s="121">
        <v>18</v>
      </c>
      <c r="C70" s="121">
        <v>6</v>
      </c>
      <c r="D70" s="734">
        <v>137.99591071992043</v>
      </c>
      <c r="E70" s="733"/>
      <c r="J70" s="136"/>
      <c r="K70" s="136"/>
      <c r="L70" s="136"/>
      <c r="M70" s="136"/>
      <c r="V70" s="140"/>
      <c r="BD70" s="138"/>
      <c r="BF70" s="139"/>
      <c r="BG70" s="139"/>
    </row>
    <row r="71" spans="2:59" ht="15.75">
      <c r="B71" s="121">
        <v>18</v>
      </c>
      <c r="C71" s="121">
        <v>7</v>
      </c>
      <c r="D71" s="734">
        <v>136.88479869130595</v>
      </c>
      <c r="E71" s="733"/>
      <c r="J71" s="136"/>
      <c r="K71" s="136"/>
      <c r="L71" s="136"/>
      <c r="M71" s="136"/>
      <c r="V71" s="140"/>
      <c r="BD71" s="138"/>
      <c r="BF71" s="139"/>
      <c r="BG71" s="139"/>
    </row>
    <row r="72" spans="2:59" ht="15.75">
      <c r="B72" s="121">
        <v>18</v>
      </c>
      <c r="C72" s="121">
        <v>8</v>
      </c>
      <c r="D72" s="734">
        <v>136.74029655309465</v>
      </c>
      <c r="E72" s="733"/>
      <c r="J72" s="136"/>
      <c r="K72" s="136"/>
      <c r="L72" s="136"/>
      <c r="M72" s="136"/>
      <c r="V72" s="140"/>
      <c r="BD72" s="138"/>
      <c r="BF72" s="139"/>
      <c r="BG72" s="139"/>
    </row>
    <row r="73" spans="2:59" ht="15.75">
      <c r="B73" s="121">
        <v>18</v>
      </c>
      <c r="C73" s="121">
        <v>9</v>
      </c>
      <c r="D73" s="734">
        <v>135.78347795270417</v>
      </c>
      <c r="E73" s="733"/>
      <c r="J73" s="136"/>
      <c r="K73" s="136"/>
      <c r="L73" s="136"/>
      <c r="M73" s="136"/>
      <c r="V73" s="140"/>
      <c r="BD73" s="138"/>
      <c r="BF73" s="139"/>
      <c r="BG73" s="139"/>
    </row>
    <row r="74" spans="2:59" ht="15.75">
      <c r="B74" s="121">
        <v>18</v>
      </c>
      <c r="C74" s="121">
        <v>10</v>
      </c>
      <c r="D74" s="734">
        <v>144.81667580917502</v>
      </c>
      <c r="E74" s="733"/>
      <c r="J74" s="136"/>
      <c r="K74" s="136"/>
      <c r="L74" s="136"/>
      <c r="M74" s="136"/>
      <c r="V74" s="140"/>
      <c r="BD74" s="138"/>
      <c r="BF74" s="139"/>
      <c r="BG74" s="139"/>
    </row>
    <row r="75" spans="2:59" ht="15.75">
      <c r="B75" s="121">
        <v>18</v>
      </c>
      <c r="C75" s="121">
        <v>11</v>
      </c>
      <c r="D75" s="734">
        <v>144.55659643336284</v>
      </c>
      <c r="E75" s="733"/>
      <c r="J75" s="136"/>
      <c r="K75" s="136"/>
      <c r="L75" s="136"/>
      <c r="M75" s="136"/>
      <c r="V75" s="140"/>
      <c r="BD75" s="138"/>
      <c r="BF75" s="139"/>
      <c r="BG75" s="139"/>
    </row>
    <row r="76" spans="2:59" ht="15.75">
      <c r="B76" s="121">
        <v>18</v>
      </c>
      <c r="C76" s="121">
        <v>12</v>
      </c>
      <c r="D76" s="734">
        <v>134.52271245435</v>
      </c>
      <c r="E76" s="733"/>
      <c r="J76" s="136"/>
      <c r="K76" s="136"/>
      <c r="L76" s="136"/>
      <c r="M76" s="136"/>
      <c r="V76" s="140"/>
      <c r="BD76" s="138"/>
      <c r="BF76" s="139"/>
      <c r="BG76" s="139"/>
    </row>
    <row r="77" spans="2:59" ht="15.75">
      <c r="B77" s="121">
        <v>18</v>
      </c>
      <c r="C77" s="121">
        <v>13</v>
      </c>
      <c r="D77" s="734">
        <v>139.76709729310238</v>
      </c>
      <c r="E77" s="733"/>
      <c r="J77" s="136"/>
      <c r="K77" s="136"/>
      <c r="L77" s="136"/>
      <c r="M77" s="136"/>
      <c r="V77" s="140"/>
      <c r="BD77" s="138"/>
      <c r="BF77" s="139"/>
      <c r="BG77" s="139"/>
    </row>
    <row r="78" spans="2:59" ht="15.75">
      <c r="B78" s="121">
        <v>18</v>
      </c>
      <c r="C78" s="121">
        <v>14</v>
      </c>
      <c r="D78" s="734">
        <v>142.87122714259164</v>
      </c>
      <c r="E78" s="733"/>
      <c r="J78" s="136"/>
      <c r="K78" s="136"/>
      <c r="L78" s="136"/>
      <c r="M78" s="136"/>
      <c r="V78" s="140"/>
      <c r="BD78" s="138"/>
      <c r="BF78" s="139"/>
      <c r="BG78" s="139"/>
    </row>
    <row r="79" spans="2:59" ht="15.75">
      <c r="B79" s="121">
        <v>18</v>
      </c>
      <c r="C79" s="121">
        <v>15</v>
      </c>
      <c r="D79" s="734">
        <v>144.38533460463501</v>
      </c>
      <c r="E79" s="733"/>
      <c r="J79" s="136"/>
      <c r="K79" s="136"/>
      <c r="L79" s="136"/>
      <c r="M79" s="136"/>
      <c r="V79" s="140"/>
      <c r="BD79" s="138"/>
      <c r="BF79" s="139"/>
      <c r="BG79" s="139"/>
    </row>
    <row r="80" spans="2:59" ht="15.75">
      <c r="B80" s="121">
        <v>18</v>
      </c>
      <c r="C80" s="121">
        <v>16</v>
      </c>
      <c r="D80" s="734">
        <v>136.43219320424123</v>
      </c>
      <c r="E80" s="733"/>
      <c r="J80" s="136"/>
      <c r="K80" s="136"/>
      <c r="L80" s="136"/>
      <c r="M80" s="136"/>
      <c r="V80" s="140"/>
      <c r="BD80" s="138"/>
      <c r="BF80" s="139"/>
      <c r="BG80" s="139"/>
    </row>
    <row r="81" spans="2:59" ht="15.75">
      <c r="B81" s="121">
        <v>18</v>
      </c>
      <c r="C81" s="121">
        <v>17</v>
      </c>
      <c r="D81" s="734">
        <v>136.87711312746768</v>
      </c>
      <c r="E81" s="733"/>
      <c r="J81" s="136"/>
      <c r="K81" s="136"/>
      <c r="L81" s="136"/>
      <c r="M81" s="136"/>
      <c r="V81" s="140"/>
      <c r="BD81" s="138"/>
      <c r="BF81" s="139"/>
      <c r="BG81" s="139"/>
    </row>
    <row r="82" spans="2:59" ht="15.75">
      <c r="B82" s="121">
        <v>19</v>
      </c>
      <c r="C82" s="121">
        <v>1</v>
      </c>
      <c r="D82" s="734">
        <v>5</v>
      </c>
      <c r="E82" s="733"/>
      <c r="J82" s="136"/>
      <c r="K82" s="136"/>
      <c r="L82" s="136"/>
      <c r="M82" s="136"/>
      <c r="V82" s="140"/>
      <c r="BD82" s="138"/>
      <c r="BF82" s="139"/>
      <c r="BG82" s="139"/>
    </row>
    <row r="83" spans="2:59" ht="15.75">
      <c r="B83" s="121">
        <v>19</v>
      </c>
      <c r="C83" s="121">
        <v>2</v>
      </c>
      <c r="D83" s="734">
        <v>99.224434113880022</v>
      </c>
      <c r="E83" s="733"/>
      <c r="J83" s="136"/>
      <c r="K83" s="136"/>
      <c r="L83" s="136"/>
      <c r="M83" s="136"/>
      <c r="V83" s="140"/>
      <c r="BD83" s="138"/>
      <c r="BF83" s="139"/>
      <c r="BG83" s="139"/>
    </row>
    <row r="84" spans="2:59" ht="15.75">
      <c r="B84" s="121">
        <v>19</v>
      </c>
      <c r="C84" s="121">
        <v>3</v>
      </c>
      <c r="D84" s="734">
        <v>119.95528984064698</v>
      </c>
      <c r="E84" s="733"/>
      <c r="J84" s="136"/>
      <c r="K84" s="136"/>
      <c r="L84" s="136"/>
      <c r="M84" s="136"/>
      <c r="V84" s="140"/>
      <c r="BD84" s="138"/>
      <c r="BF84" s="139"/>
      <c r="BG84" s="139"/>
    </row>
    <row r="85" spans="2:59" ht="15.75">
      <c r="B85" s="121">
        <v>19</v>
      </c>
      <c r="C85" s="121">
        <v>4</v>
      </c>
      <c r="D85" s="734">
        <v>139.26343761792413</v>
      </c>
      <c r="E85" s="733"/>
      <c r="J85" s="136"/>
      <c r="K85" s="136"/>
      <c r="L85" s="136"/>
      <c r="M85" s="136"/>
      <c r="V85" s="140"/>
      <c r="BD85" s="138"/>
      <c r="BF85" s="139"/>
      <c r="BG85" s="139"/>
    </row>
    <row r="86" spans="2:59" ht="15.75">
      <c r="B86" s="121">
        <v>19</v>
      </c>
      <c r="C86" s="121">
        <v>5</v>
      </c>
      <c r="D86" s="734">
        <v>146.28181459256032</v>
      </c>
      <c r="E86" s="733"/>
      <c r="J86" s="136"/>
      <c r="K86" s="136"/>
      <c r="L86" s="136"/>
      <c r="M86" s="136"/>
      <c r="V86" s="140"/>
      <c r="BD86" s="138"/>
      <c r="BF86" s="139"/>
      <c r="BG86" s="139"/>
    </row>
    <row r="87" spans="2:59" ht="15.75">
      <c r="B87" s="121">
        <v>19</v>
      </c>
      <c r="C87" s="121">
        <v>6</v>
      </c>
      <c r="D87" s="734">
        <v>136.35144118394507</v>
      </c>
      <c r="E87" s="733"/>
      <c r="J87" s="136"/>
      <c r="K87" s="136"/>
      <c r="L87" s="136"/>
      <c r="M87" s="136"/>
      <c r="V87" s="140"/>
      <c r="BD87" s="138"/>
      <c r="BF87" s="139"/>
      <c r="BG87" s="139"/>
    </row>
    <row r="88" spans="2:59" ht="15.75">
      <c r="B88" s="121">
        <v>19</v>
      </c>
      <c r="C88" s="121">
        <v>7</v>
      </c>
      <c r="D88" s="734">
        <v>139.18862159148136</v>
      </c>
      <c r="E88" s="733"/>
      <c r="J88" s="136"/>
      <c r="K88" s="136"/>
      <c r="L88" s="136"/>
      <c r="M88" s="136"/>
      <c r="V88" s="140"/>
      <c r="BD88" s="138"/>
      <c r="BF88" s="139"/>
      <c r="BG88" s="139"/>
    </row>
    <row r="89" spans="2:59" ht="15.75">
      <c r="B89" s="121">
        <v>19</v>
      </c>
      <c r="C89" s="121">
        <v>8</v>
      </c>
      <c r="D89" s="734">
        <v>139.76924359250162</v>
      </c>
      <c r="E89" s="733"/>
      <c r="J89" s="136"/>
      <c r="K89" s="136"/>
      <c r="L89" s="136"/>
      <c r="M89" s="136"/>
      <c r="V89" s="140"/>
      <c r="BD89" s="138"/>
      <c r="BF89" s="139"/>
      <c r="BG89" s="139"/>
    </row>
    <row r="90" spans="2:59" ht="15.75">
      <c r="B90" s="121">
        <v>19</v>
      </c>
      <c r="C90" s="121">
        <v>9</v>
      </c>
      <c r="D90" s="734">
        <v>135.7294096970947</v>
      </c>
      <c r="E90" s="733"/>
      <c r="J90" s="136"/>
      <c r="K90" s="136"/>
      <c r="L90" s="136"/>
      <c r="M90" s="136"/>
      <c r="V90" s="140"/>
      <c r="BD90" s="138"/>
      <c r="BF90" s="139"/>
      <c r="BG90" s="139"/>
    </row>
    <row r="91" spans="2:59" ht="15.75">
      <c r="B91" s="121">
        <v>19</v>
      </c>
      <c r="C91" s="121">
        <v>10</v>
      </c>
      <c r="D91" s="734">
        <v>145.5153267814122</v>
      </c>
      <c r="E91" s="733"/>
      <c r="L91" s="136"/>
      <c r="M91" s="136"/>
      <c r="V91" s="140"/>
      <c r="BD91" s="138"/>
      <c r="BF91" s="139"/>
      <c r="BG91" s="139"/>
    </row>
    <row r="92" spans="2:59" ht="15.75">
      <c r="B92" s="121">
        <v>19</v>
      </c>
      <c r="C92" s="121">
        <v>11</v>
      </c>
      <c r="D92" s="734">
        <v>146.42319420519098</v>
      </c>
      <c r="E92" s="733"/>
      <c r="L92" s="136"/>
      <c r="M92" s="136"/>
      <c r="V92" s="140"/>
      <c r="BD92" s="138"/>
      <c r="BF92" s="139"/>
      <c r="BG92" s="139"/>
    </row>
    <row r="93" spans="2:59" ht="15.75">
      <c r="B93" s="121">
        <v>19</v>
      </c>
      <c r="C93" s="121">
        <v>12</v>
      </c>
      <c r="D93" s="734">
        <v>144.43871863817003</v>
      </c>
      <c r="E93" s="733"/>
      <c r="V93" s="140"/>
      <c r="BD93" s="138"/>
      <c r="BF93" s="139"/>
      <c r="BG93" s="139"/>
    </row>
    <row r="94" spans="2:59" ht="15.75">
      <c r="B94" s="121">
        <v>19</v>
      </c>
      <c r="C94" s="121">
        <v>13</v>
      </c>
      <c r="D94" s="734">
        <v>140.61284405450581</v>
      </c>
      <c r="E94" s="733"/>
      <c r="V94" s="140"/>
      <c r="BD94" s="138"/>
      <c r="BF94" s="139"/>
      <c r="BG94" s="139"/>
    </row>
    <row r="95" spans="2:59" ht="15.75">
      <c r="B95" s="121">
        <v>19</v>
      </c>
      <c r="C95" s="121">
        <v>14</v>
      </c>
      <c r="D95" s="734">
        <v>144.71186841901104</v>
      </c>
      <c r="E95" s="733"/>
      <c r="V95" s="140"/>
      <c r="BD95" s="138"/>
      <c r="BF95" s="139"/>
      <c r="BG95" s="139"/>
    </row>
    <row r="96" spans="2:59" ht="15.75">
      <c r="B96" s="121">
        <v>19</v>
      </c>
      <c r="C96" s="121">
        <v>15</v>
      </c>
      <c r="D96" s="734">
        <v>139.34081920428252</v>
      </c>
      <c r="E96" s="733"/>
      <c r="V96" s="140"/>
      <c r="BD96" s="138"/>
      <c r="BF96" s="139"/>
      <c r="BG96" s="139"/>
    </row>
    <row r="97" spans="2:59" ht="15.75">
      <c r="B97" s="121">
        <v>19</v>
      </c>
      <c r="C97" s="121">
        <v>16</v>
      </c>
      <c r="D97" s="734">
        <v>140.61264193857477</v>
      </c>
      <c r="E97" s="733"/>
      <c r="V97" s="140"/>
      <c r="BD97" s="138"/>
      <c r="BF97" s="139"/>
      <c r="BG97" s="139"/>
    </row>
    <row r="98" spans="2:59" ht="15.75">
      <c r="B98" s="121">
        <v>19</v>
      </c>
      <c r="C98" s="121">
        <v>17</v>
      </c>
      <c r="D98" s="734">
        <v>142.74339663002954</v>
      </c>
      <c r="E98" s="733"/>
      <c r="V98" s="140"/>
      <c r="BD98" s="138"/>
      <c r="BF98" s="139"/>
      <c r="BG98" s="139"/>
    </row>
    <row r="99" spans="2:59" ht="15.75">
      <c r="B99" s="121">
        <v>19</v>
      </c>
      <c r="C99" s="121">
        <v>18</v>
      </c>
      <c r="D99" s="734">
        <v>146.34217813814607</v>
      </c>
      <c r="E99" s="733"/>
      <c r="V99" s="140"/>
      <c r="BD99" s="138"/>
      <c r="BF99" s="139"/>
      <c r="BG99" s="139"/>
    </row>
    <row r="100" spans="2:59" ht="15.75">
      <c r="B100" s="121">
        <v>19</v>
      </c>
      <c r="C100" s="121">
        <v>19</v>
      </c>
      <c r="D100" s="734">
        <v>141.26782743489608</v>
      </c>
      <c r="E100" s="733"/>
      <c r="V100" s="140"/>
      <c r="BD100" s="138"/>
      <c r="BF100" s="139"/>
      <c r="BG100" s="139"/>
    </row>
    <row r="101" spans="2:59" ht="15.75">
      <c r="B101" s="121">
        <v>19</v>
      </c>
      <c r="C101" s="121">
        <v>20</v>
      </c>
      <c r="D101" s="734">
        <v>143.31288043603124</v>
      </c>
      <c r="E101" s="733"/>
      <c r="V101" s="140"/>
      <c r="BD101" s="138"/>
      <c r="BF101" s="139"/>
      <c r="BG101" s="139"/>
    </row>
    <row r="102" spans="2:59" ht="15.75">
      <c r="B102" s="121">
        <v>19</v>
      </c>
      <c r="C102" s="121">
        <v>21</v>
      </c>
      <c r="D102" s="734">
        <v>134.34050914895724</v>
      </c>
      <c r="E102" s="733"/>
      <c r="V102" s="140"/>
      <c r="BD102" s="138"/>
      <c r="BF102" s="139"/>
      <c r="BG102" s="139"/>
    </row>
    <row r="103" spans="2:59" ht="15.75">
      <c r="B103" s="121">
        <v>19</v>
      </c>
      <c r="C103" s="121">
        <v>22</v>
      </c>
      <c r="D103" s="734">
        <v>145.05048114788829</v>
      </c>
      <c r="E103" s="733"/>
      <c r="V103" s="140"/>
      <c r="BD103" s="138"/>
      <c r="BF103" s="139"/>
      <c r="BG103" s="139"/>
    </row>
    <row r="104" spans="2:59" ht="15.75">
      <c r="B104" s="121">
        <v>19</v>
      </c>
      <c r="C104" s="121">
        <v>23</v>
      </c>
      <c r="D104" s="734">
        <v>141.03798820315708</v>
      </c>
      <c r="E104" s="733"/>
      <c r="V104" s="140"/>
      <c r="BD104" s="138"/>
      <c r="BF104" s="139"/>
      <c r="BG104" s="139"/>
    </row>
    <row r="105" spans="2:59" ht="15.75">
      <c r="B105" s="121">
        <v>19</v>
      </c>
      <c r="C105" s="121">
        <v>24</v>
      </c>
      <c r="D105" s="734">
        <v>141.78724754610326</v>
      </c>
      <c r="E105" s="733"/>
      <c r="V105" s="140"/>
      <c r="BD105" s="138"/>
      <c r="BF105" s="139"/>
      <c r="BG105" s="139"/>
    </row>
    <row r="106" spans="2:59" ht="15.75">
      <c r="B106" s="121">
        <v>19</v>
      </c>
      <c r="C106" s="121">
        <v>25</v>
      </c>
      <c r="D106" s="734">
        <v>144.76187729022703</v>
      </c>
      <c r="E106" s="733"/>
      <c r="V106" s="140"/>
      <c r="BD106" s="138"/>
      <c r="BF106" s="139"/>
      <c r="BG106" s="139"/>
    </row>
    <row r="107" spans="2:59" ht="15.75">
      <c r="B107" s="121">
        <v>19</v>
      </c>
      <c r="C107" s="121">
        <v>26</v>
      </c>
      <c r="D107" s="734">
        <v>141.75995188929298</v>
      </c>
      <c r="E107" s="733"/>
      <c r="V107" s="140"/>
      <c r="BD107" s="138"/>
      <c r="BF107" s="139"/>
      <c r="BG107" s="139"/>
    </row>
    <row r="108" spans="2:59" ht="15.75">
      <c r="B108" s="121">
        <v>19</v>
      </c>
      <c r="C108" s="121">
        <v>27</v>
      </c>
      <c r="D108" s="734">
        <v>144.55529608443024</v>
      </c>
      <c r="E108" s="733"/>
      <c r="V108" s="140"/>
      <c r="BD108" s="138"/>
      <c r="BF108" s="139"/>
      <c r="BG108" s="139"/>
    </row>
    <row r="109" spans="2:59" ht="15.75">
      <c r="B109" s="121">
        <v>19</v>
      </c>
      <c r="C109" s="121">
        <v>28</v>
      </c>
      <c r="D109" s="734">
        <v>134.67445036239488</v>
      </c>
      <c r="E109" s="733"/>
      <c r="V109" s="140"/>
      <c r="BD109" s="138"/>
      <c r="BF109" s="139"/>
      <c r="BG109" s="139"/>
    </row>
    <row r="110" spans="2:59" ht="15.75">
      <c r="B110" s="121">
        <v>19</v>
      </c>
      <c r="C110" s="121">
        <v>29</v>
      </c>
      <c r="D110" s="734">
        <v>144.7470826889874</v>
      </c>
      <c r="E110" s="733"/>
      <c r="V110" s="140"/>
      <c r="BD110" s="138"/>
      <c r="BF110" s="139"/>
      <c r="BG110" s="139"/>
    </row>
    <row r="111" spans="2:59" ht="15.75">
      <c r="B111" s="121">
        <v>19</v>
      </c>
      <c r="C111" s="121">
        <v>30</v>
      </c>
      <c r="D111" s="734">
        <v>144.69748898780324</v>
      </c>
      <c r="E111" s="733"/>
      <c r="V111" s="140"/>
      <c r="BD111" s="138"/>
      <c r="BF111" s="139"/>
      <c r="BG111" s="139"/>
    </row>
    <row r="112" spans="2:59" ht="15.75">
      <c r="B112" s="121">
        <v>19</v>
      </c>
      <c r="C112" s="121">
        <v>31</v>
      </c>
      <c r="D112" s="734">
        <v>136.7026531133908</v>
      </c>
      <c r="E112" s="733"/>
      <c r="V112" s="140"/>
      <c r="BD112" s="138"/>
      <c r="BF112" s="139"/>
      <c r="BG112" s="139"/>
    </row>
    <row r="113" spans="2:59" ht="15.75">
      <c r="B113" s="121">
        <v>19</v>
      </c>
      <c r="C113" s="121">
        <v>32</v>
      </c>
      <c r="D113" s="734">
        <v>140.34139429226005</v>
      </c>
      <c r="E113" s="733"/>
      <c r="V113" s="140"/>
      <c r="BD113" s="138"/>
      <c r="BF113" s="139"/>
      <c r="BG113" s="139"/>
    </row>
    <row r="114" spans="2:59" ht="15.75">
      <c r="B114" s="121">
        <v>19</v>
      </c>
      <c r="C114" s="121">
        <v>33</v>
      </c>
      <c r="D114" s="734">
        <v>134.69279176243927</v>
      </c>
      <c r="E114" s="733"/>
      <c r="V114" s="140"/>
      <c r="BD114" s="138"/>
      <c r="BF114" s="139"/>
      <c r="BG114" s="139"/>
    </row>
    <row r="115" spans="2:59" ht="15.75">
      <c r="B115" s="121">
        <v>19</v>
      </c>
      <c r="C115" s="121">
        <v>34</v>
      </c>
      <c r="D115" s="734">
        <v>145.88957145616843</v>
      </c>
      <c r="E115" s="733"/>
      <c r="BD115" s="138"/>
    </row>
    <row r="116" spans="2:59" ht="15.75">
      <c r="B116" s="121">
        <v>20</v>
      </c>
      <c r="C116" s="121">
        <v>1</v>
      </c>
      <c r="D116" s="734">
        <v>5</v>
      </c>
      <c r="E116" s="733"/>
      <c r="BD116" s="138"/>
    </row>
    <row r="117" spans="2:59" ht="15.75">
      <c r="B117" s="121">
        <v>21</v>
      </c>
      <c r="C117" s="121">
        <v>1</v>
      </c>
      <c r="D117" s="734">
        <v>5</v>
      </c>
      <c r="E117" s="733"/>
      <c r="BD117" s="138"/>
    </row>
    <row r="118" spans="2:59" ht="15.75">
      <c r="B118" s="121">
        <v>21</v>
      </c>
      <c r="C118" s="121">
        <v>2</v>
      </c>
      <c r="D118" s="734">
        <v>96.086362485483306</v>
      </c>
      <c r="E118" s="733"/>
      <c r="BD118" s="138"/>
    </row>
    <row r="119" spans="2:59" ht="15.75">
      <c r="B119" s="121">
        <v>21</v>
      </c>
      <c r="C119" s="121">
        <v>3</v>
      </c>
      <c r="D119" s="734">
        <v>124.5522116724151</v>
      </c>
      <c r="E119" s="733"/>
      <c r="BD119" s="138"/>
    </row>
    <row r="120" spans="2:59" ht="15.75">
      <c r="B120" s="121">
        <v>21</v>
      </c>
      <c r="C120" s="121">
        <v>4</v>
      </c>
      <c r="D120" s="734">
        <v>145.53372959196324</v>
      </c>
      <c r="E120" s="733"/>
      <c r="BD120" s="138"/>
    </row>
    <row r="121" spans="2:59" ht="15.75">
      <c r="B121" s="121">
        <v>22</v>
      </c>
      <c r="C121" s="121">
        <v>1</v>
      </c>
      <c r="D121" s="734">
        <v>5</v>
      </c>
      <c r="E121" s="733"/>
      <c r="BD121" s="138"/>
    </row>
    <row r="122" spans="2:59" ht="15.75">
      <c r="B122" s="121">
        <v>22</v>
      </c>
      <c r="C122" s="121">
        <v>2</v>
      </c>
      <c r="D122" s="734">
        <v>98.527756470866336</v>
      </c>
      <c r="E122" s="733"/>
      <c r="BD122" s="138"/>
    </row>
    <row r="123" spans="2:59" ht="15.75">
      <c r="B123" s="121">
        <v>22</v>
      </c>
      <c r="C123" s="121">
        <v>3</v>
      </c>
      <c r="D123" s="734">
        <v>120.16898136883495</v>
      </c>
      <c r="E123" s="733"/>
      <c r="BD123" s="138"/>
    </row>
    <row r="124" spans="2:59" ht="15.75">
      <c r="B124" s="121">
        <v>22</v>
      </c>
      <c r="C124" s="121">
        <v>4</v>
      </c>
      <c r="D124" s="734">
        <v>136.84774462211908</v>
      </c>
      <c r="E124" s="733"/>
      <c r="BD124" s="138"/>
    </row>
    <row r="125" spans="2:59" ht="15.75">
      <c r="B125" s="121">
        <v>22</v>
      </c>
      <c r="C125" s="121">
        <v>5</v>
      </c>
      <c r="D125" s="734">
        <v>147.11124327064113</v>
      </c>
      <c r="E125" s="733"/>
      <c r="BD125" s="138"/>
    </row>
    <row r="126" spans="2:59" ht="15.75">
      <c r="B126" s="121">
        <v>22</v>
      </c>
      <c r="C126" s="121">
        <v>6</v>
      </c>
      <c r="D126" s="734">
        <v>140.71055328606187</v>
      </c>
      <c r="E126" s="733"/>
      <c r="BD126" s="138"/>
    </row>
    <row r="127" spans="2:59" ht="15.75">
      <c r="B127" s="121">
        <v>22</v>
      </c>
      <c r="C127" s="121">
        <v>7</v>
      </c>
      <c r="D127" s="734">
        <v>136.91935219429919</v>
      </c>
      <c r="E127" s="733"/>
      <c r="BD127" s="138"/>
    </row>
    <row r="128" spans="2:59" ht="15.75">
      <c r="B128" s="121">
        <v>22</v>
      </c>
      <c r="C128" s="121">
        <v>8</v>
      </c>
      <c r="D128" s="734">
        <v>141.73945065659331</v>
      </c>
      <c r="E128" s="733"/>
      <c r="BD128" s="138"/>
    </row>
    <row r="129" spans="2:56" ht="15.75">
      <c r="B129" s="121">
        <v>22</v>
      </c>
      <c r="C129" s="121">
        <v>9</v>
      </c>
      <c r="D129" s="734">
        <v>138.36544125589793</v>
      </c>
      <c r="E129" s="733"/>
      <c r="BD129" s="138"/>
    </row>
    <row r="130" spans="2:56" ht="15.75">
      <c r="B130" s="121">
        <v>22</v>
      </c>
      <c r="C130" s="121">
        <v>10</v>
      </c>
      <c r="D130" s="734">
        <v>144.38454146834925</v>
      </c>
      <c r="E130" s="733"/>
      <c r="BD130" s="138"/>
    </row>
    <row r="131" spans="2:56" ht="15.75">
      <c r="B131" s="121">
        <v>22</v>
      </c>
      <c r="C131" s="121">
        <v>11</v>
      </c>
      <c r="D131" s="734">
        <v>143.32073995720336</v>
      </c>
      <c r="E131" s="733"/>
      <c r="BD131" s="138"/>
    </row>
    <row r="132" spans="2:56" ht="15.75">
      <c r="B132" s="121">
        <v>22</v>
      </c>
      <c r="C132" s="121">
        <v>12</v>
      </c>
      <c r="D132" s="734">
        <v>134.73547051482524</v>
      </c>
      <c r="E132" s="733"/>
      <c r="BD132" s="138"/>
    </row>
    <row r="133" spans="2:56" ht="15.75">
      <c r="B133" s="121">
        <v>22</v>
      </c>
      <c r="C133" s="121">
        <v>13</v>
      </c>
      <c r="D133" s="734">
        <v>139.79159897182979</v>
      </c>
      <c r="E133" s="733"/>
      <c r="BD133" s="138"/>
    </row>
    <row r="134" spans="2:56" ht="15.75">
      <c r="B134" s="121">
        <v>22</v>
      </c>
      <c r="C134" s="121">
        <v>14</v>
      </c>
      <c r="D134" s="734">
        <v>134.73248605914648</v>
      </c>
      <c r="E134" s="733"/>
      <c r="BD134" s="138"/>
    </row>
    <row r="135" spans="2:56" ht="15.75">
      <c r="B135" s="121">
        <v>22</v>
      </c>
      <c r="C135" s="121">
        <v>15</v>
      </c>
      <c r="D135" s="734">
        <v>144.31014346965503</v>
      </c>
      <c r="E135" s="733"/>
      <c r="BD135" s="138"/>
    </row>
    <row r="136" spans="2:56" ht="15.75">
      <c r="B136" s="121">
        <v>22</v>
      </c>
      <c r="C136" s="121">
        <v>16</v>
      </c>
      <c r="D136" s="734">
        <v>138.75888722136335</v>
      </c>
      <c r="E136" s="733"/>
      <c r="BD136" s="138"/>
    </row>
    <row r="137" spans="2:56" ht="15.75">
      <c r="B137" s="121">
        <v>22</v>
      </c>
      <c r="C137" s="121">
        <v>17</v>
      </c>
      <c r="D137" s="734">
        <v>135.58441288190562</v>
      </c>
      <c r="E137" s="733"/>
      <c r="BD137" s="138"/>
    </row>
    <row r="138" spans="2:56" ht="15.75">
      <c r="B138" s="121">
        <v>22</v>
      </c>
      <c r="C138" s="121">
        <v>18</v>
      </c>
      <c r="D138" s="734">
        <v>141.47659300617451</v>
      </c>
      <c r="E138" s="733"/>
      <c r="BD138" s="138"/>
    </row>
    <row r="139" spans="2:56" ht="15.75">
      <c r="B139" s="121">
        <v>22</v>
      </c>
      <c r="C139" s="121">
        <v>19</v>
      </c>
      <c r="D139" s="734">
        <v>134.04000159229622</v>
      </c>
      <c r="E139" s="733"/>
      <c r="BD139" s="138"/>
    </row>
    <row r="140" spans="2:56" ht="15.75">
      <c r="B140" s="121">
        <v>22</v>
      </c>
      <c r="C140" s="121">
        <v>20</v>
      </c>
      <c r="D140" s="734">
        <v>141.24667946411077</v>
      </c>
      <c r="E140" s="733"/>
      <c r="BD140" s="138"/>
    </row>
    <row r="141" spans="2:56" ht="15.75">
      <c r="B141" s="121">
        <v>22</v>
      </c>
      <c r="C141" s="121">
        <v>21</v>
      </c>
      <c r="D141" s="734">
        <v>136.02661331323347</v>
      </c>
      <c r="E141" s="733"/>
      <c r="BD141" s="138"/>
    </row>
    <row r="142" spans="2:56" ht="15.75">
      <c r="B142" s="121">
        <v>22</v>
      </c>
      <c r="C142" s="121">
        <v>22</v>
      </c>
      <c r="D142" s="734">
        <v>137.68098277814411</v>
      </c>
      <c r="E142" s="733"/>
      <c r="BD142" s="138"/>
    </row>
    <row r="143" spans="2:56" ht="15.75">
      <c r="B143" s="121">
        <v>22</v>
      </c>
      <c r="C143" s="121">
        <v>23</v>
      </c>
      <c r="D143" s="734">
        <v>135.82187774085722</v>
      </c>
      <c r="E143" s="733"/>
      <c r="BD143" s="138"/>
    </row>
    <row r="144" spans="2:56" ht="15.75">
      <c r="B144" s="121">
        <v>22</v>
      </c>
      <c r="C144" s="121">
        <v>24</v>
      </c>
      <c r="D144" s="734">
        <v>137.64249457741079</v>
      </c>
      <c r="E144" s="733"/>
      <c r="BD144" s="138"/>
    </row>
    <row r="145" spans="2:56" ht="15.75">
      <c r="B145" s="121">
        <v>22</v>
      </c>
      <c r="C145" s="121">
        <v>25</v>
      </c>
      <c r="D145" s="734">
        <v>138.28700428896337</v>
      </c>
      <c r="E145" s="733"/>
      <c r="BD145" s="138"/>
    </row>
    <row r="146" spans="2:56" ht="15.75">
      <c r="B146" s="121">
        <v>22</v>
      </c>
      <c r="C146" s="121">
        <v>26</v>
      </c>
      <c r="D146" s="734">
        <v>138.75132525357321</v>
      </c>
      <c r="E146" s="733"/>
      <c r="BD146" s="138"/>
    </row>
    <row r="147" spans="2:56" ht="15.75">
      <c r="B147" s="121">
        <v>22</v>
      </c>
      <c r="C147" s="121">
        <v>27</v>
      </c>
      <c r="D147" s="734">
        <v>134.41521031833389</v>
      </c>
      <c r="E147" s="733"/>
      <c r="BD147" s="138"/>
    </row>
    <row r="148" spans="2:56" ht="15.75">
      <c r="B148" s="121">
        <v>22</v>
      </c>
      <c r="C148" s="121">
        <v>28</v>
      </c>
      <c r="D148" s="734">
        <v>135.61721601261556</v>
      </c>
      <c r="E148" s="733"/>
      <c r="BD148" s="138"/>
    </row>
    <row r="149" spans="2:56" ht="15.75">
      <c r="B149" s="121">
        <v>22</v>
      </c>
      <c r="C149" s="121">
        <v>29</v>
      </c>
      <c r="D149" s="734">
        <v>146.92094574145139</v>
      </c>
      <c r="E149" s="733"/>
      <c r="BD149" s="138"/>
    </row>
    <row r="150" spans="2:56" ht="15.75">
      <c r="B150" s="121">
        <v>22</v>
      </c>
      <c r="C150" s="121">
        <v>30</v>
      </c>
      <c r="D150" s="734">
        <v>144.42591744836173</v>
      </c>
      <c r="E150" s="733"/>
      <c r="BD150" s="138"/>
    </row>
    <row r="151" spans="2:56" ht="15.75">
      <c r="B151" s="121">
        <v>22</v>
      </c>
      <c r="C151" s="121">
        <v>31</v>
      </c>
      <c r="D151" s="734">
        <v>135.19533904301008</v>
      </c>
      <c r="E151" s="733"/>
      <c r="BD151" s="138"/>
    </row>
    <row r="152" spans="2:56" ht="15.75">
      <c r="B152" s="121">
        <v>22</v>
      </c>
      <c r="C152" s="121">
        <v>32</v>
      </c>
      <c r="D152" s="734">
        <v>138.74840698546623</v>
      </c>
      <c r="E152" s="733"/>
      <c r="BD152" s="138"/>
    </row>
    <row r="153" spans="2:56" ht="15.75">
      <c r="B153" s="121">
        <v>22</v>
      </c>
      <c r="C153" s="121">
        <v>33</v>
      </c>
      <c r="D153" s="734">
        <v>144.36676607426733</v>
      </c>
      <c r="E153" s="733"/>
      <c r="BD153" s="138"/>
    </row>
    <row r="154" spans="2:56" ht="15.75">
      <c r="B154" s="121">
        <v>23</v>
      </c>
      <c r="C154" s="121">
        <v>1</v>
      </c>
      <c r="D154" s="734">
        <v>5</v>
      </c>
      <c r="E154" s="733"/>
      <c r="BD154" s="138"/>
    </row>
    <row r="155" spans="2:56" ht="15.75">
      <c r="B155" s="121">
        <v>23</v>
      </c>
      <c r="C155" s="121">
        <v>2</v>
      </c>
      <c r="D155" s="734">
        <v>99.894521844912305</v>
      </c>
      <c r="E155" s="733"/>
      <c r="BD155" s="138"/>
    </row>
    <row r="156" spans="2:56" ht="15.75">
      <c r="B156" s="121">
        <v>23</v>
      </c>
      <c r="C156" s="121">
        <v>3</v>
      </c>
      <c r="D156" s="734">
        <v>116.24978637067034</v>
      </c>
      <c r="E156" s="733"/>
      <c r="BD156" s="138"/>
    </row>
    <row r="157" spans="2:56" ht="15.75">
      <c r="B157" s="121">
        <v>23</v>
      </c>
      <c r="C157" s="121">
        <v>4</v>
      </c>
      <c r="D157" s="734">
        <v>133.73065277927759</v>
      </c>
      <c r="E157" s="733"/>
      <c r="BD157" s="138"/>
    </row>
    <row r="158" spans="2:56" ht="15.75">
      <c r="B158" s="121">
        <v>23</v>
      </c>
      <c r="C158" s="121">
        <v>5</v>
      </c>
      <c r="D158" s="734">
        <v>142.46007140906946</v>
      </c>
      <c r="E158" s="733"/>
      <c r="BD158" s="138"/>
    </row>
    <row r="159" spans="2:56" ht="15.75">
      <c r="B159" s="121">
        <v>23</v>
      </c>
      <c r="C159" s="121">
        <v>6</v>
      </c>
      <c r="D159" s="734">
        <v>139.56194560173523</v>
      </c>
      <c r="E159" s="733"/>
      <c r="BD159" s="138"/>
    </row>
    <row r="160" spans="2:56" ht="15.75">
      <c r="B160" s="121">
        <v>23</v>
      </c>
      <c r="C160" s="121">
        <v>7</v>
      </c>
      <c r="D160" s="734">
        <v>144.72980925198323</v>
      </c>
      <c r="E160" s="733"/>
      <c r="BD160" s="138"/>
    </row>
    <row r="161" spans="2:56" ht="15.75">
      <c r="B161" s="121">
        <v>23</v>
      </c>
      <c r="C161" s="121">
        <v>8</v>
      </c>
      <c r="D161" s="734">
        <v>145.84593606426714</v>
      </c>
      <c r="E161" s="733"/>
      <c r="BD161" s="138"/>
    </row>
    <row r="162" spans="2:56" ht="15.75">
      <c r="B162" s="121">
        <v>23</v>
      </c>
      <c r="C162" s="121">
        <v>9</v>
      </c>
      <c r="D162" s="734">
        <v>144.80809870057345</v>
      </c>
      <c r="E162" s="733"/>
      <c r="BD162" s="138"/>
    </row>
    <row r="163" spans="2:56" ht="15.75">
      <c r="B163" s="121">
        <v>23</v>
      </c>
      <c r="C163" s="121">
        <v>10</v>
      </c>
      <c r="D163" s="734">
        <v>144.61704725542521</v>
      </c>
      <c r="E163" s="733"/>
      <c r="BD163" s="138"/>
    </row>
    <row r="164" spans="2:56" ht="15.75">
      <c r="B164" s="121">
        <v>23</v>
      </c>
      <c r="C164" s="121">
        <v>11</v>
      </c>
      <c r="D164" s="734">
        <v>137.22982232193388</v>
      </c>
      <c r="E164" s="733"/>
      <c r="BD164" s="138"/>
    </row>
    <row r="165" spans="2:56" ht="15.75">
      <c r="B165" s="121">
        <v>23</v>
      </c>
      <c r="C165" s="121">
        <v>12</v>
      </c>
      <c r="D165" s="734">
        <v>144.38834526646428</v>
      </c>
      <c r="E165" s="733"/>
      <c r="BD165" s="138"/>
    </row>
    <row r="166" spans="2:56" ht="15.75">
      <c r="B166" s="121">
        <v>23</v>
      </c>
      <c r="C166" s="121">
        <v>13</v>
      </c>
      <c r="D166" s="734">
        <v>143.90390031045467</v>
      </c>
      <c r="E166" s="733"/>
      <c r="BD166" s="138"/>
    </row>
    <row r="167" spans="2:56" ht="15.75">
      <c r="B167" s="121">
        <v>23</v>
      </c>
      <c r="C167" s="121">
        <v>14</v>
      </c>
      <c r="D167" s="734">
        <v>143.3432404438702</v>
      </c>
      <c r="E167" s="733"/>
      <c r="BD167" s="138"/>
    </row>
    <row r="168" spans="2:56" ht="15.75">
      <c r="B168" s="121">
        <v>24</v>
      </c>
      <c r="C168" s="121">
        <v>1</v>
      </c>
      <c r="D168" s="734">
        <v>5</v>
      </c>
      <c r="E168" s="733"/>
      <c r="BD168" s="138"/>
    </row>
    <row r="169" spans="2:56" ht="15.75">
      <c r="B169" s="121">
        <v>25</v>
      </c>
      <c r="C169" s="121">
        <v>1</v>
      </c>
      <c r="D169" s="734">
        <v>5</v>
      </c>
      <c r="E169" s="733"/>
      <c r="BD169" s="138"/>
    </row>
    <row r="170" spans="2:56" ht="15.75">
      <c r="B170" s="121">
        <v>26</v>
      </c>
      <c r="C170" s="121">
        <v>1</v>
      </c>
      <c r="D170" s="734">
        <v>5</v>
      </c>
      <c r="E170" s="733"/>
      <c r="BD170" s="138"/>
    </row>
    <row r="171" spans="2:56" ht="15.75">
      <c r="B171" s="121">
        <v>26</v>
      </c>
      <c r="C171" s="121">
        <v>2</v>
      </c>
      <c r="D171" s="734">
        <v>94.20548959704648</v>
      </c>
      <c r="E171" s="733"/>
      <c r="BD171" s="138"/>
    </row>
    <row r="172" spans="2:56" ht="15.75">
      <c r="B172" s="121">
        <v>26</v>
      </c>
      <c r="C172" s="121">
        <v>3</v>
      </c>
      <c r="D172" s="734">
        <v>116.84313340043725</v>
      </c>
      <c r="E172" s="733"/>
      <c r="BD172" s="138"/>
    </row>
    <row r="173" spans="2:56" ht="15.75">
      <c r="B173" s="121">
        <v>26</v>
      </c>
      <c r="C173" s="121">
        <v>4</v>
      </c>
      <c r="D173" s="734">
        <v>138.80528270004294</v>
      </c>
      <c r="E173" s="733"/>
      <c r="BD173" s="138"/>
    </row>
    <row r="174" spans="2:56" ht="15.75">
      <c r="B174" s="121">
        <v>26</v>
      </c>
      <c r="C174" s="121">
        <v>5</v>
      </c>
      <c r="D174" s="734">
        <v>144.94339828472104</v>
      </c>
      <c r="E174" s="733"/>
      <c r="BD174" s="138"/>
    </row>
    <row r="175" spans="2:56" ht="15.75">
      <c r="B175" s="121">
        <v>26</v>
      </c>
      <c r="C175" s="121">
        <v>6</v>
      </c>
      <c r="D175" s="734">
        <v>144.59953987180154</v>
      </c>
      <c r="E175" s="733"/>
      <c r="BD175" s="138"/>
    </row>
    <row r="176" spans="2:56" ht="15.75">
      <c r="B176" s="121">
        <v>26</v>
      </c>
      <c r="C176" s="121">
        <v>7</v>
      </c>
      <c r="D176" s="734">
        <v>135.01328090631779</v>
      </c>
      <c r="E176" s="733"/>
      <c r="BD176" s="138"/>
    </row>
    <row r="177" spans="2:56" ht="15.75">
      <c r="B177" s="121">
        <v>26</v>
      </c>
      <c r="C177" s="121">
        <v>8</v>
      </c>
      <c r="D177" s="734">
        <v>141.78226491793612</v>
      </c>
      <c r="E177" s="733"/>
      <c r="BD177" s="138"/>
    </row>
    <row r="178" spans="2:56" ht="15.75">
      <c r="B178" s="121">
        <v>26</v>
      </c>
      <c r="C178" s="121">
        <v>9</v>
      </c>
      <c r="D178" s="734">
        <v>145.71713199184362</v>
      </c>
      <c r="E178" s="733"/>
      <c r="BD178" s="138"/>
    </row>
    <row r="179" spans="2:56" ht="15.75">
      <c r="B179" s="121">
        <v>26</v>
      </c>
      <c r="C179" s="121">
        <v>10</v>
      </c>
      <c r="D179" s="734">
        <v>145.7309967061299</v>
      </c>
      <c r="E179" s="733"/>
      <c r="BD179" s="138"/>
    </row>
    <row r="180" spans="2:56" ht="15.75">
      <c r="B180" s="121">
        <v>26</v>
      </c>
      <c r="C180" s="121">
        <v>11</v>
      </c>
      <c r="D180" s="734">
        <v>137.04934255309669</v>
      </c>
      <c r="E180" s="733"/>
      <c r="BD180" s="138"/>
    </row>
    <row r="181" spans="2:56" ht="15.75">
      <c r="B181" s="121">
        <v>26</v>
      </c>
      <c r="C181" s="121">
        <v>12</v>
      </c>
      <c r="D181" s="734">
        <v>138.38435380619507</v>
      </c>
      <c r="E181" s="733"/>
      <c r="BD181" s="138"/>
    </row>
    <row r="182" spans="2:56" ht="15.75">
      <c r="B182" s="121">
        <v>26</v>
      </c>
      <c r="C182" s="121">
        <v>13</v>
      </c>
      <c r="D182" s="734">
        <v>144.8183094367842</v>
      </c>
      <c r="E182" s="733"/>
      <c r="BD182" s="138"/>
    </row>
    <row r="183" spans="2:56" ht="15.75">
      <c r="B183" s="121">
        <v>26</v>
      </c>
      <c r="C183" s="121">
        <v>14</v>
      </c>
      <c r="D183" s="734">
        <v>135.51302827763902</v>
      </c>
      <c r="E183" s="733"/>
      <c r="BD183" s="138"/>
    </row>
    <row r="184" spans="2:56" ht="15.75">
      <c r="B184" s="121">
        <v>26</v>
      </c>
      <c r="C184" s="121">
        <v>15</v>
      </c>
      <c r="D184" s="734">
        <v>138.52044167095491</v>
      </c>
      <c r="E184" s="733"/>
      <c r="BD184" s="138"/>
    </row>
    <row r="185" spans="2:56" ht="15.75">
      <c r="B185" s="121">
        <v>26</v>
      </c>
      <c r="C185" s="121">
        <v>16</v>
      </c>
      <c r="D185" s="734">
        <v>139.71734972641559</v>
      </c>
      <c r="E185" s="733"/>
      <c r="BD185" s="138"/>
    </row>
    <row r="186" spans="2:56" ht="15.75">
      <c r="B186" s="121">
        <v>26</v>
      </c>
      <c r="C186" s="121">
        <v>17</v>
      </c>
      <c r="D186" s="734">
        <v>145.38981889816682</v>
      </c>
      <c r="E186" s="733"/>
      <c r="BD186" s="138"/>
    </row>
    <row r="187" spans="2:56" ht="15.75">
      <c r="B187" s="121">
        <v>26</v>
      </c>
      <c r="C187" s="121">
        <v>18</v>
      </c>
      <c r="D187" s="734">
        <v>146.27325388070099</v>
      </c>
      <c r="E187" s="733"/>
      <c r="BD187" s="138"/>
    </row>
    <row r="188" spans="2:56" ht="15.75">
      <c r="B188" s="121">
        <v>26</v>
      </c>
      <c r="C188" s="121">
        <v>19</v>
      </c>
      <c r="D188" s="734">
        <v>139.91955618090574</v>
      </c>
      <c r="E188" s="733"/>
      <c r="BD188" s="138"/>
    </row>
    <row r="189" spans="2:56" ht="15.75">
      <c r="B189" s="121">
        <v>26</v>
      </c>
      <c r="C189" s="121">
        <v>20</v>
      </c>
      <c r="D189" s="734">
        <v>143.98373449441809</v>
      </c>
      <c r="E189" s="733"/>
      <c r="BD189" s="138"/>
    </row>
    <row r="190" spans="2:56" ht="15.75">
      <c r="B190" s="121">
        <v>26</v>
      </c>
      <c r="C190" s="121">
        <v>21</v>
      </c>
      <c r="D190" s="734">
        <v>133.69659902310138</v>
      </c>
      <c r="E190" s="733"/>
      <c r="BD190" s="138"/>
    </row>
    <row r="191" spans="2:56" ht="15.75">
      <c r="B191" s="121">
        <v>26</v>
      </c>
      <c r="C191" s="121">
        <v>22</v>
      </c>
      <c r="D191" s="734">
        <v>135.47768622175698</v>
      </c>
      <c r="E191" s="733"/>
      <c r="BD191" s="138"/>
    </row>
    <row r="192" spans="2:56" ht="15.75">
      <c r="B192" s="121">
        <v>26</v>
      </c>
      <c r="C192" s="121">
        <v>23</v>
      </c>
      <c r="D192" s="734">
        <v>136.24709109424936</v>
      </c>
      <c r="E192" s="733"/>
      <c r="BD192" s="138"/>
    </row>
    <row r="193" spans="2:56" ht="15.75">
      <c r="B193" s="121">
        <v>26</v>
      </c>
      <c r="C193" s="121">
        <v>24</v>
      </c>
      <c r="D193" s="734">
        <v>141.70639641183027</v>
      </c>
      <c r="E193" s="733"/>
      <c r="BD193" s="138"/>
    </row>
    <row r="194" spans="2:56" ht="15.75">
      <c r="B194" s="121">
        <v>26</v>
      </c>
      <c r="C194" s="121">
        <v>25</v>
      </c>
      <c r="D194" s="734">
        <v>146.70759751341555</v>
      </c>
      <c r="E194" s="733"/>
      <c r="BD194" s="138"/>
    </row>
    <row r="195" spans="2:56" ht="15.75">
      <c r="B195" s="121">
        <v>26</v>
      </c>
      <c r="C195" s="121">
        <v>26</v>
      </c>
      <c r="D195" s="734">
        <v>138.22795997831221</v>
      </c>
      <c r="E195" s="733"/>
      <c r="BD195" s="138"/>
    </row>
    <row r="196" spans="2:56" ht="15.75">
      <c r="B196" s="121">
        <v>26</v>
      </c>
      <c r="C196" s="121">
        <v>27</v>
      </c>
      <c r="D196" s="734">
        <v>142.61591582414937</v>
      </c>
      <c r="E196" s="733"/>
      <c r="BD196" s="138"/>
    </row>
    <row r="197" spans="2:56" ht="15.75">
      <c r="B197" s="121">
        <v>26</v>
      </c>
      <c r="C197" s="121">
        <v>28</v>
      </c>
      <c r="D197" s="734">
        <v>135.89300022166768</v>
      </c>
      <c r="E197" s="733"/>
      <c r="BD197" s="138"/>
    </row>
    <row r="198" spans="2:56" ht="15.75">
      <c r="B198" s="121">
        <v>26</v>
      </c>
      <c r="C198" s="121">
        <v>29</v>
      </c>
      <c r="D198" s="734">
        <v>141.97015207024663</v>
      </c>
      <c r="E198" s="733"/>
      <c r="BD198" s="138"/>
    </row>
    <row r="199" spans="2:56" ht="15.75">
      <c r="B199" s="121">
        <v>26</v>
      </c>
      <c r="C199" s="121">
        <v>30</v>
      </c>
      <c r="D199" s="734">
        <v>138.58025150839279</v>
      </c>
      <c r="E199" s="733"/>
      <c r="BD199" s="138"/>
    </row>
    <row r="200" spans="2:56" ht="15.75">
      <c r="B200" s="121">
        <v>26</v>
      </c>
      <c r="C200" s="121">
        <v>31</v>
      </c>
      <c r="D200" s="734">
        <v>140.58437301440171</v>
      </c>
      <c r="E200" s="733"/>
      <c r="BD200" s="138"/>
    </row>
    <row r="201" spans="2:56" ht="15.75">
      <c r="B201" s="121">
        <v>26</v>
      </c>
      <c r="C201" s="121">
        <v>32</v>
      </c>
      <c r="D201" s="734">
        <v>144.43276141191353</v>
      </c>
      <c r="E201" s="733"/>
      <c r="BD201" s="138"/>
    </row>
    <row r="202" spans="2:56" ht="15.75">
      <c r="B202" s="121">
        <v>26</v>
      </c>
      <c r="C202" s="121">
        <v>33</v>
      </c>
      <c r="D202" s="734">
        <v>136.75747084854777</v>
      </c>
      <c r="E202" s="733"/>
      <c r="BD202" s="138"/>
    </row>
    <row r="203" spans="2:56" ht="15.75">
      <c r="B203" s="121">
        <v>26</v>
      </c>
      <c r="C203" s="121">
        <v>34</v>
      </c>
      <c r="D203" s="734">
        <v>135.26318224262459</v>
      </c>
      <c r="E203" s="733"/>
      <c r="BD203" s="138"/>
    </row>
    <row r="204" spans="2:56" ht="15.75">
      <c r="B204" s="121">
        <v>26</v>
      </c>
      <c r="C204" s="121">
        <v>35</v>
      </c>
      <c r="D204" s="734">
        <v>135.83188209319144</v>
      </c>
      <c r="E204" s="733"/>
      <c r="BD204" s="138"/>
    </row>
    <row r="205" spans="2:56" ht="15.75">
      <c r="B205" s="121">
        <v>26</v>
      </c>
      <c r="C205" s="121">
        <v>36</v>
      </c>
      <c r="D205" s="734">
        <v>141.62841767893406</v>
      </c>
      <c r="E205" s="733"/>
      <c r="BD205" s="138"/>
    </row>
    <row r="206" spans="2:56" ht="15.75">
      <c r="B206" s="121">
        <v>27</v>
      </c>
      <c r="C206" s="121">
        <v>1</v>
      </c>
      <c r="D206" s="734">
        <v>5</v>
      </c>
      <c r="E206" s="733"/>
      <c r="BD206" s="138"/>
    </row>
    <row r="207" spans="2:56" ht="15.75">
      <c r="B207" s="121">
        <v>28</v>
      </c>
      <c r="C207" s="121">
        <v>1</v>
      </c>
      <c r="D207" s="734">
        <v>5</v>
      </c>
      <c r="E207" s="733"/>
      <c r="BD207" s="138"/>
    </row>
    <row r="208" spans="2:56" ht="15.75">
      <c r="B208" s="121">
        <v>28</v>
      </c>
      <c r="C208" s="121">
        <v>2</v>
      </c>
      <c r="D208" s="734">
        <v>96.113264952407235</v>
      </c>
      <c r="E208" s="733"/>
      <c r="BD208" s="138"/>
    </row>
    <row r="209" spans="2:56" ht="15.75">
      <c r="B209" s="121">
        <v>28</v>
      </c>
      <c r="C209" s="121">
        <v>3</v>
      </c>
      <c r="D209" s="734">
        <v>114.18277476033981</v>
      </c>
      <c r="E209" s="733"/>
      <c r="BD209" s="138"/>
    </row>
    <row r="210" spans="2:56" ht="15.75">
      <c r="B210" s="121">
        <v>28</v>
      </c>
      <c r="C210" s="121">
        <v>4</v>
      </c>
      <c r="D210" s="734">
        <v>137.2997767774412</v>
      </c>
      <c r="E210" s="733"/>
      <c r="BD210" s="138"/>
    </row>
    <row r="211" spans="2:56" ht="15.75">
      <c r="B211" s="121">
        <v>28</v>
      </c>
      <c r="C211" s="121">
        <v>5</v>
      </c>
      <c r="D211" s="734">
        <v>142.52735973376119</v>
      </c>
      <c r="E211" s="733"/>
      <c r="BD211" s="138"/>
    </row>
    <row r="212" spans="2:56" ht="15.75">
      <c r="B212" s="121">
        <v>28</v>
      </c>
      <c r="C212" s="121">
        <v>6</v>
      </c>
      <c r="D212" s="734">
        <v>146.54817776367665</v>
      </c>
      <c r="E212" s="733"/>
      <c r="BD212" s="138"/>
    </row>
    <row r="213" spans="2:56" ht="15.75">
      <c r="B213" s="121">
        <v>28</v>
      </c>
      <c r="C213" s="121">
        <v>7</v>
      </c>
      <c r="D213" s="734">
        <v>141.23317772569192</v>
      </c>
      <c r="E213" s="733"/>
      <c r="BD213" s="138"/>
    </row>
    <row r="214" spans="2:56" ht="15.75">
      <c r="B214" s="121">
        <v>28</v>
      </c>
      <c r="C214" s="121">
        <v>8</v>
      </c>
      <c r="D214" s="734">
        <v>139.68493291377806</v>
      </c>
      <c r="E214" s="733"/>
      <c r="BD214" s="138"/>
    </row>
    <row r="215" spans="2:56" ht="15.75">
      <c r="B215" s="121">
        <v>28</v>
      </c>
      <c r="C215" s="121">
        <v>9</v>
      </c>
      <c r="D215" s="734">
        <v>135.60103829852588</v>
      </c>
      <c r="E215" s="733"/>
      <c r="BD215" s="138"/>
    </row>
    <row r="216" spans="2:56" ht="15.75">
      <c r="B216" s="121">
        <v>28</v>
      </c>
      <c r="C216" s="121">
        <v>10</v>
      </c>
      <c r="D216" s="734">
        <v>144.02136082256149</v>
      </c>
      <c r="E216" s="733"/>
      <c r="BD216" s="138"/>
    </row>
    <row r="217" spans="2:56" ht="15.75">
      <c r="B217" s="121">
        <v>28</v>
      </c>
      <c r="C217" s="121">
        <v>11</v>
      </c>
      <c r="D217" s="734">
        <v>144.95406427864972</v>
      </c>
      <c r="E217" s="733"/>
      <c r="BD217" s="138"/>
    </row>
    <row r="218" spans="2:56" ht="15.75">
      <c r="B218" s="121">
        <v>28</v>
      </c>
      <c r="C218" s="121">
        <v>12</v>
      </c>
      <c r="D218" s="734">
        <v>143.92707879504363</v>
      </c>
      <c r="E218" s="733"/>
      <c r="BD218" s="138"/>
    </row>
    <row r="219" spans="2:56" ht="15.75">
      <c r="B219" s="121">
        <v>28</v>
      </c>
      <c r="C219" s="121">
        <v>13</v>
      </c>
      <c r="D219" s="734">
        <v>138.19243191838422</v>
      </c>
      <c r="E219" s="733"/>
      <c r="BD219" s="138"/>
    </row>
    <row r="220" spans="2:56" ht="15.75">
      <c r="B220" s="121">
        <v>28</v>
      </c>
      <c r="C220" s="121">
        <v>14</v>
      </c>
      <c r="D220" s="734">
        <v>138.34069373891268</v>
      </c>
      <c r="E220" s="733"/>
      <c r="BD220" s="138"/>
    </row>
    <row r="221" spans="2:56" ht="15.75">
      <c r="B221" s="121">
        <v>28</v>
      </c>
      <c r="C221" s="121">
        <v>15</v>
      </c>
      <c r="D221" s="734">
        <v>140.59200897355922</v>
      </c>
      <c r="E221" s="733"/>
      <c r="BD221" s="138"/>
    </row>
    <row r="222" spans="2:56" ht="15.75">
      <c r="B222" s="121">
        <v>28</v>
      </c>
      <c r="C222" s="121">
        <v>16</v>
      </c>
      <c r="D222" s="734">
        <v>135.93434889614954</v>
      </c>
      <c r="E222" s="733"/>
      <c r="BD222" s="138"/>
    </row>
    <row r="223" spans="2:56" ht="15.75">
      <c r="B223" s="121">
        <v>28</v>
      </c>
      <c r="C223" s="121">
        <v>17</v>
      </c>
      <c r="D223" s="734">
        <v>135.72067635319871</v>
      </c>
      <c r="E223" s="733"/>
      <c r="BD223" s="138"/>
    </row>
    <row r="224" spans="2:56" ht="15.75">
      <c r="B224" s="121">
        <v>28</v>
      </c>
      <c r="C224" s="121">
        <v>18</v>
      </c>
      <c r="D224" s="734">
        <v>141.57977184049378</v>
      </c>
      <c r="E224" s="733"/>
      <c r="BD224" s="138"/>
    </row>
    <row r="225" spans="2:56" ht="15.75">
      <c r="B225" s="121">
        <v>28</v>
      </c>
      <c r="C225" s="121">
        <v>19</v>
      </c>
      <c r="D225" s="734">
        <v>143.63853417109451</v>
      </c>
      <c r="E225" s="733"/>
      <c r="BD225" s="138"/>
    </row>
    <row r="226" spans="2:56" ht="15.75">
      <c r="B226" s="121">
        <v>28</v>
      </c>
      <c r="C226" s="121">
        <v>20</v>
      </c>
      <c r="D226" s="734">
        <v>135.44480606644876</v>
      </c>
      <c r="E226" s="733"/>
      <c r="BD226" s="138"/>
    </row>
    <row r="227" spans="2:56" ht="15.75">
      <c r="B227" s="121">
        <v>28</v>
      </c>
      <c r="C227" s="121">
        <v>21</v>
      </c>
      <c r="D227" s="734">
        <v>142.23005852878208</v>
      </c>
      <c r="E227" s="733"/>
      <c r="BD227" s="138"/>
    </row>
    <row r="228" spans="2:56" ht="15.75">
      <c r="B228" s="121">
        <v>28</v>
      </c>
      <c r="C228" s="121">
        <v>22</v>
      </c>
      <c r="D228" s="734">
        <v>141.32528704545726</v>
      </c>
      <c r="E228" s="733"/>
      <c r="BD228" s="138"/>
    </row>
    <row r="229" spans="2:56" ht="15.75">
      <c r="B229" s="121">
        <v>28</v>
      </c>
      <c r="C229" s="121">
        <v>23</v>
      </c>
      <c r="D229" s="734">
        <v>142.3415244958054</v>
      </c>
      <c r="E229" s="733"/>
      <c r="BD229" s="138"/>
    </row>
    <row r="230" spans="2:56" ht="15.75">
      <c r="B230" s="121">
        <v>28</v>
      </c>
      <c r="C230" s="121">
        <v>24</v>
      </c>
      <c r="D230" s="734">
        <v>134.30111325112239</v>
      </c>
      <c r="E230" s="733"/>
      <c r="BD230" s="138"/>
    </row>
    <row r="231" spans="2:56" ht="15.75">
      <c r="B231" s="121">
        <v>28</v>
      </c>
      <c r="C231" s="121">
        <v>25</v>
      </c>
      <c r="D231" s="734">
        <v>142.86858895140085</v>
      </c>
      <c r="E231" s="733"/>
      <c r="BD231" s="138"/>
    </row>
    <row r="232" spans="2:56" ht="15.75">
      <c r="B232" s="121">
        <v>28</v>
      </c>
      <c r="C232" s="121">
        <v>26</v>
      </c>
      <c r="D232" s="734">
        <v>135.01487426314156</v>
      </c>
      <c r="E232" s="733"/>
      <c r="BD232" s="138"/>
    </row>
    <row r="233" spans="2:56" ht="15.75">
      <c r="B233" s="121">
        <v>28</v>
      </c>
      <c r="C233" s="121">
        <v>27</v>
      </c>
      <c r="D233" s="734">
        <v>134.58377906792282</v>
      </c>
      <c r="E233" s="733"/>
      <c r="BD233" s="138"/>
    </row>
    <row r="234" spans="2:56" ht="15.75">
      <c r="B234" s="121">
        <v>28</v>
      </c>
      <c r="C234" s="121">
        <v>28</v>
      </c>
      <c r="D234" s="734">
        <v>140.84236266846753</v>
      </c>
      <c r="E234" s="733"/>
      <c r="BD234" s="138"/>
    </row>
    <row r="235" spans="2:56" ht="15.75">
      <c r="B235" s="121">
        <v>28</v>
      </c>
      <c r="C235" s="121">
        <v>29</v>
      </c>
      <c r="D235" s="734">
        <v>139.40878432513</v>
      </c>
      <c r="E235" s="733"/>
      <c r="BD235" s="138"/>
    </row>
    <row r="236" spans="2:56" ht="15.75">
      <c r="B236" s="121">
        <v>28</v>
      </c>
      <c r="C236" s="121">
        <v>30</v>
      </c>
      <c r="D236" s="734">
        <v>144.41640531322082</v>
      </c>
      <c r="E236" s="733"/>
      <c r="BD236" s="138"/>
    </row>
    <row r="237" spans="2:56" ht="15.75">
      <c r="B237" s="121">
        <v>28</v>
      </c>
      <c r="C237" s="121">
        <v>31</v>
      </c>
      <c r="D237" s="734">
        <v>144.94387931295168</v>
      </c>
      <c r="E237" s="733"/>
      <c r="BD237" s="138"/>
    </row>
    <row r="238" spans="2:56" ht="15.75">
      <c r="B238" s="121">
        <v>28</v>
      </c>
      <c r="C238" s="121">
        <v>32</v>
      </c>
      <c r="D238" s="734">
        <v>145.60733440801096</v>
      </c>
      <c r="E238" s="733"/>
      <c r="BD238" s="138"/>
    </row>
    <row r="239" spans="2:56" ht="15.75">
      <c r="B239" s="121">
        <v>28</v>
      </c>
      <c r="C239" s="121">
        <v>33</v>
      </c>
      <c r="D239" s="734">
        <v>138.07377646616706</v>
      </c>
      <c r="E239" s="733"/>
      <c r="BD239" s="138"/>
    </row>
    <row r="240" spans="2:56" ht="15.75">
      <c r="B240" s="121">
        <v>28</v>
      </c>
      <c r="C240" s="121">
        <v>34</v>
      </c>
      <c r="D240" s="734">
        <v>136.94934067510164</v>
      </c>
      <c r="E240" s="733"/>
      <c r="BD240" s="138"/>
    </row>
    <row r="241" spans="2:56" ht="15.75">
      <c r="B241" s="121">
        <v>28</v>
      </c>
      <c r="C241" s="121">
        <v>35</v>
      </c>
      <c r="D241" s="734">
        <v>136.31980720859238</v>
      </c>
      <c r="E241" s="733"/>
      <c r="BD241" s="138"/>
    </row>
    <row r="242" spans="2:56" ht="15.75">
      <c r="B242" s="121">
        <v>28</v>
      </c>
      <c r="C242" s="121">
        <v>36</v>
      </c>
      <c r="D242" s="734">
        <v>139.77190389676738</v>
      </c>
      <c r="E242" s="733"/>
      <c r="BD242" s="138"/>
    </row>
    <row r="243" spans="2:56" ht="15.75">
      <c r="B243" s="121">
        <v>29</v>
      </c>
      <c r="C243" s="121">
        <v>1</v>
      </c>
      <c r="D243" s="734">
        <v>5</v>
      </c>
      <c r="E243" s="733"/>
      <c r="BD243" s="138"/>
    </row>
    <row r="244" spans="2:56" ht="15.75">
      <c r="B244" s="121">
        <v>29</v>
      </c>
      <c r="C244" s="121">
        <v>2</v>
      </c>
      <c r="D244" s="734">
        <v>99.808850855760838</v>
      </c>
      <c r="E244" s="733"/>
      <c r="BD244" s="138"/>
    </row>
    <row r="245" spans="2:56" ht="15.75">
      <c r="B245" s="121">
        <v>29</v>
      </c>
      <c r="C245" s="121">
        <v>3</v>
      </c>
      <c r="D245" s="734">
        <v>123.18067135904148</v>
      </c>
      <c r="E245" s="733"/>
      <c r="BD245" s="138"/>
    </row>
    <row r="246" spans="2:56" ht="15.75">
      <c r="B246" s="121">
        <v>29</v>
      </c>
      <c r="C246" s="121">
        <v>4</v>
      </c>
      <c r="D246" s="734">
        <v>141.70400753800718</v>
      </c>
      <c r="E246" s="733"/>
      <c r="BD246" s="138"/>
    </row>
    <row r="247" spans="2:56" ht="15.75">
      <c r="B247" s="121">
        <v>29</v>
      </c>
      <c r="C247" s="121">
        <v>5</v>
      </c>
      <c r="D247" s="734">
        <v>134.04228857684953</v>
      </c>
      <c r="E247" s="733"/>
      <c r="BD247" s="138"/>
    </row>
    <row r="248" spans="2:56" ht="15.75">
      <c r="B248" s="121">
        <v>29</v>
      </c>
      <c r="C248" s="121">
        <v>6</v>
      </c>
      <c r="D248" s="734">
        <v>144.83589354346424</v>
      </c>
      <c r="E248" s="733"/>
      <c r="BD248" s="138"/>
    </row>
    <row r="249" spans="2:56" ht="15.75">
      <c r="B249" s="121">
        <v>29</v>
      </c>
      <c r="C249" s="121">
        <v>7</v>
      </c>
      <c r="D249" s="734">
        <v>135.6676539541202</v>
      </c>
      <c r="E249" s="733"/>
      <c r="BD249" s="138"/>
    </row>
    <row r="250" spans="2:56" ht="15.75">
      <c r="B250" s="121">
        <v>29</v>
      </c>
      <c r="C250" s="121">
        <v>8</v>
      </c>
      <c r="D250" s="734">
        <v>141.39519355894544</v>
      </c>
      <c r="E250" s="733"/>
      <c r="BD250" s="138"/>
    </row>
    <row r="251" spans="2:56" ht="15.75">
      <c r="B251" s="121">
        <v>29</v>
      </c>
      <c r="C251" s="121">
        <v>9</v>
      </c>
      <c r="D251" s="734">
        <v>146.71796310037934</v>
      </c>
      <c r="E251" s="733"/>
      <c r="BD251" s="138"/>
    </row>
    <row r="252" spans="2:56" ht="15.75">
      <c r="B252" s="121">
        <v>29</v>
      </c>
      <c r="C252" s="121">
        <v>10</v>
      </c>
      <c r="D252" s="734">
        <v>135.42055283963245</v>
      </c>
      <c r="E252" s="733"/>
      <c r="BD252" s="138"/>
    </row>
    <row r="253" spans="2:56" ht="15.75">
      <c r="B253" s="121">
        <v>29</v>
      </c>
      <c r="C253" s="121">
        <v>11</v>
      </c>
      <c r="D253" s="734">
        <v>145.2355961305679</v>
      </c>
      <c r="E253" s="733"/>
      <c r="BD253" s="138"/>
    </row>
    <row r="254" spans="2:56" ht="15.75">
      <c r="B254" s="121">
        <v>29</v>
      </c>
      <c r="C254" s="121">
        <v>12</v>
      </c>
      <c r="D254" s="734">
        <v>146.10036774424111</v>
      </c>
      <c r="E254" s="733"/>
      <c r="BD254" s="138"/>
    </row>
    <row r="255" spans="2:56" ht="15.75">
      <c r="B255" s="121">
        <v>29</v>
      </c>
      <c r="C255" s="121">
        <v>13</v>
      </c>
      <c r="D255" s="734">
        <v>137.29985392224708</v>
      </c>
      <c r="E255" s="733"/>
      <c r="BD255" s="138"/>
    </row>
    <row r="256" spans="2:56" ht="15.75">
      <c r="B256" s="121">
        <v>29</v>
      </c>
      <c r="C256" s="121">
        <v>14</v>
      </c>
      <c r="D256" s="734">
        <v>139.43335529704643</v>
      </c>
      <c r="E256" s="733"/>
      <c r="BD256" s="138"/>
    </row>
    <row r="257" spans="2:56" ht="15.75">
      <c r="B257" s="121">
        <v>29</v>
      </c>
      <c r="C257" s="121">
        <v>15</v>
      </c>
      <c r="D257" s="734">
        <v>141.04108286177615</v>
      </c>
      <c r="E257" s="733"/>
      <c r="BD257" s="138"/>
    </row>
    <row r="258" spans="2:56" ht="15.75">
      <c r="B258" s="121">
        <v>29</v>
      </c>
      <c r="C258" s="121">
        <v>16</v>
      </c>
      <c r="D258" s="734">
        <v>136.20886638674799</v>
      </c>
      <c r="E258" s="733"/>
      <c r="BD258" s="138"/>
    </row>
    <row r="259" spans="2:56" ht="15.75">
      <c r="B259" s="121">
        <v>29</v>
      </c>
      <c r="C259" s="121">
        <v>17</v>
      </c>
      <c r="D259" s="734">
        <v>144.04509700967802</v>
      </c>
      <c r="E259" s="733"/>
      <c r="BD259" s="138"/>
    </row>
    <row r="260" spans="2:56" ht="15.75">
      <c r="B260" s="121">
        <v>29</v>
      </c>
      <c r="C260" s="121">
        <v>18</v>
      </c>
      <c r="D260" s="734">
        <v>139.45260008845321</v>
      </c>
      <c r="E260" s="733"/>
      <c r="BD260" s="138"/>
    </row>
    <row r="261" spans="2:56" ht="15.75">
      <c r="B261" s="121">
        <v>29</v>
      </c>
      <c r="C261" s="121">
        <v>19</v>
      </c>
      <c r="D261" s="734">
        <v>140.69225851602491</v>
      </c>
      <c r="E261" s="733"/>
      <c r="BD261" s="138"/>
    </row>
    <row r="262" spans="2:56" ht="15.75">
      <c r="B262" s="121">
        <v>29</v>
      </c>
      <c r="C262" s="121">
        <v>20</v>
      </c>
      <c r="D262" s="734">
        <v>137.39572406500656</v>
      </c>
      <c r="E262" s="733"/>
      <c r="BD262" s="138"/>
    </row>
    <row r="263" spans="2:56" ht="15.75">
      <c r="B263" s="121">
        <v>29</v>
      </c>
      <c r="C263" s="121">
        <v>21</v>
      </c>
      <c r="D263" s="734">
        <v>142.44683455223119</v>
      </c>
      <c r="E263" s="733"/>
      <c r="BD263" s="138"/>
    </row>
    <row r="264" spans="2:56" ht="15.75">
      <c r="B264" s="121">
        <v>29</v>
      </c>
      <c r="C264" s="121">
        <v>22</v>
      </c>
      <c r="D264" s="734">
        <v>135.06393032416335</v>
      </c>
      <c r="E264" s="733"/>
      <c r="BD264" s="138"/>
    </row>
    <row r="265" spans="2:56" ht="15.75">
      <c r="B265" s="121">
        <v>29</v>
      </c>
      <c r="C265" s="121">
        <v>23</v>
      </c>
      <c r="D265" s="734">
        <v>147.27669731391811</v>
      </c>
      <c r="E265" s="733"/>
      <c r="BD265" s="138"/>
    </row>
    <row r="266" spans="2:56" ht="15.75">
      <c r="B266" s="121">
        <v>29</v>
      </c>
      <c r="C266" s="121">
        <v>24</v>
      </c>
      <c r="D266" s="734">
        <v>144.71136794790209</v>
      </c>
      <c r="E266" s="733"/>
      <c r="BD266" s="138"/>
    </row>
    <row r="267" spans="2:56" ht="15.75">
      <c r="B267" s="121">
        <v>29</v>
      </c>
      <c r="C267" s="121">
        <v>25</v>
      </c>
      <c r="D267" s="734">
        <v>137.04331973814666</v>
      </c>
      <c r="E267" s="733"/>
      <c r="BD267" s="138"/>
    </row>
    <row r="268" spans="2:56" ht="15.75">
      <c r="B268" s="121">
        <v>29</v>
      </c>
      <c r="C268" s="121">
        <v>26</v>
      </c>
      <c r="D268" s="734">
        <v>145.59488844170775</v>
      </c>
      <c r="E268" s="733"/>
      <c r="BD268" s="138"/>
    </row>
    <row r="269" spans="2:56" ht="15.75">
      <c r="B269" s="121">
        <v>29</v>
      </c>
      <c r="C269" s="121">
        <v>27</v>
      </c>
      <c r="D269" s="734">
        <v>134.62451719833967</v>
      </c>
      <c r="E269" s="733"/>
      <c r="BD269" s="138"/>
    </row>
    <row r="270" spans="2:56" ht="15.75">
      <c r="B270" s="121">
        <v>29</v>
      </c>
      <c r="C270" s="121">
        <v>28</v>
      </c>
      <c r="D270" s="734">
        <v>142.73485146746376</v>
      </c>
      <c r="E270" s="733"/>
      <c r="BD270" s="138"/>
    </row>
    <row r="271" spans="2:56" ht="15.75">
      <c r="B271" s="121">
        <v>29</v>
      </c>
      <c r="C271" s="121">
        <v>29</v>
      </c>
      <c r="D271" s="734">
        <v>146.84142439737835</v>
      </c>
      <c r="E271" s="733"/>
      <c r="BD271" s="138"/>
    </row>
    <row r="272" spans="2:56" ht="15.75">
      <c r="B272" s="121">
        <v>29</v>
      </c>
      <c r="C272" s="121">
        <v>30</v>
      </c>
      <c r="D272" s="734">
        <v>136.53569213675877</v>
      </c>
      <c r="E272" s="733"/>
      <c r="BD272" s="138"/>
    </row>
    <row r="273" spans="2:56" ht="15.75">
      <c r="B273" s="121">
        <v>30</v>
      </c>
      <c r="C273" s="121">
        <v>1</v>
      </c>
      <c r="D273" s="734">
        <v>5</v>
      </c>
      <c r="E273" s="733"/>
      <c r="BD273" s="138"/>
    </row>
    <row r="274" spans="2:56" ht="15.75">
      <c r="B274" s="121">
        <v>31</v>
      </c>
      <c r="C274" s="121">
        <v>1</v>
      </c>
      <c r="D274" s="734">
        <v>5</v>
      </c>
      <c r="E274" s="733"/>
      <c r="BD274" s="138"/>
    </row>
    <row r="275" spans="2:56" ht="15.75">
      <c r="B275" s="121">
        <v>31</v>
      </c>
      <c r="C275" s="121">
        <v>2</v>
      </c>
      <c r="D275" s="734">
        <v>101.74509706691902</v>
      </c>
      <c r="E275" s="733"/>
      <c r="BD275" s="138"/>
    </row>
    <row r="276" spans="2:56" ht="15.75">
      <c r="B276" s="121">
        <v>31</v>
      </c>
      <c r="C276" s="121">
        <v>3</v>
      </c>
      <c r="D276" s="734">
        <v>120.61236721995304</v>
      </c>
      <c r="E276" s="733"/>
      <c r="BD276" s="138"/>
    </row>
    <row r="277" spans="2:56" ht="15.75">
      <c r="B277" s="121">
        <v>31</v>
      </c>
      <c r="C277" s="121">
        <v>4</v>
      </c>
      <c r="D277" s="734">
        <v>135.93842163406347</v>
      </c>
      <c r="E277" s="733"/>
      <c r="BD277" s="138"/>
    </row>
    <row r="278" spans="2:56" ht="15.75">
      <c r="B278" s="121">
        <v>31</v>
      </c>
      <c r="C278" s="121">
        <v>5</v>
      </c>
      <c r="D278" s="734">
        <v>140.72867466606127</v>
      </c>
      <c r="E278" s="733"/>
      <c r="BD278" s="138"/>
    </row>
    <row r="279" spans="2:56" ht="15.75">
      <c r="B279" s="121">
        <v>31</v>
      </c>
      <c r="C279" s="121">
        <v>6</v>
      </c>
      <c r="D279" s="734">
        <v>136.98727120408384</v>
      </c>
      <c r="E279" s="733"/>
      <c r="BD279" s="138"/>
    </row>
    <row r="280" spans="2:56" ht="15.75">
      <c r="B280" s="121">
        <v>31</v>
      </c>
      <c r="C280" s="121">
        <v>7</v>
      </c>
      <c r="D280" s="734">
        <v>137.60099721371074</v>
      </c>
      <c r="E280" s="733"/>
      <c r="BD280" s="138"/>
    </row>
    <row r="281" spans="2:56" ht="15.75">
      <c r="B281" s="121">
        <v>31</v>
      </c>
      <c r="C281" s="121">
        <v>8</v>
      </c>
      <c r="D281" s="734">
        <v>135.96706939305705</v>
      </c>
      <c r="E281" s="733"/>
      <c r="BD281" s="138"/>
    </row>
    <row r="282" spans="2:56" ht="15.75">
      <c r="B282" s="121">
        <v>31</v>
      </c>
      <c r="C282" s="121">
        <v>9</v>
      </c>
      <c r="D282" s="734">
        <v>144.07771537232327</v>
      </c>
      <c r="E282" s="733"/>
      <c r="BD282" s="138"/>
    </row>
    <row r="283" spans="2:56" ht="15.75">
      <c r="B283" s="121">
        <v>31</v>
      </c>
      <c r="C283" s="121">
        <v>10</v>
      </c>
      <c r="D283" s="734">
        <v>144.22845563815184</v>
      </c>
      <c r="E283" s="733"/>
      <c r="BD283" s="138"/>
    </row>
    <row r="284" spans="2:56" ht="15.75">
      <c r="B284" s="121">
        <v>31</v>
      </c>
      <c r="C284" s="121">
        <v>11</v>
      </c>
      <c r="D284" s="734">
        <v>136.74810148871754</v>
      </c>
      <c r="E284" s="733"/>
      <c r="BD284" s="138"/>
    </row>
    <row r="285" spans="2:56" ht="15.75">
      <c r="B285" s="121">
        <v>31</v>
      </c>
      <c r="C285" s="121">
        <v>12</v>
      </c>
      <c r="D285" s="734">
        <v>142.76525182387422</v>
      </c>
      <c r="E285" s="733"/>
      <c r="BD285" s="138"/>
    </row>
    <row r="286" spans="2:56" ht="15.75">
      <c r="B286" s="121">
        <v>31</v>
      </c>
      <c r="C286" s="121">
        <v>13</v>
      </c>
      <c r="D286" s="734">
        <v>147.01282175800966</v>
      </c>
      <c r="E286" s="733"/>
      <c r="BD286" s="138"/>
    </row>
    <row r="287" spans="2:56" ht="15.75">
      <c r="B287" s="121">
        <v>31</v>
      </c>
      <c r="C287" s="121">
        <v>14</v>
      </c>
      <c r="D287" s="734">
        <v>134.20610908918945</v>
      </c>
      <c r="E287" s="733"/>
      <c r="BD287" s="138"/>
    </row>
    <row r="288" spans="2:56" ht="15.75">
      <c r="B288" s="121">
        <v>31</v>
      </c>
      <c r="C288" s="121">
        <v>15</v>
      </c>
      <c r="D288" s="734">
        <v>146.88341564601097</v>
      </c>
      <c r="E288" s="733"/>
      <c r="BD288" s="138"/>
    </row>
    <row r="289" spans="2:56" ht="15.75">
      <c r="B289" s="121">
        <v>31</v>
      </c>
      <c r="C289" s="121">
        <v>16</v>
      </c>
      <c r="D289" s="734">
        <v>139.86909874895485</v>
      </c>
      <c r="E289" s="733"/>
      <c r="BD289" s="138"/>
    </row>
    <row r="290" spans="2:56" ht="15.75">
      <c r="B290" s="121">
        <v>31</v>
      </c>
      <c r="C290" s="121">
        <v>17</v>
      </c>
      <c r="D290" s="734">
        <v>144.49316764158317</v>
      </c>
      <c r="E290" s="733"/>
      <c r="BD290" s="138"/>
    </row>
    <row r="291" spans="2:56" ht="15.75">
      <c r="B291" s="121">
        <v>31</v>
      </c>
      <c r="C291" s="121">
        <v>18</v>
      </c>
      <c r="D291" s="734">
        <v>138.42796575945482</v>
      </c>
      <c r="E291" s="733"/>
      <c r="BD291" s="138"/>
    </row>
    <row r="292" spans="2:56" ht="15.75">
      <c r="B292" s="121">
        <v>31</v>
      </c>
      <c r="C292" s="121">
        <v>19</v>
      </c>
      <c r="D292" s="734">
        <v>138.39810746621933</v>
      </c>
      <c r="E292" s="733"/>
      <c r="BD292" s="138"/>
    </row>
    <row r="293" spans="2:56" ht="15.75">
      <c r="B293" s="121">
        <v>31</v>
      </c>
      <c r="C293" s="121">
        <v>20</v>
      </c>
      <c r="D293" s="734">
        <v>136.64026376074403</v>
      </c>
      <c r="E293" s="733"/>
      <c r="BD293" s="138"/>
    </row>
    <row r="294" spans="2:56" ht="15.75">
      <c r="B294" s="121">
        <v>31</v>
      </c>
      <c r="C294" s="121">
        <v>21</v>
      </c>
      <c r="D294" s="734">
        <v>134.31764242739411</v>
      </c>
      <c r="E294" s="733"/>
      <c r="BD294" s="138"/>
    </row>
    <row r="295" spans="2:56" ht="15.75">
      <c r="B295" s="121">
        <v>31</v>
      </c>
      <c r="C295" s="121">
        <v>22</v>
      </c>
      <c r="D295" s="734">
        <v>138.83374709634734</v>
      </c>
      <c r="E295" s="733"/>
      <c r="BD295" s="138"/>
    </row>
    <row r="296" spans="2:56" ht="15.75">
      <c r="B296" s="121">
        <v>31</v>
      </c>
      <c r="C296" s="121">
        <v>23</v>
      </c>
      <c r="D296" s="734">
        <v>144.35048150665463</v>
      </c>
      <c r="E296" s="733"/>
      <c r="BD296" s="138"/>
    </row>
    <row r="297" spans="2:56" ht="15.75">
      <c r="B297" s="121">
        <v>31</v>
      </c>
      <c r="C297" s="121">
        <v>24</v>
      </c>
      <c r="D297" s="734">
        <v>140.38992499603177</v>
      </c>
      <c r="E297" s="733"/>
      <c r="BD297" s="138"/>
    </row>
    <row r="298" spans="2:56" ht="15.75">
      <c r="B298" s="121">
        <v>31</v>
      </c>
      <c r="C298" s="121">
        <v>25</v>
      </c>
      <c r="D298" s="734">
        <v>135.36769378897688</v>
      </c>
      <c r="E298" s="733"/>
      <c r="BD298" s="138"/>
    </row>
    <row r="299" spans="2:56" ht="15.75">
      <c r="B299" s="121">
        <v>31</v>
      </c>
      <c r="C299" s="121">
        <v>26</v>
      </c>
      <c r="D299" s="734">
        <v>137.67881425170447</v>
      </c>
      <c r="E299" s="733"/>
      <c r="BD299" s="138"/>
    </row>
    <row r="300" spans="2:56" ht="15.75">
      <c r="B300" s="121">
        <v>31</v>
      </c>
      <c r="C300" s="121">
        <v>27</v>
      </c>
      <c r="D300" s="734">
        <v>146.9093477762747</v>
      </c>
      <c r="E300" s="733"/>
      <c r="BD300" s="138"/>
    </row>
    <row r="301" spans="2:56" ht="15.75">
      <c r="B301" s="121">
        <v>31</v>
      </c>
      <c r="C301" s="121">
        <v>28</v>
      </c>
      <c r="D301" s="734">
        <v>136.72004217234451</v>
      </c>
      <c r="E301" s="733"/>
      <c r="BD301" s="138"/>
    </row>
    <row r="302" spans="2:56" ht="15.75">
      <c r="B302" s="121">
        <v>31</v>
      </c>
      <c r="C302" s="121">
        <v>29</v>
      </c>
      <c r="D302" s="734">
        <v>134.35502968510119</v>
      </c>
      <c r="E302" s="733"/>
      <c r="BD302" s="138"/>
    </row>
    <row r="303" spans="2:56" ht="15.75">
      <c r="B303" s="121">
        <v>31</v>
      </c>
      <c r="C303" s="121">
        <v>30</v>
      </c>
      <c r="D303" s="734">
        <v>134.58323188887664</v>
      </c>
      <c r="E303" s="733"/>
      <c r="BD303" s="138"/>
    </row>
    <row r="304" spans="2:56" ht="15.75">
      <c r="B304" s="121">
        <v>31</v>
      </c>
      <c r="C304" s="121">
        <v>31</v>
      </c>
      <c r="D304" s="734">
        <v>145.87008718517689</v>
      </c>
      <c r="E304" s="733"/>
      <c r="BD304" s="138"/>
    </row>
    <row r="305" spans="2:56" ht="15.75">
      <c r="B305" s="121">
        <v>31</v>
      </c>
      <c r="C305" s="121">
        <v>32</v>
      </c>
      <c r="D305" s="734">
        <v>141.54498604381408</v>
      </c>
      <c r="E305" s="733"/>
      <c r="BD305" s="138"/>
    </row>
    <row r="306" spans="2:56" ht="15.75">
      <c r="B306" s="121">
        <v>31</v>
      </c>
      <c r="C306" s="121">
        <v>33</v>
      </c>
      <c r="D306" s="734">
        <v>144.79589675514234</v>
      </c>
      <c r="E306" s="733"/>
      <c r="BD306" s="138"/>
    </row>
    <row r="307" spans="2:56" ht="15.75">
      <c r="B307" s="121">
        <v>31</v>
      </c>
      <c r="C307" s="121">
        <v>34</v>
      </c>
      <c r="D307" s="734">
        <v>137.33693375433808</v>
      </c>
      <c r="E307" s="733"/>
      <c r="BD307" s="138"/>
    </row>
    <row r="308" spans="2:56" ht="15.75">
      <c r="B308" s="121">
        <v>31</v>
      </c>
      <c r="C308" s="121">
        <v>35</v>
      </c>
      <c r="D308" s="734">
        <v>135.72986811431258</v>
      </c>
      <c r="E308" s="733"/>
      <c r="BD308" s="138"/>
    </row>
    <row r="309" spans="2:56" ht="15.75">
      <c r="B309" s="121">
        <v>31</v>
      </c>
      <c r="C309" s="121">
        <v>36</v>
      </c>
      <c r="D309" s="734">
        <v>135.48826606001811</v>
      </c>
      <c r="E309" s="733"/>
      <c r="BD309" s="138"/>
    </row>
    <row r="310" spans="2:56" ht="15.75">
      <c r="B310" s="121">
        <v>32</v>
      </c>
      <c r="C310" s="121">
        <v>1</v>
      </c>
      <c r="D310" s="734">
        <v>5</v>
      </c>
      <c r="E310" s="733"/>
      <c r="BD310" s="138"/>
    </row>
    <row r="311" spans="2:56" ht="15.75">
      <c r="B311" s="121">
        <v>32</v>
      </c>
      <c r="C311" s="121">
        <v>2</v>
      </c>
      <c r="D311" s="734">
        <v>96.9562024716043</v>
      </c>
      <c r="E311" s="733"/>
      <c r="BD311" s="138"/>
    </row>
    <row r="312" spans="2:56" ht="15.75">
      <c r="B312" s="121">
        <v>32</v>
      </c>
      <c r="C312" s="121">
        <v>3</v>
      </c>
      <c r="D312" s="734">
        <v>124.74277504143568</v>
      </c>
      <c r="E312" s="733"/>
      <c r="BD312" s="138"/>
    </row>
    <row r="313" spans="2:56" ht="15.75">
      <c r="B313" s="121">
        <v>32</v>
      </c>
      <c r="C313" s="121">
        <v>4</v>
      </c>
      <c r="D313" s="734">
        <v>142.6707073969848</v>
      </c>
      <c r="E313" s="733"/>
      <c r="BD313" s="138"/>
    </row>
    <row r="314" spans="2:56" ht="15.75">
      <c r="B314" s="121">
        <v>32</v>
      </c>
      <c r="C314" s="121">
        <v>5</v>
      </c>
      <c r="D314" s="734">
        <v>140.67569240001393</v>
      </c>
      <c r="E314" s="733"/>
      <c r="BD314" s="138"/>
    </row>
    <row r="315" spans="2:56" ht="15.75">
      <c r="B315" s="121">
        <v>32</v>
      </c>
      <c r="C315" s="121">
        <v>6</v>
      </c>
      <c r="D315" s="734">
        <v>141.31157519374688</v>
      </c>
      <c r="E315" s="733"/>
      <c r="BD315" s="138"/>
    </row>
    <row r="316" spans="2:56" ht="15.75">
      <c r="B316" s="121">
        <v>32</v>
      </c>
      <c r="C316" s="121">
        <v>7</v>
      </c>
      <c r="D316" s="734">
        <v>135.24841956461327</v>
      </c>
      <c r="E316" s="733"/>
      <c r="BD316" s="138"/>
    </row>
    <row r="317" spans="2:56" ht="15.75">
      <c r="B317" s="121">
        <v>32</v>
      </c>
      <c r="C317" s="121">
        <v>8</v>
      </c>
      <c r="D317" s="734">
        <v>136.31410966299987</v>
      </c>
      <c r="E317" s="733"/>
      <c r="BD317" s="138"/>
    </row>
    <row r="318" spans="2:56" ht="15.75">
      <c r="B318" s="121">
        <v>32</v>
      </c>
      <c r="C318" s="121">
        <v>9</v>
      </c>
      <c r="D318" s="734">
        <v>139.72111505773699</v>
      </c>
      <c r="E318" s="733"/>
      <c r="BD318" s="138"/>
    </row>
    <row r="319" spans="2:56" ht="15.75">
      <c r="B319" s="121">
        <v>32</v>
      </c>
      <c r="C319" s="121">
        <v>10</v>
      </c>
      <c r="D319" s="734">
        <v>145.78469447297852</v>
      </c>
      <c r="E319" s="733"/>
      <c r="BD319" s="138"/>
    </row>
    <row r="320" spans="2:56" ht="15.75">
      <c r="B320" s="121">
        <v>32</v>
      </c>
      <c r="C320" s="121">
        <v>11</v>
      </c>
      <c r="D320" s="734">
        <v>141.5312663644998</v>
      </c>
      <c r="E320" s="733"/>
      <c r="BD320" s="138"/>
    </row>
    <row r="321" spans="2:56" ht="15.75">
      <c r="B321" s="121">
        <v>32</v>
      </c>
      <c r="C321" s="121">
        <v>12</v>
      </c>
      <c r="D321" s="734">
        <v>140.22844264890372</v>
      </c>
      <c r="E321" s="733"/>
      <c r="BD321" s="138"/>
    </row>
    <row r="322" spans="2:56" ht="15.75">
      <c r="B322" s="121">
        <v>32</v>
      </c>
      <c r="C322" s="121">
        <v>13</v>
      </c>
      <c r="D322" s="734">
        <v>138.74423531242593</v>
      </c>
      <c r="E322" s="733"/>
      <c r="BD322" s="138"/>
    </row>
    <row r="323" spans="2:56" ht="15.75">
      <c r="B323" s="121">
        <v>32</v>
      </c>
      <c r="C323" s="121">
        <v>14</v>
      </c>
      <c r="D323" s="734">
        <v>137.63427373842021</v>
      </c>
      <c r="E323" s="733"/>
      <c r="BD323" s="138"/>
    </row>
    <row r="324" spans="2:56" ht="15.75">
      <c r="B324" s="121">
        <v>32</v>
      </c>
      <c r="C324" s="121">
        <v>15</v>
      </c>
      <c r="D324" s="734">
        <v>139.89903299279302</v>
      </c>
      <c r="E324" s="733"/>
      <c r="BD324" s="138"/>
    </row>
    <row r="325" spans="2:56" ht="15.75">
      <c r="B325" s="121">
        <v>32</v>
      </c>
      <c r="C325" s="121">
        <v>16</v>
      </c>
      <c r="D325" s="734">
        <v>134.8813342246178</v>
      </c>
      <c r="E325" s="733"/>
      <c r="BD325" s="138"/>
    </row>
    <row r="326" spans="2:56" ht="15.75">
      <c r="B326" s="121">
        <v>32</v>
      </c>
      <c r="C326" s="121">
        <v>17</v>
      </c>
      <c r="D326" s="734">
        <v>138.05678391733096</v>
      </c>
      <c r="E326" s="733"/>
      <c r="BD326" s="138"/>
    </row>
    <row r="327" spans="2:56" ht="15.75">
      <c r="B327" s="121">
        <v>32</v>
      </c>
      <c r="C327" s="121">
        <v>18</v>
      </c>
      <c r="D327" s="734">
        <v>139.98172298422412</v>
      </c>
      <c r="E327" s="733"/>
      <c r="BD327" s="138"/>
    </row>
    <row r="328" spans="2:56" ht="15.75">
      <c r="B328" s="121">
        <v>32</v>
      </c>
      <c r="C328" s="121">
        <v>19</v>
      </c>
      <c r="D328" s="734">
        <v>138.21147123406547</v>
      </c>
      <c r="E328" s="733"/>
      <c r="BD328" s="138"/>
    </row>
    <row r="329" spans="2:56" ht="15.75">
      <c r="B329" s="121">
        <v>32</v>
      </c>
      <c r="C329" s="121">
        <v>20</v>
      </c>
      <c r="D329" s="734">
        <v>135.90005582859993</v>
      </c>
      <c r="E329" s="733"/>
      <c r="BD329" s="138"/>
    </row>
    <row r="330" spans="2:56" ht="15.75">
      <c r="B330" s="121">
        <v>32</v>
      </c>
      <c r="C330" s="121">
        <v>21</v>
      </c>
      <c r="D330" s="734">
        <v>135.88485193199753</v>
      </c>
      <c r="E330" s="733"/>
      <c r="BD330" s="138"/>
    </row>
    <row r="331" spans="2:56" ht="15.75">
      <c r="B331" s="121">
        <v>32</v>
      </c>
      <c r="C331" s="121">
        <v>22</v>
      </c>
      <c r="D331" s="734">
        <v>140.95845904710697</v>
      </c>
      <c r="E331" s="733"/>
      <c r="BD331" s="138"/>
    </row>
    <row r="332" spans="2:56" ht="15.75">
      <c r="B332" s="121">
        <v>32</v>
      </c>
      <c r="C332" s="121">
        <v>23</v>
      </c>
      <c r="D332" s="734">
        <v>140.69803712250018</v>
      </c>
      <c r="E332" s="733"/>
      <c r="BD332" s="138"/>
    </row>
    <row r="333" spans="2:56" ht="15.75">
      <c r="B333" s="121">
        <v>32</v>
      </c>
      <c r="C333" s="121">
        <v>24</v>
      </c>
      <c r="D333" s="734">
        <v>145.36686868863757</v>
      </c>
      <c r="E333" s="733"/>
      <c r="BD333" s="138"/>
    </row>
    <row r="334" spans="2:56" ht="15.75">
      <c r="B334" s="121">
        <v>32</v>
      </c>
      <c r="C334" s="121">
        <v>25</v>
      </c>
      <c r="D334" s="734">
        <v>137.93516006748897</v>
      </c>
      <c r="E334" s="733"/>
      <c r="BD334" s="138"/>
    </row>
    <row r="335" spans="2:56" ht="15.75">
      <c r="B335" s="121">
        <v>32</v>
      </c>
      <c r="C335" s="121">
        <v>26</v>
      </c>
      <c r="D335" s="734">
        <v>138.79685308854792</v>
      </c>
      <c r="E335" s="733"/>
      <c r="BD335" s="138"/>
    </row>
    <row r="336" spans="2:56" ht="15.75">
      <c r="B336" s="121">
        <v>33</v>
      </c>
      <c r="C336" s="121">
        <v>1</v>
      </c>
      <c r="D336" s="734">
        <v>5</v>
      </c>
      <c r="E336" s="733"/>
      <c r="BD336" s="138"/>
    </row>
    <row r="337" spans="2:56" ht="15.75">
      <c r="B337" s="121">
        <v>34</v>
      </c>
      <c r="C337" s="121">
        <v>1</v>
      </c>
      <c r="D337" s="734">
        <v>5</v>
      </c>
      <c r="E337" s="733"/>
      <c r="BD337" s="138"/>
    </row>
    <row r="338" spans="2:56" ht="15.75">
      <c r="B338" s="121">
        <v>34</v>
      </c>
      <c r="C338" s="121">
        <v>2</v>
      </c>
      <c r="D338" s="734">
        <v>94.438821588523368</v>
      </c>
      <c r="E338" s="733"/>
      <c r="BD338" s="138"/>
    </row>
    <row r="339" spans="2:56" ht="15.75">
      <c r="B339" s="121">
        <v>34</v>
      </c>
      <c r="C339" s="121">
        <v>3</v>
      </c>
      <c r="D339" s="734">
        <v>114.95022140476762</v>
      </c>
      <c r="E339" s="733"/>
      <c r="BD339" s="138"/>
    </row>
    <row r="340" spans="2:56" ht="15.75">
      <c r="B340" s="121">
        <v>34</v>
      </c>
      <c r="C340" s="121">
        <v>4</v>
      </c>
      <c r="D340" s="734">
        <v>135.95416156524726</v>
      </c>
      <c r="E340" s="733"/>
      <c r="BD340" s="138"/>
    </row>
    <row r="341" spans="2:56" ht="15.75">
      <c r="B341" s="121">
        <v>34</v>
      </c>
      <c r="C341" s="121">
        <v>5</v>
      </c>
      <c r="D341" s="734">
        <v>141.2883762493029</v>
      </c>
      <c r="E341" s="733"/>
      <c r="BD341" s="138"/>
    </row>
    <row r="342" spans="2:56" ht="15.75">
      <c r="B342" s="121">
        <v>34</v>
      </c>
      <c r="C342" s="121">
        <v>6</v>
      </c>
      <c r="D342" s="734">
        <v>141.19185024904218</v>
      </c>
      <c r="E342" s="733"/>
      <c r="BD342" s="138"/>
    </row>
    <row r="343" spans="2:56" ht="15.75">
      <c r="B343" s="121">
        <v>34</v>
      </c>
      <c r="C343" s="121">
        <v>7</v>
      </c>
      <c r="D343" s="734">
        <v>134.97284854411686</v>
      </c>
      <c r="E343" s="733"/>
      <c r="BD343" s="138"/>
    </row>
    <row r="344" spans="2:56" ht="15.75">
      <c r="B344" s="121">
        <v>34</v>
      </c>
      <c r="C344" s="121">
        <v>8</v>
      </c>
      <c r="D344" s="734">
        <v>137.96513227103659</v>
      </c>
      <c r="E344" s="733"/>
      <c r="BD344" s="138"/>
    </row>
    <row r="345" spans="2:56" ht="15.75">
      <c r="B345" s="121">
        <v>34</v>
      </c>
      <c r="C345" s="121">
        <v>9</v>
      </c>
      <c r="D345" s="734">
        <v>139.29512210720154</v>
      </c>
      <c r="E345" s="733"/>
      <c r="BD345" s="138"/>
    </row>
    <row r="346" spans="2:56" ht="15.75">
      <c r="B346" s="121">
        <v>35</v>
      </c>
      <c r="C346" s="121">
        <v>1</v>
      </c>
      <c r="D346" s="734">
        <v>5</v>
      </c>
      <c r="E346" s="733"/>
      <c r="BD346" s="138"/>
    </row>
    <row r="347" spans="2:56" ht="15.75">
      <c r="B347" s="121">
        <v>35</v>
      </c>
      <c r="C347" s="121">
        <v>2</v>
      </c>
      <c r="D347" s="734">
        <v>99.233567477744472</v>
      </c>
      <c r="E347" s="733"/>
      <c r="BD347" s="138"/>
    </row>
    <row r="348" spans="2:56" ht="15.75">
      <c r="B348" s="121">
        <v>35</v>
      </c>
      <c r="C348" s="121">
        <v>3</v>
      </c>
      <c r="D348" s="734">
        <v>117.98870301812866</v>
      </c>
      <c r="E348" s="733"/>
      <c r="BD348" s="138"/>
    </row>
    <row r="349" spans="2:56" ht="15.75">
      <c r="B349" s="121">
        <v>35</v>
      </c>
      <c r="C349" s="121">
        <v>4</v>
      </c>
      <c r="D349" s="734">
        <v>142.32291773985773</v>
      </c>
      <c r="E349" s="733"/>
      <c r="BD349" s="138"/>
    </row>
    <row r="350" spans="2:56" ht="15.75">
      <c r="B350" s="121">
        <v>35</v>
      </c>
      <c r="C350" s="121">
        <v>5</v>
      </c>
      <c r="D350" s="734">
        <v>136.01011437978622</v>
      </c>
      <c r="E350" s="733"/>
      <c r="BD350" s="138"/>
    </row>
    <row r="351" spans="2:56" ht="15.75">
      <c r="B351" s="121">
        <v>35</v>
      </c>
      <c r="C351" s="121">
        <v>6</v>
      </c>
      <c r="D351" s="734">
        <v>139.87684579685592</v>
      </c>
      <c r="E351" s="733"/>
      <c r="BD351" s="138"/>
    </row>
    <row r="352" spans="2:56" ht="15.75">
      <c r="B352" s="121">
        <v>35</v>
      </c>
      <c r="C352" s="121">
        <v>7</v>
      </c>
      <c r="D352" s="734">
        <v>146.73058009151001</v>
      </c>
      <c r="E352" s="733"/>
      <c r="BD352" s="138"/>
    </row>
    <row r="353" spans="2:56" ht="15.75">
      <c r="B353" s="121">
        <v>35</v>
      </c>
      <c r="C353" s="121">
        <v>8</v>
      </c>
      <c r="D353" s="734">
        <v>139.1825555648513</v>
      </c>
      <c r="E353" s="733"/>
      <c r="BD353" s="138"/>
    </row>
    <row r="354" spans="2:56" ht="15.75">
      <c r="B354" s="121">
        <v>35</v>
      </c>
      <c r="C354" s="121">
        <v>9</v>
      </c>
      <c r="D354" s="734">
        <v>136.0069143029589</v>
      </c>
      <c r="E354" s="733"/>
      <c r="BD354" s="138"/>
    </row>
    <row r="355" spans="2:56" ht="15.75">
      <c r="B355" s="121">
        <v>35</v>
      </c>
      <c r="C355" s="121">
        <v>10</v>
      </c>
      <c r="D355" s="734">
        <v>136.94974220090933</v>
      </c>
      <c r="E355" s="733"/>
      <c r="BD355" s="138"/>
    </row>
    <row r="356" spans="2:56" ht="15.75">
      <c r="B356" s="121">
        <v>35</v>
      </c>
      <c r="C356" s="121">
        <v>11</v>
      </c>
      <c r="D356" s="734">
        <v>138.76371798333173</v>
      </c>
      <c r="E356" s="733"/>
      <c r="BD356" s="138"/>
    </row>
    <row r="357" spans="2:56" ht="15.75">
      <c r="B357" s="121">
        <v>35</v>
      </c>
      <c r="C357" s="121">
        <v>12</v>
      </c>
      <c r="D357" s="734">
        <v>141.75412574608796</v>
      </c>
      <c r="E357" s="733"/>
      <c r="BD357" s="138"/>
    </row>
    <row r="358" spans="2:56" ht="15.75">
      <c r="B358" s="121">
        <v>35</v>
      </c>
      <c r="C358" s="121">
        <v>13</v>
      </c>
      <c r="D358" s="734">
        <v>146.48116713005081</v>
      </c>
      <c r="E358" s="733"/>
      <c r="BD358" s="138"/>
    </row>
    <row r="359" spans="2:56" ht="15.75">
      <c r="B359" s="121">
        <v>35</v>
      </c>
      <c r="C359" s="121">
        <v>14</v>
      </c>
      <c r="D359" s="734">
        <v>134.34865428960762</v>
      </c>
      <c r="E359" s="733"/>
      <c r="BD359" s="138"/>
    </row>
    <row r="360" spans="2:56" ht="15.75">
      <c r="B360" s="121">
        <v>35</v>
      </c>
      <c r="C360" s="121">
        <v>15</v>
      </c>
      <c r="D360" s="734">
        <v>140.78442380407719</v>
      </c>
      <c r="E360" s="733"/>
      <c r="BD360" s="138"/>
    </row>
    <row r="361" spans="2:56" ht="15.75">
      <c r="B361" s="121">
        <v>35</v>
      </c>
      <c r="C361" s="121">
        <v>16</v>
      </c>
      <c r="D361" s="734">
        <v>135.01397831529118</v>
      </c>
      <c r="E361" s="733"/>
      <c r="BD361" s="138"/>
    </row>
    <row r="362" spans="2:56" ht="15.75">
      <c r="B362" s="121">
        <v>35</v>
      </c>
      <c r="C362" s="121">
        <v>17</v>
      </c>
      <c r="D362" s="734">
        <v>144.71773344688395</v>
      </c>
      <c r="E362" s="733"/>
      <c r="BD362" s="138"/>
    </row>
    <row r="363" spans="2:56" ht="15.75">
      <c r="B363" s="121">
        <v>35</v>
      </c>
      <c r="C363" s="121">
        <v>18</v>
      </c>
      <c r="D363" s="734">
        <v>143.55622549604826</v>
      </c>
      <c r="E363" s="733"/>
      <c r="BD363" s="138"/>
    </row>
    <row r="364" spans="2:56" ht="15.75">
      <c r="B364" s="121">
        <v>35</v>
      </c>
      <c r="C364" s="121">
        <v>19</v>
      </c>
      <c r="D364" s="734">
        <v>146.73404827278458</v>
      </c>
      <c r="E364" s="733"/>
      <c r="BD364" s="138"/>
    </row>
    <row r="365" spans="2:56" ht="15.75">
      <c r="B365" s="121">
        <v>35</v>
      </c>
      <c r="C365" s="121">
        <v>20</v>
      </c>
      <c r="D365" s="734">
        <v>145.62063352612626</v>
      </c>
      <c r="E365" s="733"/>
      <c r="BD365" s="138"/>
    </row>
    <row r="366" spans="2:56" ht="15.75">
      <c r="B366" s="121">
        <v>35</v>
      </c>
      <c r="C366" s="121">
        <v>21</v>
      </c>
      <c r="D366" s="734">
        <v>139.48833642543565</v>
      </c>
      <c r="E366" s="733"/>
      <c r="BD366" s="138"/>
    </row>
    <row r="367" spans="2:56" ht="15.75">
      <c r="B367" s="121">
        <v>35</v>
      </c>
      <c r="C367" s="121">
        <v>22</v>
      </c>
      <c r="D367" s="734">
        <v>141.89713613210682</v>
      </c>
      <c r="E367" s="733"/>
      <c r="BD367" s="138"/>
    </row>
    <row r="368" spans="2:56" ht="15.75">
      <c r="B368" s="121">
        <v>35</v>
      </c>
      <c r="C368" s="121">
        <v>23</v>
      </c>
      <c r="D368" s="734">
        <v>144.60760590043131</v>
      </c>
      <c r="E368" s="733"/>
      <c r="BD368" s="138"/>
    </row>
    <row r="369" spans="2:56" ht="15.75">
      <c r="B369" s="121">
        <v>35</v>
      </c>
      <c r="C369" s="121">
        <v>24</v>
      </c>
      <c r="D369" s="734">
        <v>136.91024010289701</v>
      </c>
      <c r="E369" s="733"/>
      <c r="BD369" s="138"/>
    </row>
    <row r="370" spans="2:56" ht="15.75">
      <c r="B370" s="121">
        <v>35</v>
      </c>
      <c r="C370" s="121">
        <v>25</v>
      </c>
      <c r="D370" s="734">
        <v>135.58743397646171</v>
      </c>
      <c r="E370" s="733"/>
      <c r="BD370" s="138"/>
    </row>
    <row r="371" spans="2:56" ht="15.75">
      <c r="B371" s="121">
        <v>35</v>
      </c>
      <c r="C371" s="121">
        <v>26</v>
      </c>
      <c r="D371" s="734">
        <v>133.72087895368583</v>
      </c>
      <c r="E371" s="733"/>
      <c r="BD371" s="138"/>
    </row>
    <row r="372" spans="2:56" ht="15.75">
      <c r="B372" s="121">
        <v>35</v>
      </c>
      <c r="C372" s="121">
        <v>27</v>
      </c>
      <c r="D372" s="734">
        <v>142.79870069198017</v>
      </c>
      <c r="E372" s="733"/>
      <c r="BD372" s="138"/>
    </row>
    <row r="373" spans="2:56" ht="15.75">
      <c r="B373" s="121">
        <v>35</v>
      </c>
      <c r="C373" s="121">
        <v>28</v>
      </c>
      <c r="D373" s="734">
        <v>147.05410056741528</v>
      </c>
      <c r="E373" s="733"/>
      <c r="BD373" s="138"/>
    </row>
    <row r="374" spans="2:56" ht="15.75">
      <c r="B374" s="121">
        <v>35</v>
      </c>
      <c r="C374" s="121">
        <v>29</v>
      </c>
      <c r="D374" s="734">
        <v>139.63982119501452</v>
      </c>
      <c r="E374" s="733"/>
      <c r="BD374" s="138"/>
    </row>
    <row r="375" spans="2:56" ht="15.75">
      <c r="B375" s="121">
        <v>35</v>
      </c>
      <c r="C375" s="121">
        <v>30</v>
      </c>
      <c r="D375" s="734">
        <v>144.8995129158391</v>
      </c>
      <c r="E375" s="733"/>
      <c r="BD375" s="138"/>
    </row>
    <row r="376" spans="2:56" ht="15.75">
      <c r="B376" s="121">
        <v>35</v>
      </c>
      <c r="C376" s="121">
        <v>31</v>
      </c>
      <c r="D376" s="734">
        <v>145.36266925679385</v>
      </c>
      <c r="E376" s="733"/>
      <c r="BD376" s="138"/>
    </row>
    <row r="377" spans="2:56" ht="15.75">
      <c r="B377" s="121">
        <v>35</v>
      </c>
      <c r="C377" s="121">
        <v>32</v>
      </c>
      <c r="D377" s="734">
        <v>142.55433848596635</v>
      </c>
      <c r="E377" s="733"/>
      <c r="BD377" s="138"/>
    </row>
    <row r="378" spans="2:56" ht="15.75">
      <c r="B378" s="121">
        <v>35</v>
      </c>
      <c r="C378" s="121">
        <v>33</v>
      </c>
      <c r="D378" s="734">
        <v>138.74009784838069</v>
      </c>
      <c r="E378" s="733"/>
      <c r="BD378" s="138"/>
    </row>
    <row r="379" spans="2:56" ht="15.75">
      <c r="B379" s="121">
        <v>35</v>
      </c>
      <c r="C379" s="121">
        <v>34</v>
      </c>
      <c r="D379" s="734">
        <v>142.7596532888783</v>
      </c>
      <c r="E379" s="733"/>
      <c r="BD379" s="138"/>
    </row>
    <row r="380" spans="2:56" ht="15.75">
      <c r="B380" s="121">
        <v>35</v>
      </c>
      <c r="C380" s="121">
        <v>35</v>
      </c>
      <c r="D380" s="734">
        <v>143.81835026680847</v>
      </c>
      <c r="E380" s="733"/>
      <c r="BD380" s="138"/>
    </row>
    <row r="381" spans="2:56" ht="15.75">
      <c r="B381" s="121">
        <v>35</v>
      </c>
      <c r="C381" s="121">
        <v>36</v>
      </c>
      <c r="D381" s="734">
        <v>136.19717230525214</v>
      </c>
      <c r="E381" s="733"/>
      <c r="BD381" s="138"/>
    </row>
    <row r="382" spans="2:56" ht="15.75">
      <c r="B382" s="121">
        <v>36</v>
      </c>
      <c r="C382" s="121">
        <v>1</v>
      </c>
      <c r="D382" s="734">
        <v>5</v>
      </c>
      <c r="E382" s="733"/>
      <c r="BD382" s="138"/>
    </row>
    <row r="383" spans="2:56" ht="15.75">
      <c r="B383" s="121">
        <v>37</v>
      </c>
      <c r="C383" s="121">
        <v>1</v>
      </c>
      <c r="D383" s="734">
        <v>5</v>
      </c>
      <c r="E383" s="733"/>
      <c r="BD383" s="138"/>
    </row>
    <row r="384" spans="2:56" ht="15.75">
      <c r="B384" s="121">
        <v>37</v>
      </c>
      <c r="C384" s="121">
        <v>2</v>
      </c>
      <c r="D384" s="734">
        <v>94.585546098624391</v>
      </c>
      <c r="E384" s="733"/>
      <c r="BD384" s="138"/>
    </row>
    <row r="385" spans="2:56" ht="15.75">
      <c r="B385" s="121">
        <v>37</v>
      </c>
      <c r="C385" s="121">
        <v>3</v>
      </c>
      <c r="D385" s="734">
        <v>115.31356631769646</v>
      </c>
      <c r="E385" s="733"/>
      <c r="BD385" s="138"/>
    </row>
    <row r="386" spans="2:56" ht="15.75">
      <c r="B386" s="121">
        <v>37</v>
      </c>
      <c r="C386" s="121">
        <v>4</v>
      </c>
      <c r="D386" s="734">
        <v>135.30736859383964</v>
      </c>
      <c r="E386" s="733"/>
      <c r="BD386" s="138"/>
    </row>
    <row r="387" spans="2:56" ht="15.75">
      <c r="B387" s="121">
        <v>37</v>
      </c>
      <c r="C387" s="121">
        <v>5</v>
      </c>
      <c r="D387" s="734">
        <v>142.07804043601098</v>
      </c>
      <c r="E387" s="733"/>
      <c r="BD387" s="138"/>
    </row>
    <row r="388" spans="2:56" ht="15.75">
      <c r="B388" s="121">
        <v>37</v>
      </c>
      <c r="C388" s="121">
        <v>6</v>
      </c>
      <c r="D388" s="734">
        <v>138.8299818676571</v>
      </c>
      <c r="E388" s="733"/>
      <c r="BD388" s="138"/>
    </row>
    <row r="389" spans="2:56" ht="15.75">
      <c r="B389" s="121">
        <v>37</v>
      </c>
      <c r="C389" s="121">
        <v>7</v>
      </c>
      <c r="D389" s="734">
        <v>144.57515201921677</v>
      </c>
      <c r="E389" s="733"/>
      <c r="BD389" s="138"/>
    </row>
    <row r="390" spans="2:56" ht="15.75">
      <c r="B390" s="121">
        <v>37</v>
      </c>
      <c r="C390" s="121">
        <v>8</v>
      </c>
      <c r="D390" s="734">
        <v>140.9459592892606</v>
      </c>
      <c r="E390" s="733"/>
      <c r="BD390" s="138"/>
    </row>
    <row r="391" spans="2:56" ht="15.75">
      <c r="B391" s="121">
        <v>37</v>
      </c>
      <c r="C391" s="121">
        <v>9</v>
      </c>
      <c r="D391" s="734">
        <v>141.3778120804019</v>
      </c>
      <c r="E391" s="733"/>
      <c r="BD391" s="138"/>
    </row>
    <row r="392" spans="2:56" ht="15.75">
      <c r="B392" s="121">
        <v>37</v>
      </c>
      <c r="C392" s="121">
        <v>10</v>
      </c>
      <c r="D392" s="734">
        <v>135.01377054164752</v>
      </c>
      <c r="E392" s="733"/>
      <c r="BD392" s="138"/>
    </row>
    <row r="393" spans="2:56" ht="15.75">
      <c r="B393" s="121">
        <v>37</v>
      </c>
      <c r="C393" s="121">
        <v>11</v>
      </c>
      <c r="D393" s="734">
        <v>138.71387758001836</v>
      </c>
      <c r="E393" s="733"/>
      <c r="BD393" s="138"/>
    </row>
    <row r="394" spans="2:56" ht="15.75">
      <c r="B394" s="121">
        <v>37</v>
      </c>
      <c r="C394" s="121">
        <v>12</v>
      </c>
      <c r="D394" s="734">
        <v>146.59932633454946</v>
      </c>
      <c r="E394" s="733"/>
      <c r="BD394" s="138"/>
    </row>
    <row r="395" spans="2:56" ht="15.75">
      <c r="B395" s="121">
        <v>37</v>
      </c>
      <c r="C395" s="121">
        <v>13</v>
      </c>
      <c r="D395" s="734">
        <v>134.435116718372</v>
      </c>
      <c r="E395" s="733"/>
      <c r="BD395" s="138"/>
    </row>
    <row r="396" spans="2:56" ht="15.75">
      <c r="B396" s="121">
        <v>37</v>
      </c>
      <c r="C396" s="121">
        <v>14</v>
      </c>
      <c r="D396" s="734">
        <v>147.27882057201901</v>
      </c>
      <c r="E396" s="733"/>
      <c r="BD396" s="138"/>
    </row>
    <row r="397" spans="2:56" ht="15.75">
      <c r="B397" s="121">
        <v>37</v>
      </c>
      <c r="C397" s="121">
        <v>15</v>
      </c>
      <c r="D397" s="734">
        <v>137.65293566291689</v>
      </c>
      <c r="E397" s="733"/>
      <c r="BD397" s="138"/>
    </row>
    <row r="398" spans="2:56" ht="15.75">
      <c r="B398" s="121">
        <v>37</v>
      </c>
      <c r="C398" s="121">
        <v>16</v>
      </c>
      <c r="D398" s="734">
        <v>139.62213914772747</v>
      </c>
      <c r="E398" s="733"/>
      <c r="BD398" s="138"/>
    </row>
    <row r="399" spans="2:56" ht="15.75">
      <c r="B399" s="121">
        <v>37</v>
      </c>
      <c r="C399" s="121">
        <v>17</v>
      </c>
      <c r="D399" s="734">
        <v>134.77740544893541</v>
      </c>
      <c r="E399" s="733"/>
      <c r="BD399" s="138"/>
    </row>
    <row r="400" spans="2:56" ht="15.75">
      <c r="B400" s="121">
        <v>37</v>
      </c>
      <c r="C400" s="121">
        <v>18</v>
      </c>
      <c r="D400" s="734">
        <v>138.19982393822025</v>
      </c>
      <c r="E400" s="733"/>
      <c r="BD400" s="138"/>
    </row>
    <row r="401" spans="2:56" ht="15.75">
      <c r="B401" s="121">
        <v>37</v>
      </c>
      <c r="C401" s="121">
        <v>19</v>
      </c>
      <c r="D401" s="734">
        <v>138.42712584836411</v>
      </c>
      <c r="E401" s="733"/>
      <c r="BD401" s="138"/>
    </row>
    <row r="402" spans="2:56" ht="15.75">
      <c r="B402" s="121">
        <v>37</v>
      </c>
      <c r="C402" s="121">
        <v>20</v>
      </c>
      <c r="D402" s="734">
        <v>138.34355205302325</v>
      </c>
      <c r="E402" s="733"/>
      <c r="BD402" s="138"/>
    </row>
    <row r="403" spans="2:56" ht="15.75">
      <c r="B403" s="121">
        <v>37</v>
      </c>
      <c r="C403" s="121">
        <v>21</v>
      </c>
      <c r="D403" s="734">
        <v>145.79084420021886</v>
      </c>
      <c r="E403" s="733"/>
      <c r="BD403" s="138"/>
    </row>
    <row r="404" spans="2:56" ht="15.75">
      <c r="B404" s="121">
        <v>37</v>
      </c>
      <c r="C404" s="121">
        <v>22</v>
      </c>
      <c r="D404" s="734">
        <v>139.75326847705071</v>
      </c>
      <c r="E404" s="733"/>
      <c r="BD404" s="138"/>
    </row>
    <row r="405" spans="2:56" ht="15.75">
      <c r="B405" s="121">
        <v>37</v>
      </c>
      <c r="C405" s="121">
        <v>23</v>
      </c>
      <c r="D405" s="734">
        <v>137.79198298902131</v>
      </c>
      <c r="E405" s="733"/>
      <c r="BD405" s="138"/>
    </row>
    <row r="406" spans="2:56" ht="15.75">
      <c r="B406" s="121">
        <v>37</v>
      </c>
      <c r="C406" s="121">
        <v>24</v>
      </c>
      <c r="D406" s="734">
        <v>135.80257479132101</v>
      </c>
      <c r="E406" s="733"/>
      <c r="BD406" s="138"/>
    </row>
    <row r="407" spans="2:56" ht="15.75">
      <c r="B407" s="121">
        <v>37</v>
      </c>
      <c r="C407" s="121">
        <v>25</v>
      </c>
      <c r="D407" s="734">
        <v>141.51730701155768</v>
      </c>
      <c r="E407" s="733"/>
      <c r="BD407" s="138"/>
    </row>
    <row r="408" spans="2:56" ht="15.75">
      <c r="B408" s="121">
        <v>37</v>
      </c>
      <c r="C408" s="121">
        <v>26</v>
      </c>
      <c r="D408" s="734">
        <v>145.01320613820741</v>
      </c>
      <c r="E408" s="733"/>
      <c r="BD408" s="138"/>
    </row>
    <row r="409" spans="2:56" ht="15.75">
      <c r="B409" s="121">
        <v>37</v>
      </c>
      <c r="C409" s="121">
        <v>27</v>
      </c>
      <c r="D409" s="734">
        <v>144.92505499864558</v>
      </c>
      <c r="E409" s="733"/>
      <c r="BD409" s="138"/>
    </row>
    <row r="410" spans="2:56" ht="15.75">
      <c r="B410" s="121">
        <v>37</v>
      </c>
      <c r="C410" s="121">
        <v>28</v>
      </c>
      <c r="D410" s="734">
        <v>138.88005639459794</v>
      </c>
      <c r="E410" s="733"/>
      <c r="BD410" s="138"/>
    </row>
    <row r="411" spans="2:56" ht="15.75">
      <c r="B411" s="121">
        <v>37</v>
      </c>
      <c r="C411" s="121">
        <v>29</v>
      </c>
      <c r="D411" s="734">
        <v>134.40098462225242</v>
      </c>
      <c r="E411" s="733"/>
      <c r="BD411" s="138"/>
    </row>
    <row r="412" spans="2:56" ht="15.75">
      <c r="B412" s="121">
        <v>37</v>
      </c>
      <c r="C412" s="121">
        <v>30</v>
      </c>
      <c r="D412" s="734">
        <v>140.34860781512046</v>
      </c>
      <c r="E412" s="733"/>
      <c r="BD412" s="138"/>
    </row>
    <row r="413" spans="2:56" ht="15.75">
      <c r="B413" s="121">
        <v>37</v>
      </c>
      <c r="C413" s="121">
        <v>31</v>
      </c>
      <c r="D413" s="734">
        <v>145.74392365233635</v>
      </c>
      <c r="E413" s="733"/>
      <c r="BD413" s="138"/>
    </row>
    <row r="414" spans="2:56" ht="15.75">
      <c r="B414" s="121">
        <v>37</v>
      </c>
      <c r="C414" s="121">
        <v>32</v>
      </c>
      <c r="D414" s="734">
        <v>140.31508182565622</v>
      </c>
      <c r="E414" s="733"/>
      <c r="BD414" s="138"/>
    </row>
    <row r="415" spans="2:56" ht="15.75">
      <c r="B415" s="121">
        <v>37</v>
      </c>
      <c r="C415" s="121">
        <v>33</v>
      </c>
      <c r="D415" s="734">
        <v>143.38053369385537</v>
      </c>
      <c r="E415" s="733"/>
      <c r="BD415" s="138"/>
    </row>
    <row r="416" spans="2:56" ht="15.75">
      <c r="B416" s="121">
        <v>37</v>
      </c>
      <c r="C416" s="121">
        <v>34</v>
      </c>
      <c r="D416" s="734">
        <v>136.74570075712279</v>
      </c>
      <c r="E416" s="733"/>
      <c r="BD416" s="138"/>
    </row>
    <row r="417" spans="2:56" ht="15.75">
      <c r="B417" s="121">
        <v>37</v>
      </c>
      <c r="C417" s="121">
        <v>35</v>
      </c>
      <c r="D417" s="734">
        <v>144.81318657247272</v>
      </c>
      <c r="E417" s="733"/>
      <c r="BD417" s="138"/>
    </row>
    <row r="418" spans="2:56" ht="15.75">
      <c r="B418" s="121">
        <v>37</v>
      </c>
      <c r="C418" s="121">
        <v>36</v>
      </c>
      <c r="D418" s="734">
        <v>135.89582863501428</v>
      </c>
      <c r="E418" s="733"/>
      <c r="BD418" s="138"/>
    </row>
    <row r="419" spans="2:56" ht="15.75">
      <c r="B419" s="121">
        <v>38</v>
      </c>
      <c r="C419" s="121">
        <v>1</v>
      </c>
      <c r="D419" s="734">
        <v>5</v>
      </c>
      <c r="E419" s="733"/>
      <c r="BD419" s="138"/>
    </row>
    <row r="420" spans="2:56" ht="15.75">
      <c r="B420" s="121">
        <v>39</v>
      </c>
      <c r="C420" s="121">
        <v>1</v>
      </c>
      <c r="D420" s="734">
        <v>5</v>
      </c>
      <c r="E420" s="733"/>
      <c r="BD420" s="138"/>
    </row>
    <row r="421" spans="2:56" ht="15.75">
      <c r="B421" s="121">
        <v>39</v>
      </c>
      <c r="C421" s="121">
        <v>2</v>
      </c>
      <c r="D421" s="734">
        <v>101.08063397408667</v>
      </c>
      <c r="E421" s="733"/>
      <c r="BD421" s="138"/>
    </row>
    <row r="422" spans="2:56" ht="15.75">
      <c r="B422" s="121">
        <v>40</v>
      </c>
      <c r="C422" s="121">
        <v>1</v>
      </c>
      <c r="D422" s="734">
        <v>5</v>
      </c>
      <c r="E422" s="733"/>
      <c r="BD422" s="138"/>
    </row>
    <row r="423" spans="2:56" ht="15.75">
      <c r="B423" s="121">
        <v>41</v>
      </c>
      <c r="C423" s="121">
        <v>1</v>
      </c>
      <c r="D423" s="734">
        <v>5</v>
      </c>
      <c r="E423" s="733"/>
      <c r="BD423" s="138"/>
    </row>
    <row r="424" spans="2:56" ht="15.75">
      <c r="B424" s="121">
        <v>41</v>
      </c>
      <c r="C424" s="121">
        <v>2</v>
      </c>
      <c r="D424" s="734">
        <v>94.659721384947844</v>
      </c>
      <c r="E424" s="733"/>
      <c r="BD424" s="138"/>
    </row>
    <row r="425" spans="2:56" ht="15.75">
      <c r="B425" s="121">
        <v>42</v>
      </c>
      <c r="C425" s="121">
        <v>1</v>
      </c>
      <c r="D425" s="734">
        <v>5</v>
      </c>
      <c r="E425" s="733"/>
      <c r="BD425" s="138"/>
    </row>
    <row r="426" spans="2:56" ht="15.75">
      <c r="B426" s="121">
        <v>42</v>
      </c>
      <c r="C426" s="121">
        <v>2</v>
      </c>
      <c r="D426" s="734">
        <v>97.056160805425819</v>
      </c>
      <c r="E426" s="733"/>
      <c r="BD426" s="138"/>
    </row>
    <row r="427" spans="2:56" ht="15.75">
      <c r="B427" s="121">
        <v>42</v>
      </c>
      <c r="C427" s="121">
        <v>3</v>
      </c>
      <c r="D427" s="734">
        <v>119.20354215609996</v>
      </c>
      <c r="E427" s="733"/>
      <c r="BD427" s="138"/>
    </row>
    <row r="428" spans="2:56" ht="15.75">
      <c r="B428" s="121">
        <v>42</v>
      </c>
      <c r="C428" s="121">
        <v>4</v>
      </c>
      <c r="D428" s="734">
        <v>140.31411258255213</v>
      </c>
      <c r="E428" s="733"/>
      <c r="BD428" s="138"/>
    </row>
    <row r="429" spans="2:56" ht="15.75">
      <c r="B429" s="121">
        <v>43</v>
      </c>
      <c r="C429" s="121">
        <v>1</v>
      </c>
      <c r="D429" s="734">
        <v>5</v>
      </c>
      <c r="E429" s="733"/>
      <c r="BD429" s="138"/>
    </row>
    <row r="430" spans="2:56" ht="15.75">
      <c r="B430" s="121">
        <v>44</v>
      </c>
      <c r="C430" s="121">
        <v>1</v>
      </c>
      <c r="D430" s="734">
        <v>5</v>
      </c>
      <c r="E430" s="733"/>
      <c r="BD430" s="138"/>
    </row>
    <row r="431" spans="2:56" ht="15.75">
      <c r="B431" s="121">
        <v>45</v>
      </c>
      <c r="C431" s="121">
        <v>1</v>
      </c>
      <c r="D431" s="734">
        <v>5</v>
      </c>
      <c r="E431" s="733"/>
      <c r="BD431" s="138"/>
    </row>
    <row r="432" spans="2:56" ht="15.75">
      <c r="B432" s="121">
        <v>46</v>
      </c>
      <c r="C432" s="121">
        <v>1</v>
      </c>
      <c r="D432" s="734">
        <v>5</v>
      </c>
      <c r="E432" s="733"/>
      <c r="BD432" s="138"/>
    </row>
    <row r="433" spans="2:56" ht="15.75">
      <c r="B433" s="121">
        <v>46</v>
      </c>
      <c r="C433" s="121">
        <v>2</v>
      </c>
      <c r="D433" s="734">
        <v>94.957249367798397</v>
      </c>
      <c r="E433" s="733"/>
      <c r="BD433" s="138"/>
    </row>
    <row r="434" spans="2:56" ht="15.75">
      <c r="B434" s="121">
        <v>46</v>
      </c>
      <c r="C434" s="121">
        <v>3</v>
      </c>
      <c r="D434" s="734">
        <v>122.09254854564146</v>
      </c>
      <c r="E434" s="733"/>
      <c r="BD434" s="138"/>
    </row>
    <row r="435" spans="2:56" ht="15.75">
      <c r="B435" s="121">
        <v>46</v>
      </c>
      <c r="C435" s="121">
        <v>4</v>
      </c>
      <c r="D435" s="734">
        <v>139.02429076685002</v>
      </c>
      <c r="E435" s="733"/>
      <c r="BD435" s="138"/>
    </row>
    <row r="436" spans="2:56" ht="15.75">
      <c r="B436" s="121">
        <v>46</v>
      </c>
      <c r="C436" s="121">
        <v>5</v>
      </c>
      <c r="D436" s="734">
        <v>142.2517436278753</v>
      </c>
      <c r="E436" s="733"/>
      <c r="BD436" s="138"/>
    </row>
    <row r="437" spans="2:56" ht="15.75">
      <c r="B437" s="121">
        <v>46</v>
      </c>
      <c r="C437" s="121">
        <v>6</v>
      </c>
      <c r="D437" s="734">
        <v>134.03751070869066</v>
      </c>
      <c r="E437" s="733"/>
      <c r="BD437" s="138"/>
    </row>
    <row r="438" spans="2:56" ht="15.75">
      <c r="B438" s="121">
        <v>46</v>
      </c>
      <c r="C438" s="121">
        <v>7</v>
      </c>
      <c r="D438" s="734">
        <v>143.70624392957853</v>
      </c>
      <c r="E438" s="733"/>
      <c r="BD438" s="138"/>
    </row>
    <row r="439" spans="2:56" ht="15.75">
      <c r="B439" s="121">
        <v>46</v>
      </c>
      <c r="C439" s="121">
        <v>8</v>
      </c>
      <c r="D439" s="734">
        <v>139.70015010873436</v>
      </c>
      <c r="E439" s="733"/>
      <c r="BD439" s="138"/>
    </row>
    <row r="440" spans="2:56" ht="15.75">
      <c r="B440" s="121">
        <v>46</v>
      </c>
      <c r="C440" s="121">
        <v>9</v>
      </c>
      <c r="D440" s="734">
        <v>135.76098695625257</v>
      </c>
      <c r="E440" s="733"/>
      <c r="BD440" s="138"/>
    </row>
    <row r="441" spans="2:56" ht="15.75">
      <c r="B441" s="121">
        <v>47</v>
      </c>
      <c r="C441" s="121">
        <v>1</v>
      </c>
      <c r="D441" s="734">
        <v>5</v>
      </c>
      <c r="E441" s="733"/>
      <c r="BD441" s="138"/>
    </row>
    <row r="442" spans="2:56" ht="15.75">
      <c r="B442" s="121">
        <v>47</v>
      </c>
      <c r="C442" s="121">
        <v>2</v>
      </c>
      <c r="D442" s="734">
        <v>94.769176291823868</v>
      </c>
      <c r="E442" s="733"/>
      <c r="BD442" s="138"/>
    </row>
    <row r="443" spans="2:56" ht="15.75">
      <c r="B443" s="121">
        <v>47</v>
      </c>
      <c r="C443" s="121">
        <v>3</v>
      </c>
      <c r="D443" s="734">
        <v>124.94637596696147</v>
      </c>
      <c r="E443" s="733"/>
      <c r="BD443" s="138"/>
    </row>
    <row r="444" spans="2:56" ht="15.75">
      <c r="B444" s="121">
        <v>47</v>
      </c>
      <c r="C444" s="121">
        <v>4</v>
      </c>
      <c r="D444" s="734">
        <v>138.55176348479034</v>
      </c>
      <c r="E444" s="733"/>
      <c r="BD444" s="138"/>
    </row>
    <row r="445" spans="2:56" ht="15.75">
      <c r="B445" s="121">
        <v>47</v>
      </c>
      <c r="C445" s="121">
        <v>5</v>
      </c>
      <c r="D445" s="734">
        <v>134.17284294177728</v>
      </c>
      <c r="E445" s="733"/>
      <c r="BD445" s="138"/>
    </row>
    <row r="446" spans="2:56" ht="15.75">
      <c r="B446" s="121">
        <v>47</v>
      </c>
      <c r="C446" s="121">
        <v>6</v>
      </c>
      <c r="D446" s="734">
        <v>141.80786484192259</v>
      </c>
      <c r="E446" s="733"/>
      <c r="BD446" s="138"/>
    </row>
    <row r="447" spans="2:56" ht="15.75">
      <c r="B447" s="121">
        <v>47</v>
      </c>
      <c r="C447" s="121">
        <v>7</v>
      </c>
      <c r="D447" s="734">
        <v>145.7800948021841</v>
      </c>
      <c r="E447" s="733"/>
      <c r="BD447" s="138"/>
    </row>
    <row r="448" spans="2:56" ht="15.75">
      <c r="B448" s="121">
        <v>47</v>
      </c>
      <c r="C448" s="121">
        <v>8</v>
      </c>
      <c r="D448" s="734">
        <v>146.80412763230913</v>
      </c>
      <c r="E448" s="733"/>
      <c r="BD448" s="138"/>
    </row>
    <row r="449" spans="2:56" ht="15.75">
      <c r="B449" s="121">
        <v>47</v>
      </c>
      <c r="C449" s="121">
        <v>9</v>
      </c>
      <c r="D449" s="734">
        <v>140.89229919700128</v>
      </c>
      <c r="E449" s="733"/>
      <c r="BD449" s="138"/>
    </row>
    <row r="450" spans="2:56" ht="15.75">
      <c r="B450" s="121">
        <v>47</v>
      </c>
      <c r="C450" s="121">
        <v>10</v>
      </c>
      <c r="D450" s="734">
        <v>140.86817950299587</v>
      </c>
      <c r="E450" s="733"/>
      <c r="BD450" s="138"/>
    </row>
    <row r="451" spans="2:56" ht="15.75">
      <c r="B451" s="121">
        <v>47</v>
      </c>
      <c r="C451" s="121">
        <v>11</v>
      </c>
      <c r="D451" s="734">
        <v>142.97680587150413</v>
      </c>
      <c r="E451" s="733"/>
      <c r="BD451" s="138"/>
    </row>
    <row r="452" spans="2:56" ht="15.75">
      <c r="B452" s="121">
        <v>47</v>
      </c>
      <c r="C452" s="121">
        <v>12</v>
      </c>
      <c r="D452" s="734">
        <v>143.96873274247318</v>
      </c>
      <c r="E452" s="733"/>
      <c r="BD452" s="138"/>
    </row>
    <row r="453" spans="2:56" ht="15.75">
      <c r="B453" s="121">
        <v>47</v>
      </c>
      <c r="C453" s="121">
        <v>13</v>
      </c>
      <c r="D453" s="734">
        <v>141.03806519499182</v>
      </c>
      <c r="E453" s="733"/>
      <c r="BD453" s="138"/>
    </row>
    <row r="454" spans="2:56" ht="15.75">
      <c r="B454" s="121">
        <v>47</v>
      </c>
      <c r="C454" s="121">
        <v>14</v>
      </c>
      <c r="D454" s="734">
        <v>146.36939222622564</v>
      </c>
      <c r="E454" s="733"/>
      <c r="BD454" s="138"/>
    </row>
    <row r="455" spans="2:56" ht="15.75">
      <c r="B455" s="121">
        <v>47</v>
      </c>
      <c r="C455" s="121">
        <v>15</v>
      </c>
      <c r="D455" s="734">
        <v>143.22438536910869</v>
      </c>
      <c r="E455" s="733"/>
      <c r="BD455" s="138"/>
    </row>
    <row r="456" spans="2:56" ht="15.75">
      <c r="B456" s="121">
        <v>47</v>
      </c>
      <c r="C456" s="121">
        <v>16</v>
      </c>
      <c r="D456" s="734">
        <v>135.89633722371224</v>
      </c>
      <c r="E456" s="733"/>
      <c r="BD456" s="138"/>
    </row>
    <row r="457" spans="2:56" ht="15.75">
      <c r="B457" s="121">
        <v>48</v>
      </c>
      <c r="C457" s="121">
        <v>1</v>
      </c>
      <c r="D457" s="734">
        <v>5</v>
      </c>
      <c r="E457" s="733"/>
      <c r="BD457" s="138"/>
    </row>
    <row r="458" spans="2:56" ht="15.75">
      <c r="B458" s="121">
        <v>48</v>
      </c>
      <c r="C458" s="121">
        <v>2</v>
      </c>
      <c r="D458" s="734">
        <v>99.125726133944369</v>
      </c>
      <c r="E458" s="733"/>
      <c r="BD458" s="138"/>
    </row>
    <row r="459" spans="2:56" ht="15.75">
      <c r="B459" s="121">
        <v>48</v>
      </c>
      <c r="C459" s="121">
        <v>3</v>
      </c>
      <c r="D459" s="734">
        <v>119.50522920189798</v>
      </c>
      <c r="E459" s="733"/>
      <c r="BD459" s="138"/>
    </row>
    <row r="460" spans="2:56" ht="15.75">
      <c r="B460" s="121">
        <v>48</v>
      </c>
      <c r="C460" s="121">
        <v>4</v>
      </c>
      <c r="D460" s="734">
        <v>144.33064629859496</v>
      </c>
      <c r="E460" s="733"/>
      <c r="BD460" s="138"/>
    </row>
    <row r="461" spans="2:56" ht="15.75">
      <c r="B461" s="121">
        <v>48</v>
      </c>
      <c r="C461" s="121">
        <v>5</v>
      </c>
      <c r="D461" s="734">
        <v>141.69374315617355</v>
      </c>
      <c r="E461" s="733"/>
      <c r="BD461" s="138"/>
    </row>
    <row r="462" spans="2:56" ht="15.75">
      <c r="B462" s="121">
        <v>48</v>
      </c>
      <c r="C462" s="121">
        <v>6</v>
      </c>
      <c r="D462" s="734">
        <v>143.96938878186998</v>
      </c>
      <c r="E462" s="733"/>
      <c r="BD462" s="138"/>
    </row>
    <row r="463" spans="2:56" ht="15.75">
      <c r="B463" s="121">
        <v>48</v>
      </c>
      <c r="C463" s="121">
        <v>7</v>
      </c>
      <c r="D463" s="734">
        <v>141.49071913513578</v>
      </c>
      <c r="E463" s="733"/>
      <c r="BD463" s="138"/>
    </row>
    <row r="464" spans="2:56" ht="15.75">
      <c r="B464" s="121">
        <v>48</v>
      </c>
      <c r="C464" s="121">
        <v>8</v>
      </c>
      <c r="D464" s="734">
        <v>145.49534516302668</v>
      </c>
      <c r="E464" s="733"/>
      <c r="BD464" s="138"/>
    </row>
    <row r="465" spans="2:56" ht="15.75">
      <c r="B465" s="121">
        <v>48</v>
      </c>
      <c r="C465" s="121">
        <v>9</v>
      </c>
      <c r="D465" s="734">
        <v>138.95664029702317</v>
      </c>
      <c r="E465" s="733"/>
      <c r="BD465" s="138"/>
    </row>
    <row r="466" spans="2:56" ht="15.75">
      <c r="B466" s="121">
        <v>48</v>
      </c>
      <c r="C466" s="121">
        <v>10</v>
      </c>
      <c r="D466" s="734">
        <v>136.5219066883414</v>
      </c>
      <c r="E466" s="733"/>
      <c r="BD466" s="138"/>
    </row>
    <row r="467" spans="2:56" ht="15.75">
      <c r="B467" s="121">
        <v>48</v>
      </c>
      <c r="C467" s="121">
        <v>11</v>
      </c>
      <c r="D467" s="734">
        <v>143.37380019746053</v>
      </c>
      <c r="E467" s="733"/>
      <c r="BD467" s="138"/>
    </row>
    <row r="468" spans="2:56" ht="15.75">
      <c r="B468" s="121">
        <v>49</v>
      </c>
      <c r="C468" s="121">
        <v>1</v>
      </c>
      <c r="D468" s="734">
        <v>5</v>
      </c>
      <c r="E468" s="733"/>
      <c r="BD468" s="138"/>
    </row>
    <row r="469" spans="2:56" ht="15.75">
      <c r="B469" s="121">
        <v>50</v>
      </c>
      <c r="C469" s="121">
        <v>1</v>
      </c>
      <c r="D469" s="734">
        <v>5</v>
      </c>
      <c r="E469" s="733"/>
      <c r="BD469" s="138"/>
    </row>
    <row r="470" spans="2:56" ht="15.75">
      <c r="B470" s="121">
        <v>50</v>
      </c>
      <c r="C470" s="121">
        <v>2</v>
      </c>
      <c r="D470" s="734">
        <v>96.393748707747619</v>
      </c>
      <c r="E470" s="733"/>
      <c r="BD470" s="138"/>
    </row>
    <row r="471" spans="2:56" ht="15.75">
      <c r="B471" s="121">
        <v>51</v>
      </c>
      <c r="C471" s="121">
        <v>1</v>
      </c>
      <c r="D471" s="734">
        <v>5</v>
      </c>
      <c r="E471" s="733"/>
      <c r="BD471" s="138"/>
    </row>
    <row r="472" spans="2:56" ht="15.75">
      <c r="B472" s="121">
        <v>51</v>
      </c>
      <c r="C472" s="121">
        <v>2</v>
      </c>
      <c r="D472" s="734">
        <v>99.806380664878745</v>
      </c>
      <c r="E472" s="733"/>
      <c r="BD472" s="138"/>
    </row>
    <row r="473" spans="2:56" ht="15.75">
      <c r="B473" s="121">
        <v>51</v>
      </c>
      <c r="C473" s="121">
        <v>3</v>
      </c>
      <c r="D473" s="734">
        <v>124.70273254109237</v>
      </c>
      <c r="E473" s="733"/>
      <c r="BD473" s="138"/>
    </row>
    <row r="474" spans="2:56" ht="15.75">
      <c r="B474" s="121">
        <v>51</v>
      </c>
      <c r="C474" s="121">
        <v>4</v>
      </c>
      <c r="D474" s="734">
        <v>144.75992385382017</v>
      </c>
      <c r="E474" s="733"/>
      <c r="BD474" s="138"/>
    </row>
    <row r="475" spans="2:56" ht="15.75">
      <c r="B475" s="121">
        <v>51</v>
      </c>
      <c r="C475" s="121">
        <v>5</v>
      </c>
      <c r="D475" s="734">
        <v>141.2708284215953</v>
      </c>
      <c r="E475" s="733"/>
      <c r="BD475" s="138"/>
    </row>
    <row r="476" spans="2:56" ht="15.75">
      <c r="B476" s="121">
        <v>51</v>
      </c>
      <c r="C476" s="121">
        <v>6</v>
      </c>
      <c r="D476" s="734">
        <v>133.9592291065438</v>
      </c>
      <c r="E476" s="733"/>
      <c r="BD476" s="138"/>
    </row>
    <row r="477" spans="2:56" ht="15.75">
      <c r="B477" s="121">
        <v>51</v>
      </c>
      <c r="C477" s="121">
        <v>7</v>
      </c>
      <c r="D477" s="734">
        <v>145.28576953484966</v>
      </c>
      <c r="E477" s="733"/>
      <c r="BD477" s="138"/>
    </row>
    <row r="478" spans="2:56" ht="15.75">
      <c r="B478" s="121">
        <v>51</v>
      </c>
      <c r="C478" s="121">
        <v>8</v>
      </c>
      <c r="D478" s="734">
        <v>146.26635788807724</v>
      </c>
      <c r="E478" s="733"/>
      <c r="BD478" s="138"/>
    </row>
    <row r="479" spans="2:56" ht="15.75">
      <c r="B479" s="121">
        <v>51</v>
      </c>
      <c r="C479" s="121">
        <v>9</v>
      </c>
      <c r="D479" s="734">
        <v>146.61279984905971</v>
      </c>
      <c r="E479" s="733"/>
      <c r="BD479" s="138"/>
    </row>
    <row r="480" spans="2:56" ht="15.75">
      <c r="B480" s="121">
        <v>51</v>
      </c>
      <c r="C480" s="121">
        <v>10</v>
      </c>
      <c r="D480" s="734">
        <v>134.2061715641151</v>
      </c>
      <c r="E480" s="733"/>
      <c r="BD480" s="138"/>
    </row>
    <row r="481" spans="2:56" ht="15.75">
      <c r="B481" s="121">
        <v>51</v>
      </c>
      <c r="C481" s="121">
        <v>11</v>
      </c>
      <c r="D481" s="734">
        <v>139.7508165316959</v>
      </c>
      <c r="E481" s="733"/>
      <c r="BD481" s="138"/>
    </row>
    <row r="482" spans="2:56" ht="15.75">
      <c r="B482" s="121">
        <v>51</v>
      </c>
      <c r="C482" s="121">
        <v>12</v>
      </c>
      <c r="D482" s="734">
        <v>139.25297887779917</v>
      </c>
      <c r="E482" s="733"/>
      <c r="BD482" s="138"/>
    </row>
    <row r="483" spans="2:56" ht="15.75">
      <c r="B483" s="121">
        <v>51</v>
      </c>
      <c r="C483" s="121">
        <v>13</v>
      </c>
      <c r="D483" s="734">
        <v>141.98435937512303</v>
      </c>
      <c r="E483" s="733"/>
      <c r="BD483" s="138"/>
    </row>
    <row r="484" spans="2:56" ht="15.75">
      <c r="B484" s="121">
        <v>51</v>
      </c>
      <c r="C484" s="121">
        <v>14</v>
      </c>
      <c r="D484" s="734">
        <v>146.51475138624969</v>
      </c>
      <c r="E484" s="733"/>
      <c r="BD484" s="138"/>
    </row>
    <row r="485" spans="2:56" ht="15.75">
      <c r="B485" s="121">
        <v>51</v>
      </c>
      <c r="C485" s="121">
        <v>15</v>
      </c>
      <c r="D485" s="734">
        <v>141.72714212443174</v>
      </c>
      <c r="E485" s="733"/>
      <c r="BD485" s="138"/>
    </row>
    <row r="486" spans="2:56" ht="15.75">
      <c r="B486" s="121">
        <v>51</v>
      </c>
      <c r="C486" s="121">
        <v>16</v>
      </c>
      <c r="D486" s="734">
        <v>139.91939799691724</v>
      </c>
      <c r="E486" s="733"/>
      <c r="BD486" s="138"/>
    </row>
    <row r="487" spans="2:56" ht="15.75">
      <c r="B487" s="121">
        <v>51</v>
      </c>
      <c r="C487" s="121">
        <v>17</v>
      </c>
      <c r="D487" s="734">
        <v>135.96394673178366</v>
      </c>
      <c r="E487" s="733"/>
      <c r="BD487" s="138"/>
    </row>
    <row r="488" spans="2:56" ht="15.75">
      <c r="B488" s="121">
        <v>51</v>
      </c>
      <c r="C488" s="121">
        <v>18</v>
      </c>
      <c r="D488" s="734">
        <v>135.91134309374036</v>
      </c>
      <c r="E488" s="733"/>
      <c r="BD488" s="138"/>
    </row>
    <row r="489" spans="2:56" ht="15.75">
      <c r="B489" s="121">
        <v>51</v>
      </c>
      <c r="C489" s="121">
        <v>19</v>
      </c>
      <c r="D489" s="734">
        <v>134.40177045968164</v>
      </c>
      <c r="E489" s="733"/>
      <c r="BD489" s="138"/>
    </row>
    <row r="490" spans="2:56" ht="15.75">
      <c r="B490" s="121">
        <v>51</v>
      </c>
      <c r="C490" s="121">
        <v>20</v>
      </c>
      <c r="D490" s="734">
        <v>136.21268681059644</v>
      </c>
      <c r="E490" s="733"/>
      <c r="BD490" s="138"/>
    </row>
    <row r="491" spans="2:56" ht="15.75">
      <c r="B491" s="121">
        <v>51</v>
      </c>
      <c r="C491" s="121">
        <v>21</v>
      </c>
      <c r="D491" s="734">
        <v>138.95297864911075</v>
      </c>
      <c r="E491" s="733"/>
      <c r="BD491" s="138"/>
    </row>
    <row r="492" spans="2:56" ht="15.75">
      <c r="B492" s="121">
        <v>52</v>
      </c>
      <c r="C492" s="121">
        <v>1</v>
      </c>
      <c r="D492" s="734">
        <v>5</v>
      </c>
      <c r="E492" s="733"/>
      <c r="BD492" s="138"/>
    </row>
    <row r="493" spans="2:56" ht="15.75">
      <c r="B493" s="121">
        <v>52</v>
      </c>
      <c r="C493" s="121">
        <v>2</v>
      </c>
      <c r="D493" s="734">
        <v>103.32296238981056</v>
      </c>
      <c r="E493" s="733"/>
      <c r="BD493" s="138"/>
    </row>
    <row r="494" spans="2:56" ht="15.75">
      <c r="B494" s="121">
        <v>52</v>
      </c>
      <c r="C494" s="121">
        <v>3</v>
      </c>
      <c r="D494" s="734">
        <v>122.16569854318955</v>
      </c>
      <c r="E494" s="733"/>
      <c r="BD494" s="138"/>
    </row>
    <row r="495" spans="2:56" ht="15.75">
      <c r="B495" s="121">
        <v>52</v>
      </c>
      <c r="C495" s="121">
        <v>4</v>
      </c>
      <c r="D495" s="734">
        <v>139.75348771147588</v>
      </c>
      <c r="E495" s="733"/>
      <c r="BD495" s="138"/>
    </row>
    <row r="496" spans="2:56" ht="15.75">
      <c r="B496" s="121">
        <v>52</v>
      </c>
      <c r="C496" s="121">
        <v>5</v>
      </c>
      <c r="D496" s="734">
        <v>135.51685335776585</v>
      </c>
      <c r="E496" s="733"/>
      <c r="BD496" s="138"/>
    </row>
    <row r="497" spans="2:56" ht="15.75">
      <c r="B497" s="121">
        <v>52</v>
      </c>
      <c r="C497" s="121">
        <v>6</v>
      </c>
      <c r="D497" s="734">
        <v>140.62127626810184</v>
      </c>
      <c r="E497" s="733"/>
      <c r="BD497" s="138"/>
    </row>
    <row r="498" spans="2:56" ht="15.75">
      <c r="B498" s="121">
        <v>52</v>
      </c>
      <c r="C498" s="121">
        <v>7</v>
      </c>
      <c r="D498" s="734">
        <v>134.66448072884882</v>
      </c>
      <c r="E498" s="733"/>
      <c r="BD498" s="138"/>
    </row>
    <row r="499" spans="2:56" ht="15.75">
      <c r="B499" s="121">
        <v>52</v>
      </c>
      <c r="C499" s="121">
        <v>8</v>
      </c>
      <c r="D499" s="734">
        <v>134.89225447686874</v>
      </c>
      <c r="E499" s="733"/>
      <c r="BD499" s="138"/>
    </row>
    <row r="500" spans="2:56" ht="15.75">
      <c r="B500" s="121">
        <v>52</v>
      </c>
      <c r="C500" s="121">
        <v>9</v>
      </c>
      <c r="D500" s="734">
        <v>142.77773315929045</v>
      </c>
      <c r="E500" s="733"/>
      <c r="BD500" s="138"/>
    </row>
    <row r="501" spans="2:56" ht="15.75">
      <c r="B501" s="121">
        <v>52</v>
      </c>
      <c r="C501" s="121">
        <v>10</v>
      </c>
      <c r="D501" s="734">
        <v>140.36397292513345</v>
      </c>
      <c r="E501" s="733"/>
      <c r="BD501" s="138"/>
    </row>
    <row r="502" spans="2:56" ht="15.75">
      <c r="B502" s="121">
        <v>52</v>
      </c>
      <c r="C502" s="121">
        <v>11</v>
      </c>
      <c r="D502" s="734">
        <v>145.7125246680844</v>
      </c>
      <c r="E502" s="733"/>
      <c r="BD502" s="138"/>
    </row>
    <row r="503" spans="2:56" ht="15.75">
      <c r="B503" s="121">
        <v>52</v>
      </c>
      <c r="C503" s="121">
        <v>12</v>
      </c>
      <c r="D503" s="734">
        <v>134.40584621993233</v>
      </c>
      <c r="E503" s="733"/>
      <c r="BD503" s="138"/>
    </row>
    <row r="504" spans="2:56" ht="15.75">
      <c r="B504" s="121">
        <v>52</v>
      </c>
      <c r="C504" s="121">
        <v>13</v>
      </c>
      <c r="D504" s="734">
        <v>142.94642927249768</v>
      </c>
      <c r="E504" s="733"/>
      <c r="BD504" s="138"/>
    </row>
    <row r="505" spans="2:56" ht="15.75">
      <c r="B505" s="121">
        <v>52</v>
      </c>
      <c r="C505" s="121">
        <v>14</v>
      </c>
      <c r="D505" s="734">
        <v>138.27261294070618</v>
      </c>
      <c r="E505" s="733"/>
      <c r="BD505" s="138"/>
    </row>
    <row r="506" spans="2:56" ht="15.75">
      <c r="B506" s="121">
        <v>52</v>
      </c>
      <c r="C506" s="121">
        <v>15</v>
      </c>
      <c r="D506" s="734">
        <v>146.06549797414789</v>
      </c>
      <c r="E506" s="733"/>
      <c r="BD506" s="138"/>
    </row>
    <row r="507" spans="2:56" ht="15.75">
      <c r="B507" s="121">
        <v>52</v>
      </c>
      <c r="C507" s="121">
        <v>16</v>
      </c>
      <c r="D507" s="734">
        <v>145.20979258411069</v>
      </c>
      <c r="E507" s="733"/>
      <c r="BD507" s="138"/>
    </row>
    <row r="508" spans="2:56" ht="15.75">
      <c r="B508" s="121">
        <v>52</v>
      </c>
      <c r="C508" s="121">
        <v>17</v>
      </c>
      <c r="D508" s="734">
        <v>140.73859615482735</v>
      </c>
      <c r="E508" s="733"/>
      <c r="BD508" s="138"/>
    </row>
    <row r="509" spans="2:56" ht="15.75">
      <c r="B509" s="121">
        <v>52</v>
      </c>
      <c r="C509" s="121">
        <v>18</v>
      </c>
      <c r="D509" s="734">
        <v>147.09502465690133</v>
      </c>
      <c r="E509" s="733"/>
      <c r="BD509" s="138"/>
    </row>
    <row r="510" spans="2:56" ht="15.75">
      <c r="B510" s="121">
        <v>52</v>
      </c>
      <c r="C510" s="121">
        <v>19</v>
      </c>
      <c r="D510" s="734">
        <v>146.2563697349153</v>
      </c>
      <c r="E510" s="733"/>
      <c r="BD510" s="138"/>
    </row>
    <row r="511" spans="2:56" ht="15.75">
      <c r="B511" s="121">
        <v>53</v>
      </c>
      <c r="C511" s="121">
        <v>1</v>
      </c>
      <c r="D511" s="734">
        <v>5</v>
      </c>
      <c r="E511" s="733"/>
      <c r="BD511" s="138"/>
    </row>
    <row r="512" spans="2:56" ht="15.75">
      <c r="B512" s="121">
        <v>54</v>
      </c>
      <c r="C512" s="121">
        <v>1</v>
      </c>
      <c r="D512" s="734">
        <v>5</v>
      </c>
      <c r="E512" s="733"/>
      <c r="BD512" s="138"/>
    </row>
    <row r="513" spans="2:56" ht="15.75">
      <c r="B513" s="121">
        <v>54</v>
      </c>
      <c r="C513" s="121">
        <v>2</v>
      </c>
      <c r="D513" s="734">
        <v>100.81758144366265</v>
      </c>
      <c r="E513" s="733"/>
      <c r="BD513" s="138"/>
    </row>
    <row r="514" spans="2:56" ht="15.75">
      <c r="B514" s="121">
        <v>54</v>
      </c>
      <c r="C514" s="121">
        <v>3</v>
      </c>
      <c r="D514" s="734">
        <v>117.56303950993029</v>
      </c>
      <c r="E514" s="733"/>
      <c r="BD514" s="138"/>
    </row>
    <row r="515" spans="2:56" ht="15.75">
      <c r="B515" s="121">
        <v>54</v>
      </c>
      <c r="C515" s="121">
        <v>4</v>
      </c>
      <c r="D515" s="734">
        <v>142.01784185526421</v>
      </c>
      <c r="E515" s="733"/>
      <c r="BD515" s="138"/>
    </row>
    <row r="516" spans="2:56" ht="15.75">
      <c r="B516" s="121">
        <v>54</v>
      </c>
      <c r="C516" s="121">
        <v>5</v>
      </c>
      <c r="D516" s="734">
        <v>146.03064920358759</v>
      </c>
      <c r="E516" s="733"/>
      <c r="BD516" s="138"/>
    </row>
    <row r="517" spans="2:56" ht="15.75">
      <c r="B517" s="121">
        <v>54</v>
      </c>
      <c r="C517" s="121">
        <v>6</v>
      </c>
      <c r="D517" s="734">
        <v>135.91224996980662</v>
      </c>
      <c r="E517" s="733"/>
      <c r="BD517" s="138"/>
    </row>
    <row r="518" spans="2:56" ht="15.75">
      <c r="B518" s="121">
        <v>54</v>
      </c>
      <c r="C518" s="121">
        <v>7</v>
      </c>
      <c r="D518" s="734">
        <v>144.0804502820861</v>
      </c>
      <c r="E518" s="733"/>
      <c r="BD518" s="138"/>
    </row>
    <row r="519" spans="2:56" ht="15.75">
      <c r="B519" s="121">
        <v>54</v>
      </c>
      <c r="C519" s="121">
        <v>8</v>
      </c>
      <c r="D519" s="734">
        <v>144.07820862301483</v>
      </c>
      <c r="E519" s="733"/>
      <c r="BD519" s="138"/>
    </row>
    <row r="520" spans="2:56" ht="15.75">
      <c r="B520" s="121">
        <v>55</v>
      </c>
      <c r="C520" s="121">
        <v>1</v>
      </c>
      <c r="D520" s="734">
        <v>5</v>
      </c>
      <c r="E520" s="733"/>
      <c r="BD520" s="138"/>
    </row>
    <row r="521" spans="2:56" ht="15.75">
      <c r="B521" s="121">
        <v>55</v>
      </c>
      <c r="C521" s="121">
        <v>2</v>
      </c>
      <c r="D521" s="734">
        <v>102.01736079864121</v>
      </c>
      <c r="E521" s="733"/>
      <c r="BD521" s="138"/>
    </row>
    <row r="522" spans="2:56" ht="15.75">
      <c r="B522" s="121">
        <v>55</v>
      </c>
      <c r="C522" s="121">
        <v>3</v>
      </c>
      <c r="D522" s="734">
        <v>115.79331680779589</v>
      </c>
      <c r="E522" s="733"/>
      <c r="BD522" s="138"/>
    </row>
    <row r="523" spans="2:56" ht="15.75">
      <c r="B523" s="121">
        <v>55</v>
      </c>
      <c r="C523" s="121">
        <v>4</v>
      </c>
      <c r="D523" s="734">
        <v>139.78422451246877</v>
      </c>
      <c r="E523" s="733"/>
      <c r="BD523" s="138"/>
    </row>
    <row r="524" spans="2:56" ht="15.75">
      <c r="B524" s="121">
        <v>55</v>
      </c>
      <c r="C524" s="121">
        <v>5</v>
      </c>
      <c r="D524" s="734">
        <v>144.26048341231171</v>
      </c>
      <c r="E524" s="733"/>
      <c r="BD524" s="138"/>
    </row>
    <row r="525" spans="2:56" ht="15.75">
      <c r="B525" s="121">
        <v>55</v>
      </c>
      <c r="C525" s="121">
        <v>6</v>
      </c>
      <c r="D525" s="734">
        <v>140.28379311661888</v>
      </c>
      <c r="E525" s="733"/>
      <c r="BD525" s="138"/>
    </row>
    <row r="526" spans="2:56" ht="15.75">
      <c r="B526" s="121">
        <v>55</v>
      </c>
      <c r="C526" s="121">
        <v>7</v>
      </c>
      <c r="D526" s="734">
        <v>144.78128324803387</v>
      </c>
      <c r="E526" s="733"/>
      <c r="BD526" s="138"/>
    </row>
    <row r="527" spans="2:56" ht="15.75">
      <c r="B527" s="121">
        <v>55</v>
      </c>
      <c r="C527" s="121">
        <v>8</v>
      </c>
      <c r="D527" s="734">
        <v>133.95874771333084</v>
      </c>
      <c r="E527" s="733"/>
      <c r="BD527" s="138"/>
    </row>
    <row r="528" spans="2:56" ht="15.75">
      <c r="B528" s="121">
        <v>55</v>
      </c>
      <c r="C528" s="121">
        <v>9</v>
      </c>
      <c r="D528" s="734">
        <v>134.70938886732611</v>
      </c>
      <c r="E528" s="733"/>
      <c r="BD528" s="138"/>
    </row>
    <row r="529" spans="2:56" ht="15.75">
      <c r="B529" s="121">
        <v>55</v>
      </c>
      <c r="C529" s="121">
        <v>10</v>
      </c>
      <c r="D529" s="734">
        <v>137.90571807622149</v>
      </c>
      <c r="E529" s="733"/>
      <c r="BD529" s="138"/>
    </row>
    <row r="530" spans="2:56" ht="15.75">
      <c r="B530" s="121">
        <v>55</v>
      </c>
      <c r="C530" s="121">
        <v>11</v>
      </c>
      <c r="D530" s="734">
        <v>137.70473460651178</v>
      </c>
      <c r="E530" s="733"/>
      <c r="BD530" s="138"/>
    </row>
    <row r="531" spans="2:56" ht="15.75">
      <c r="B531" s="121">
        <v>55</v>
      </c>
      <c r="C531" s="121">
        <v>12</v>
      </c>
      <c r="D531" s="734">
        <v>143.57510920896584</v>
      </c>
      <c r="E531" s="733"/>
      <c r="BD531" s="138"/>
    </row>
    <row r="532" spans="2:56" ht="15.75">
      <c r="B532" s="121">
        <v>55</v>
      </c>
      <c r="C532" s="121">
        <v>13</v>
      </c>
      <c r="D532" s="734">
        <v>146.80571274924233</v>
      </c>
      <c r="E532" s="733"/>
      <c r="BD532" s="138"/>
    </row>
    <row r="533" spans="2:56" ht="15.75">
      <c r="B533" s="121">
        <v>55</v>
      </c>
      <c r="C533" s="121">
        <v>14</v>
      </c>
      <c r="D533" s="734">
        <v>142.94111794051042</v>
      </c>
      <c r="E533" s="733"/>
      <c r="BD533" s="138"/>
    </row>
    <row r="534" spans="2:56" ht="15.75">
      <c r="B534" s="121">
        <v>55</v>
      </c>
      <c r="C534" s="121">
        <v>15</v>
      </c>
      <c r="D534" s="734">
        <v>143.05056312112961</v>
      </c>
      <c r="E534" s="733"/>
      <c r="BD534" s="138"/>
    </row>
    <row r="535" spans="2:56" ht="15.75">
      <c r="B535" s="121">
        <v>55</v>
      </c>
      <c r="C535" s="121">
        <v>16</v>
      </c>
      <c r="D535" s="734">
        <v>145.30061445592096</v>
      </c>
      <c r="E535" s="733"/>
      <c r="BD535" s="138"/>
    </row>
    <row r="536" spans="2:56" ht="15.75">
      <c r="B536" s="121">
        <v>55</v>
      </c>
      <c r="C536" s="121">
        <v>17</v>
      </c>
      <c r="D536" s="734">
        <v>146.79800369643843</v>
      </c>
      <c r="E536" s="733"/>
      <c r="BD536" s="138"/>
    </row>
    <row r="537" spans="2:56" ht="15.75">
      <c r="B537" s="121">
        <v>55</v>
      </c>
      <c r="C537" s="121">
        <v>18</v>
      </c>
      <c r="D537" s="734">
        <v>136.70052774310727</v>
      </c>
      <c r="E537" s="733"/>
      <c r="BD537" s="138"/>
    </row>
    <row r="538" spans="2:56" ht="15.75">
      <c r="B538" s="121">
        <v>55</v>
      </c>
      <c r="C538" s="121">
        <v>19</v>
      </c>
      <c r="D538" s="734">
        <v>137.52215077479917</v>
      </c>
      <c r="E538" s="733"/>
      <c r="BD538" s="138"/>
    </row>
    <row r="539" spans="2:56" ht="15.75">
      <c r="B539" s="121">
        <v>55</v>
      </c>
      <c r="C539" s="121">
        <v>20</v>
      </c>
      <c r="D539" s="734">
        <v>134.6964794983426</v>
      </c>
      <c r="E539" s="733"/>
      <c r="BD539" s="138"/>
    </row>
    <row r="540" spans="2:56" ht="15.75">
      <c r="B540" s="121">
        <v>55</v>
      </c>
      <c r="C540" s="121">
        <v>21</v>
      </c>
      <c r="D540" s="734">
        <v>138.05529901780289</v>
      </c>
      <c r="E540" s="733"/>
      <c r="BD540" s="138"/>
    </row>
    <row r="541" spans="2:56" ht="15.75">
      <c r="B541" s="121">
        <v>55</v>
      </c>
      <c r="C541" s="121">
        <v>22</v>
      </c>
      <c r="D541" s="734">
        <v>140.5669445425502</v>
      </c>
      <c r="E541" s="733"/>
      <c r="BD541" s="138"/>
    </row>
    <row r="542" spans="2:56" ht="15.75">
      <c r="B542" s="121">
        <v>55</v>
      </c>
      <c r="C542" s="121">
        <v>23</v>
      </c>
      <c r="D542" s="734">
        <v>146.73296995743951</v>
      </c>
      <c r="E542" s="733"/>
      <c r="BD542" s="138"/>
    </row>
    <row r="543" spans="2:56" ht="15.75">
      <c r="B543" s="121">
        <v>55</v>
      </c>
      <c r="C543" s="121">
        <v>24</v>
      </c>
      <c r="D543" s="734">
        <v>134.98714756424755</v>
      </c>
      <c r="E543" s="733"/>
      <c r="BD543" s="138"/>
    </row>
    <row r="544" spans="2:56" ht="15.75">
      <c r="B544" s="121">
        <v>55</v>
      </c>
      <c r="C544" s="121">
        <v>25</v>
      </c>
      <c r="D544" s="734">
        <v>139.82453289120735</v>
      </c>
      <c r="E544" s="733"/>
      <c r="BD544" s="138"/>
    </row>
    <row r="545" spans="2:56" ht="15.75">
      <c r="B545" s="121">
        <v>55</v>
      </c>
      <c r="C545" s="121">
        <v>26</v>
      </c>
      <c r="D545" s="734">
        <v>134.02577177685041</v>
      </c>
      <c r="E545" s="733"/>
      <c r="BD545" s="138"/>
    </row>
    <row r="546" spans="2:56" ht="15.75">
      <c r="B546" s="121">
        <v>55</v>
      </c>
      <c r="C546" s="121">
        <v>27</v>
      </c>
      <c r="D546" s="734">
        <v>145.50418587383103</v>
      </c>
      <c r="E546" s="733"/>
      <c r="BD546" s="138"/>
    </row>
    <row r="547" spans="2:56" ht="15.75">
      <c r="B547" s="121">
        <v>55</v>
      </c>
      <c r="C547" s="121">
        <v>28</v>
      </c>
      <c r="D547" s="734">
        <v>143.96546328912211</v>
      </c>
      <c r="E547" s="733"/>
      <c r="BD547" s="138"/>
    </row>
    <row r="548" spans="2:56" ht="15.75">
      <c r="B548" s="121">
        <v>55</v>
      </c>
      <c r="C548" s="121">
        <v>29</v>
      </c>
      <c r="D548" s="734">
        <v>143.97037869218767</v>
      </c>
      <c r="E548" s="733"/>
      <c r="BD548" s="138"/>
    </row>
    <row r="549" spans="2:56" ht="15.75">
      <c r="B549" s="121">
        <v>55</v>
      </c>
      <c r="C549" s="121">
        <v>30</v>
      </c>
      <c r="D549" s="734">
        <v>142.83813692908765</v>
      </c>
      <c r="E549" s="733"/>
      <c r="BD549" s="138"/>
    </row>
    <row r="550" spans="2:56" ht="15.75">
      <c r="B550" s="121">
        <v>55</v>
      </c>
      <c r="C550" s="121">
        <v>31</v>
      </c>
      <c r="D550" s="734">
        <v>140.63970221493165</v>
      </c>
      <c r="E550" s="733"/>
      <c r="BD550" s="138"/>
    </row>
    <row r="551" spans="2:56" ht="15.75">
      <c r="B551" s="121">
        <v>55</v>
      </c>
      <c r="C551" s="121">
        <v>32</v>
      </c>
      <c r="D551" s="734">
        <v>146.81399371705885</v>
      </c>
      <c r="E551" s="733"/>
      <c r="BD551" s="138"/>
    </row>
    <row r="552" spans="2:56" ht="15.75">
      <c r="B552" s="121">
        <v>55</v>
      </c>
      <c r="C552" s="121">
        <v>33</v>
      </c>
      <c r="D552" s="734">
        <v>143.75759483213815</v>
      </c>
      <c r="E552" s="733"/>
      <c r="BD552" s="138"/>
    </row>
    <row r="553" spans="2:56" ht="15.75">
      <c r="B553" s="121">
        <v>55</v>
      </c>
      <c r="C553" s="121">
        <v>34</v>
      </c>
      <c r="D553" s="734">
        <v>134.69072962248671</v>
      </c>
      <c r="E553" s="733"/>
      <c r="BD553" s="138"/>
    </row>
    <row r="554" spans="2:56" ht="15.75">
      <c r="B554" s="121">
        <v>56</v>
      </c>
      <c r="C554" s="121">
        <v>1</v>
      </c>
      <c r="D554" s="734">
        <v>5</v>
      </c>
      <c r="E554" s="733"/>
      <c r="BD554" s="138"/>
    </row>
    <row r="555" spans="2:56" ht="15.75">
      <c r="B555" s="121">
        <v>57</v>
      </c>
      <c r="C555" s="121">
        <v>1</v>
      </c>
      <c r="D555" s="734">
        <v>5</v>
      </c>
      <c r="E555" s="733"/>
      <c r="BD555" s="138"/>
    </row>
    <row r="556" spans="2:56" ht="15.75">
      <c r="B556" s="121">
        <v>57</v>
      </c>
      <c r="C556" s="121">
        <v>2</v>
      </c>
      <c r="D556" s="734">
        <v>98.617580176942383</v>
      </c>
      <c r="E556" s="733"/>
      <c r="BD556" s="138"/>
    </row>
    <row r="557" spans="2:56" ht="15.75">
      <c r="B557" s="121">
        <v>57</v>
      </c>
      <c r="C557" s="121">
        <v>3</v>
      </c>
      <c r="D557" s="734">
        <v>122.59141576410049</v>
      </c>
      <c r="E557" s="733"/>
      <c r="BD557" s="138"/>
    </row>
    <row r="558" spans="2:56" ht="15.75">
      <c r="B558" s="121">
        <v>58</v>
      </c>
      <c r="C558" s="121">
        <v>1</v>
      </c>
      <c r="D558" s="734">
        <v>5</v>
      </c>
      <c r="E558" s="733"/>
      <c r="BD558" s="138"/>
    </row>
    <row r="559" spans="2:56" ht="15.75">
      <c r="B559" s="121">
        <v>58</v>
      </c>
      <c r="C559" s="121">
        <v>2</v>
      </c>
      <c r="D559" s="734">
        <v>98.339839063618115</v>
      </c>
      <c r="E559" s="733"/>
      <c r="BD559" s="138"/>
    </row>
    <row r="560" spans="2:56" ht="15.75">
      <c r="B560" s="121">
        <v>59</v>
      </c>
      <c r="C560" s="121">
        <v>1</v>
      </c>
      <c r="D560" s="734">
        <v>5</v>
      </c>
      <c r="E560" s="733"/>
      <c r="BD560" s="138"/>
    </row>
    <row r="561" spans="2:56" ht="15.75">
      <c r="B561" s="121">
        <v>59</v>
      </c>
      <c r="C561" s="121">
        <v>2</v>
      </c>
      <c r="D561" s="734">
        <v>98.045732365774612</v>
      </c>
      <c r="E561" s="733"/>
      <c r="BD561" s="138"/>
    </row>
    <row r="562" spans="2:56" ht="15.75">
      <c r="B562" s="121">
        <v>59</v>
      </c>
      <c r="C562" s="121">
        <v>3</v>
      </c>
      <c r="D562" s="734">
        <v>119.28701195215231</v>
      </c>
      <c r="E562" s="733"/>
      <c r="BD562" s="138"/>
    </row>
    <row r="563" spans="2:56" ht="15.75">
      <c r="B563" s="121">
        <v>60</v>
      </c>
      <c r="C563" s="121">
        <v>1</v>
      </c>
      <c r="D563" s="734">
        <v>5</v>
      </c>
      <c r="E563" s="733"/>
      <c r="BD563" s="138"/>
    </row>
    <row r="564" spans="2:56" ht="15.75">
      <c r="B564" s="121">
        <v>60</v>
      </c>
      <c r="C564" s="121">
        <v>2</v>
      </c>
      <c r="D564" s="734">
        <v>97.0897190736639</v>
      </c>
      <c r="E564" s="733"/>
      <c r="BD564" s="138"/>
    </row>
    <row r="565" spans="2:56" ht="15.75">
      <c r="B565" s="121">
        <v>60</v>
      </c>
      <c r="C565" s="121">
        <v>3</v>
      </c>
      <c r="D565" s="734">
        <v>115.92578066958137</v>
      </c>
      <c r="E565" s="733"/>
      <c r="BD565" s="138"/>
    </row>
    <row r="566" spans="2:56" ht="15.75">
      <c r="B566" s="121">
        <v>60</v>
      </c>
      <c r="C566" s="121">
        <v>4</v>
      </c>
      <c r="D566" s="734">
        <v>142.50494009335992</v>
      </c>
      <c r="E566" s="733"/>
      <c r="BD566" s="138"/>
    </row>
    <row r="567" spans="2:56" ht="15.75">
      <c r="B567" s="121">
        <v>60</v>
      </c>
      <c r="C567" s="121">
        <v>5</v>
      </c>
      <c r="D567" s="734">
        <v>147.05190457207149</v>
      </c>
      <c r="E567" s="733"/>
      <c r="BD567" s="138"/>
    </row>
    <row r="568" spans="2:56" ht="15.75">
      <c r="B568" s="121">
        <v>60</v>
      </c>
      <c r="C568" s="121">
        <v>6</v>
      </c>
      <c r="D568" s="734">
        <v>143.35778977453577</v>
      </c>
      <c r="E568" s="733"/>
      <c r="BD568" s="138"/>
    </row>
    <row r="569" spans="2:56" ht="15.75">
      <c r="B569" s="121">
        <v>60</v>
      </c>
      <c r="C569" s="121">
        <v>7</v>
      </c>
      <c r="D569" s="734">
        <v>139.78894096181841</v>
      </c>
      <c r="E569" s="733"/>
      <c r="BD569" s="138"/>
    </row>
    <row r="570" spans="2:56" ht="15.75">
      <c r="B570" s="121">
        <v>60</v>
      </c>
      <c r="C570" s="121">
        <v>8</v>
      </c>
      <c r="D570" s="734">
        <v>143.55014617059672</v>
      </c>
      <c r="E570" s="733"/>
      <c r="BD570" s="138"/>
    </row>
    <row r="571" spans="2:56" ht="15.75">
      <c r="B571" s="121">
        <v>60</v>
      </c>
      <c r="C571" s="121">
        <v>9</v>
      </c>
      <c r="D571" s="734">
        <v>140.68915971668798</v>
      </c>
      <c r="E571" s="733"/>
      <c r="BD571" s="138"/>
    </row>
    <row r="572" spans="2:56" ht="15.75">
      <c r="B572" s="121">
        <v>60</v>
      </c>
      <c r="C572" s="121">
        <v>10</v>
      </c>
      <c r="D572" s="734">
        <v>137.69966087647794</v>
      </c>
      <c r="E572" s="733"/>
      <c r="BD572" s="138"/>
    </row>
    <row r="573" spans="2:56" ht="15.75">
      <c r="B573" s="121">
        <v>60</v>
      </c>
      <c r="C573" s="121">
        <v>11</v>
      </c>
      <c r="D573" s="734">
        <v>145.3096385861588</v>
      </c>
      <c r="E573" s="733"/>
      <c r="BD573" s="138"/>
    </row>
    <row r="574" spans="2:56" ht="15.75">
      <c r="B574" s="121">
        <v>60</v>
      </c>
      <c r="C574" s="121">
        <v>12</v>
      </c>
      <c r="D574" s="734">
        <v>136.41281706063737</v>
      </c>
      <c r="E574" s="733"/>
      <c r="BD574" s="138"/>
    </row>
    <row r="575" spans="2:56" ht="15.75">
      <c r="B575" s="121">
        <v>60</v>
      </c>
      <c r="C575" s="121">
        <v>13</v>
      </c>
      <c r="D575" s="734">
        <v>137.47847888212021</v>
      </c>
      <c r="E575" s="733"/>
      <c r="BD575" s="138"/>
    </row>
    <row r="576" spans="2:56" ht="15.75">
      <c r="B576" s="121">
        <v>60</v>
      </c>
      <c r="C576" s="121">
        <v>14</v>
      </c>
      <c r="D576" s="734">
        <v>143.43712976013799</v>
      </c>
      <c r="E576" s="733"/>
      <c r="BD576" s="138"/>
    </row>
    <row r="577" spans="2:56" ht="15.75">
      <c r="B577" s="121">
        <v>61</v>
      </c>
      <c r="C577" s="121">
        <v>1</v>
      </c>
      <c r="D577" s="734">
        <v>5</v>
      </c>
      <c r="E577" s="733"/>
      <c r="BD577" s="138"/>
    </row>
    <row r="578" spans="2:56" ht="15.75">
      <c r="B578" s="121">
        <v>62</v>
      </c>
      <c r="C578" s="121">
        <v>1</v>
      </c>
      <c r="D578" s="734">
        <v>5</v>
      </c>
      <c r="E578" s="733"/>
      <c r="BD578" s="138"/>
    </row>
    <row r="579" spans="2:56" ht="15.75">
      <c r="B579" s="121">
        <v>62</v>
      </c>
      <c r="C579" s="121">
        <v>2</v>
      </c>
      <c r="D579" s="734">
        <v>95.119436438108579</v>
      </c>
      <c r="E579" s="733"/>
      <c r="BD579" s="138"/>
    </row>
    <row r="580" spans="2:56" ht="15.75">
      <c r="B580" s="121">
        <v>62</v>
      </c>
      <c r="C580" s="121">
        <v>3</v>
      </c>
      <c r="D580" s="734">
        <v>123.8301825109189</v>
      </c>
      <c r="E580" s="733"/>
      <c r="BD580" s="138"/>
    </row>
    <row r="581" spans="2:56" ht="15.75">
      <c r="B581" s="121">
        <v>62</v>
      </c>
      <c r="C581" s="121">
        <v>4</v>
      </c>
      <c r="D581" s="734">
        <v>139.80857192378238</v>
      </c>
      <c r="E581" s="733"/>
      <c r="BD581" s="138"/>
    </row>
    <row r="582" spans="2:56" ht="15.75">
      <c r="B582" s="121">
        <v>62</v>
      </c>
      <c r="C582" s="121">
        <v>5</v>
      </c>
      <c r="D582" s="734">
        <v>145.51341175504626</v>
      </c>
      <c r="E582" s="733"/>
      <c r="BD582" s="138"/>
    </row>
    <row r="583" spans="2:56" ht="15.75">
      <c r="B583" s="121">
        <v>62</v>
      </c>
      <c r="C583" s="121">
        <v>6</v>
      </c>
      <c r="D583" s="734">
        <v>143.01095710694875</v>
      </c>
      <c r="E583" s="733"/>
      <c r="BD583" s="138"/>
    </row>
    <row r="584" spans="2:56" ht="15.75">
      <c r="B584" s="121">
        <v>62</v>
      </c>
      <c r="C584" s="121">
        <v>7</v>
      </c>
      <c r="D584" s="734">
        <v>140.7289141988862</v>
      </c>
      <c r="E584" s="733"/>
      <c r="BD584" s="138"/>
    </row>
    <row r="585" spans="2:56" ht="15.75">
      <c r="B585" s="121">
        <v>62</v>
      </c>
      <c r="C585" s="121">
        <v>8</v>
      </c>
      <c r="D585" s="734">
        <v>135.57067323002059</v>
      </c>
      <c r="E585" s="733"/>
      <c r="BD585" s="138"/>
    </row>
    <row r="586" spans="2:56" ht="15.75">
      <c r="B586" s="121">
        <v>62</v>
      </c>
      <c r="C586" s="121">
        <v>9</v>
      </c>
      <c r="D586" s="734">
        <v>142.06298987420939</v>
      </c>
      <c r="E586" s="733"/>
      <c r="BD586" s="138"/>
    </row>
    <row r="587" spans="2:56" ht="15.75">
      <c r="B587" s="121">
        <v>62</v>
      </c>
      <c r="C587" s="121">
        <v>10</v>
      </c>
      <c r="D587" s="734">
        <v>134.75732786238922</v>
      </c>
      <c r="E587" s="733"/>
      <c r="BD587" s="138"/>
    </row>
    <row r="588" spans="2:56" ht="15.75">
      <c r="B588" s="121">
        <v>62</v>
      </c>
      <c r="C588" s="121">
        <v>11</v>
      </c>
      <c r="D588" s="734">
        <v>144.58542593750789</v>
      </c>
      <c r="E588" s="733"/>
      <c r="BD588" s="138"/>
    </row>
    <row r="589" spans="2:56" ht="15.75">
      <c r="B589" s="121">
        <v>62</v>
      </c>
      <c r="C589" s="121">
        <v>12</v>
      </c>
      <c r="D589" s="734">
        <v>144.0516280278533</v>
      </c>
      <c r="E589" s="733"/>
      <c r="BD589" s="138"/>
    </row>
    <row r="590" spans="2:56" ht="15.75">
      <c r="B590" s="121">
        <v>62</v>
      </c>
      <c r="C590" s="121">
        <v>13</v>
      </c>
      <c r="D590" s="734">
        <v>137.32851199564669</v>
      </c>
      <c r="E590" s="733"/>
      <c r="BD590" s="138"/>
    </row>
    <row r="591" spans="2:56" ht="15.75">
      <c r="B591" s="121">
        <v>62</v>
      </c>
      <c r="C591" s="121">
        <v>14</v>
      </c>
      <c r="D591" s="734">
        <v>135.76548183302674</v>
      </c>
      <c r="E591" s="733"/>
      <c r="BD591" s="138"/>
    </row>
    <row r="592" spans="2:56" ht="15.75">
      <c r="B592" s="121">
        <v>62</v>
      </c>
      <c r="C592" s="121">
        <v>15</v>
      </c>
      <c r="D592" s="734">
        <v>140.96614316071455</v>
      </c>
      <c r="E592" s="733"/>
      <c r="BD592" s="138"/>
    </row>
    <row r="593" spans="2:56" ht="15.75">
      <c r="B593" s="121">
        <v>62</v>
      </c>
      <c r="C593" s="121">
        <v>16</v>
      </c>
      <c r="D593" s="734">
        <v>134.03215993585138</v>
      </c>
      <c r="E593" s="733"/>
      <c r="BD593" s="138"/>
    </row>
    <row r="594" spans="2:56" ht="15.75">
      <c r="B594" s="121">
        <v>62</v>
      </c>
      <c r="C594" s="121">
        <v>17</v>
      </c>
      <c r="D594" s="734">
        <v>139.74060339710454</v>
      </c>
      <c r="E594" s="733"/>
      <c r="BD594" s="138"/>
    </row>
    <row r="595" spans="2:56" ht="15.75">
      <c r="B595" s="121">
        <v>62</v>
      </c>
      <c r="C595" s="121">
        <v>18</v>
      </c>
      <c r="D595" s="734">
        <v>146.96853540725485</v>
      </c>
      <c r="E595" s="733"/>
      <c r="BD595" s="138"/>
    </row>
    <row r="596" spans="2:56" ht="15.75">
      <c r="B596" s="121">
        <v>62</v>
      </c>
      <c r="C596" s="121">
        <v>19</v>
      </c>
      <c r="D596" s="734">
        <v>137.41328003111713</v>
      </c>
      <c r="E596" s="733"/>
      <c r="BD596" s="138"/>
    </row>
    <row r="597" spans="2:56" ht="15.75">
      <c r="B597" s="121">
        <v>62</v>
      </c>
      <c r="C597" s="121">
        <v>20</v>
      </c>
      <c r="D597" s="734">
        <v>140.56927719451107</v>
      </c>
      <c r="E597" s="733"/>
      <c r="BD597" s="138"/>
    </row>
    <row r="598" spans="2:56" ht="15.75">
      <c r="B598" s="121">
        <v>62</v>
      </c>
      <c r="C598" s="121">
        <v>21</v>
      </c>
      <c r="D598" s="734">
        <v>134.2402929781754</v>
      </c>
      <c r="E598" s="733"/>
      <c r="BD598" s="138"/>
    </row>
    <row r="599" spans="2:56" ht="15.75">
      <c r="B599" s="121">
        <v>62</v>
      </c>
      <c r="C599" s="121">
        <v>22</v>
      </c>
      <c r="D599" s="734">
        <v>143.73262135553833</v>
      </c>
      <c r="E599" s="733"/>
      <c r="BD599" s="138"/>
    </row>
    <row r="600" spans="2:56" ht="15.75">
      <c r="B600" s="121">
        <v>62</v>
      </c>
      <c r="C600" s="121">
        <v>23</v>
      </c>
      <c r="D600" s="734">
        <v>145.64216821418145</v>
      </c>
      <c r="E600" s="733"/>
      <c r="BD600" s="138"/>
    </row>
    <row r="601" spans="2:56" ht="15.75">
      <c r="B601" s="121">
        <v>62</v>
      </c>
      <c r="C601" s="121">
        <v>24</v>
      </c>
      <c r="D601" s="734">
        <v>143.01546999600671</v>
      </c>
      <c r="E601" s="733"/>
      <c r="BD601" s="138"/>
    </row>
    <row r="602" spans="2:56" ht="15.75">
      <c r="B602" s="121">
        <v>62</v>
      </c>
      <c r="C602" s="121">
        <v>25</v>
      </c>
      <c r="D602" s="734">
        <v>145.62024220263876</v>
      </c>
      <c r="E602" s="733"/>
      <c r="BD602" s="138"/>
    </row>
    <row r="603" spans="2:56" ht="15.75">
      <c r="B603" s="121">
        <v>62</v>
      </c>
      <c r="C603" s="121">
        <v>26</v>
      </c>
      <c r="D603" s="734">
        <v>139.61113501981853</v>
      </c>
      <c r="E603" s="733"/>
      <c r="BD603" s="138"/>
    </row>
    <row r="604" spans="2:56" ht="15.75">
      <c r="B604" s="121">
        <v>62</v>
      </c>
      <c r="C604" s="121">
        <v>27</v>
      </c>
      <c r="D604" s="734">
        <v>144.75159655655477</v>
      </c>
      <c r="E604" s="733"/>
      <c r="BD604" s="138"/>
    </row>
    <row r="605" spans="2:56" ht="15.75">
      <c r="B605" s="121">
        <v>62</v>
      </c>
      <c r="C605" s="121">
        <v>28</v>
      </c>
      <c r="D605" s="734">
        <v>146.988853491866</v>
      </c>
      <c r="E605" s="733"/>
      <c r="BD605" s="138"/>
    </row>
    <row r="606" spans="2:56" ht="15.75">
      <c r="B606" s="121">
        <v>62</v>
      </c>
      <c r="C606" s="121">
        <v>29</v>
      </c>
      <c r="D606" s="734">
        <v>142.55282532017387</v>
      </c>
      <c r="E606" s="733"/>
      <c r="BD606" s="138"/>
    </row>
    <row r="607" spans="2:56" ht="15.75">
      <c r="B607" s="121">
        <v>62</v>
      </c>
      <c r="C607" s="121">
        <v>30</v>
      </c>
      <c r="D607" s="734">
        <v>145.29076513161968</v>
      </c>
      <c r="E607" s="733"/>
      <c r="BD607" s="138"/>
    </row>
    <row r="608" spans="2:56" ht="15.75">
      <c r="B608" s="121">
        <v>62</v>
      </c>
      <c r="C608" s="121">
        <v>31</v>
      </c>
      <c r="D608" s="734">
        <v>144.65009328778473</v>
      </c>
      <c r="E608" s="733"/>
      <c r="BD608" s="138"/>
    </row>
    <row r="609" spans="2:56" ht="15.75">
      <c r="B609" s="121">
        <v>62</v>
      </c>
      <c r="C609" s="121">
        <v>32</v>
      </c>
      <c r="D609" s="734">
        <v>138.50151408980753</v>
      </c>
      <c r="E609" s="733"/>
      <c r="BD609" s="138"/>
    </row>
    <row r="610" spans="2:56" ht="15.75">
      <c r="B610" s="121">
        <v>62</v>
      </c>
      <c r="C610" s="121">
        <v>33</v>
      </c>
      <c r="D610" s="734">
        <v>135.75610108137704</v>
      </c>
      <c r="E610" s="733"/>
      <c r="BD610" s="138"/>
    </row>
    <row r="611" spans="2:56" ht="15.75">
      <c r="B611" s="121">
        <v>62</v>
      </c>
      <c r="C611" s="121">
        <v>34</v>
      </c>
      <c r="D611" s="734">
        <v>138.6866906319423</v>
      </c>
      <c r="E611" s="733"/>
      <c r="BD611" s="138"/>
    </row>
    <row r="612" spans="2:56" ht="15.75">
      <c r="B612" s="121">
        <v>62</v>
      </c>
      <c r="C612" s="121">
        <v>35</v>
      </c>
      <c r="D612" s="734">
        <v>142.75555080705854</v>
      </c>
      <c r="E612" s="733"/>
      <c r="BD612" s="138"/>
    </row>
    <row r="613" spans="2:56" ht="15.75">
      <c r="B613" s="121">
        <v>62</v>
      </c>
      <c r="C613" s="121">
        <v>36</v>
      </c>
      <c r="D613" s="734">
        <v>144.59594016811712</v>
      </c>
      <c r="E613" s="733"/>
      <c r="BD613" s="138"/>
    </row>
    <row r="614" spans="2:56" ht="15.75">
      <c r="B614" s="121">
        <v>63</v>
      </c>
      <c r="C614" s="121">
        <v>1</v>
      </c>
      <c r="D614" s="734">
        <v>5</v>
      </c>
      <c r="E614" s="733"/>
      <c r="BD614" s="138"/>
    </row>
    <row r="615" spans="2:56" ht="15.75">
      <c r="B615" s="121">
        <v>63</v>
      </c>
      <c r="C615" s="121">
        <v>2</v>
      </c>
      <c r="D615" s="734">
        <v>101.472334422393</v>
      </c>
      <c r="E615" s="733"/>
      <c r="BD615" s="138"/>
    </row>
    <row r="616" spans="2:56" ht="15.75">
      <c r="B616" s="121">
        <v>64</v>
      </c>
      <c r="C616" s="121">
        <v>1</v>
      </c>
      <c r="D616" s="734">
        <v>5</v>
      </c>
      <c r="E616" s="733"/>
      <c r="BD616" s="138"/>
    </row>
    <row r="617" spans="2:56" ht="15.75">
      <c r="B617" s="121">
        <v>64</v>
      </c>
      <c r="C617" s="121">
        <v>2</v>
      </c>
      <c r="D617" s="734">
        <v>97.513219726588233</v>
      </c>
      <c r="E617" s="733"/>
      <c r="BD617" s="138"/>
    </row>
    <row r="618" spans="2:56" ht="15.75">
      <c r="B618" s="121">
        <v>64</v>
      </c>
      <c r="C618" s="121">
        <v>3</v>
      </c>
      <c r="D618" s="734">
        <v>122.95448030517468</v>
      </c>
      <c r="E618" s="733"/>
      <c r="BD618" s="138"/>
    </row>
    <row r="619" spans="2:56" ht="15.75">
      <c r="B619" s="121">
        <v>64</v>
      </c>
      <c r="C619" s="121">
        <v>4</v>
      </c>
      <c r="D619" s="734">
        <v>143.48959907550673</v>
      </c>
      <c r="E619" s="733"/>
      <c r="BD619" s="138"/>
    </row>
    <row r="620" spans="2:56" ht="15.75">
      <c r="B620" s="121">
        <v>64</v>
      </c>
      <c r="C620" s="121">
        <v>5</v>
      </c>
      <c r="D620" s="734">
        <v>137.74539341947198</v>
      </c>
      <c r="E620" s="733"/>
      <c r="BD620" s="138"/>
    </row>
    <row r="621" spans="2:56" ht="15.75">
      <c r="B621" s="121">
        <v>64</v>
      </c>
      <c r="C621" s="121">
        <v>6</v>
      </c>
      <c r="D621" s="734">
        <v>136.30128580315116</v>
      </c>
      <c r="E621" s="733"/>
      <c r="BD621" s="138"/>
    </row>
    <row r="622" spans="2:56" ht="15.75">
      <c r="B622" s="121">
        <v>64</v>
      </c>
      <c r="C622" s="121">
        <v>7</v>
      </c>
      <c r="D622" s="734">
        <v>143.9852470004613</v>
      </c>
      <c r="E622" s="733"/>
      <c r="BD622" s="138"/>
    </row>
    <row r="623" spans="2:56" ht="15.75">
      <c r="B623" s="121">
        <v>64</v>
      </c>
      <c r="C623" s="121">
        <v>8</v>
      </c>
      <c r="D623" s="734">
        <v>144.53145057060811</v>
      </c>
      <c r="E623" s="733"/>
      <c r="BD623" s="138"/>
    </row>
    <row r="624" spans="2:56" ht="15.75">
      <c r="B624" s="121">
        <v>64</v>
      </c>
      <c r="C624" s="121">
        <v>9</v>
      </c>
      <c r="D624" s="734">
        <v>133.97308068352368</v>
      </c>
      <c r="E624" s="733"/>
      <c r="BD624" s="138"/>
    </row>
    <row r="625" spans="2:56" ht="15.75">
      <c r="B625" s="121">
        <v>64</v>
      </c>
      <c r="C625" s="121">
        <v>10</v>
      </c>
      <c r="D625" s="734">
        <v>137.37140789054263</v>
      </c>
      <c r="E625" s="733"/>
      <c r="BD625" s="138"/>
    </row>
    <row r="626" spans="2:56" ht="15.75">
      <c r="B626" s="121">
        <v>64</v>
      </c>
      <c r="C626" s="121">
        <v>11</v>
      </c>
      <c r="D626" s="734">
        <v>142.24916073615765</v>
      </c>
      <c r="E626" s="733"/>
      <c r="BD626" s="138"/>
    </row>
    <row r="627" spans="2:56" ht="15.75">
      <c r="B627" s="121">
        <v>64</v>
      </c>
      <c r="C627" s="121">
        <v>12</v>
      </c>
      <c r="D627" s="734">
        <v>141.81299683923231</v>
      </c>
      <c r="E627" s="733"/>
      <c r="BD627" s="138"/>
    </row>
    <row r="628" spans="2:56" ht="15.75">
      <c r="B628" s="121">
        <v>64</v>
      </c>
      <c r="C628" s="121">
        <v>13</v>
      </c>
      <c r="D628" s="734">
        <v>143.74794525293481</v>
      </c>
      <c r="E628" s="733"/>
      <c r="BD628" s="138"/>
    </row>
    <row r="629" spans="2:56" ht="15.75">
      <c r="B629" s="121">
        <v>64</v>
      </c>
      <c r="C629" s="121">
        <v>14</v>
      </c>
      <c r="D629" s="734">
        <v>141.67786265545718</v>
      </c>
      <c r="E629" s="733"/>
      <c r="BD629" s="138"/>
    </row>
    <row r="630" spans="2:56" ht="15.75">
      <c r="B630" s="121">
        <v>64</v>
      </c>
      <c r="C630" s="121">
        <v>15</v>
      </c>
      <c r="D630" s="734">
        <v>146.42939664455551</v>
      </c>
      <c r="E630" s="733"/>
      <c r="BD630" s="138"/>
    </row>
    <row r="631" spans="2:56" ht="15.75">
      <c r="B631" s="121">
        <v>64</v>
      </c>
      <c r="C631" s="121">
        <v>16</v>
      </c>
      <c r="D631" s="734">
        <v>137.94924890344745</v>
      </c>
      <c r="E631" s="733"/>
      <c r="BD631" s="138"/>
    </row>
    <row r="632" spans="2:56" ht="15.75">
      <c r="B632" s="121">
        <v>64</v>
      </c>
      <c r="C632" s="121">
        <v>17</v>
      </c>
      <c r="D632" s="734">
        <v>135.96779711009765</v>
      </c>
      <c r="E632" s="733"/>
      <c r="BD632" s="138"/>
    </row>
    <row r="633" spans="2:56" ht="15.75">
      <c r="B633" s="121">
        <v>64</v>
      </c>
      <c r="C633" s="121">
        <v>18</v>
      </c>
      <c r="D633" s="734">
        <v>145.10652678011223</v>
      </c>
      <c r="E633" s="733"/>
      <c r="BD633" s="138"/>
    </row>
    <row r="634" spans="2:56" ht="15.75">
      <c r="B634" s="121">
        <v>64</v>
      </c>
      <c r="C634" s="121">
        <v>19</v>
      </c>
      <c r="D634" s="734">
        <v>146.73403919371248</v>
      </c>
      <c r="E634" s="733"/>
      <c r="BD634" s="138"/>
    </row>
    <row r="635" spans="2:56" ht="15.75">
      <c r="B635" s="121">
        <v>64</v>
      </c>
      <c r="C635" s="121">
        <v>20</v>
      </c>
      <c r="D635" s="734">
        <v>142.59144072450135</v>
      </c>
      <c r="E635" s="733"/>
      <c r="BD635" s="138"/>
    </row>
    <row r="636" spans="2:56" ht="15.75">
      <c r="B636" s="121">
        <v>64</v>
      </c>
      <c r="C636" s="121">
        <v>21</v>
      </c>
      <c r="D636" s="734">
        <v>139.41606605849427</v>
      </c>
      <c r="E636" s="733"/>
      <c r="BD636" s="138"/>
    </row>
    <row r="637" spans="2:56" ht="15.75">
      <c r="B637" s="121">
        <v>64</v>
      </c>
      <c r="C637" s="121">
        <v>22</v>
      </c>
      <c r="D637" s="734">
        <v>142.7857930345989</v>
      </c>
      <c r="E637" s="733"/>
      <c r="BD637" s="138"/>
    </row>
    <row r="638" spans="2:56" ht="15.75">
      <c r="B638" s="121">
        <v>64</v>
      </c>
      <c r="C638" s="121">
        <v>23</v>
      </c>
      <c r="D638" s="734">
        <v>134.58243015212111</v>
      </c>
      <c r="E638" s="733"/>
      <c r="BD638" s="138"/>
    </row>
    <row r="639" spans="2:56" ht="15.75">
      <c r="B639" s="121">
        <v>64</v>
      </c>
      <c r="C639" s="121">
        <v>24</v>
      </c>
      <c r="D639" s="734">
        <v>134.82815173948887</v>
      </c>
      <c r="E639" s="733"/>
      <c r="BD639" s="138"/>
    </row>
    <row r="640" spans="2:56" ht="15.75">
      <c r="B640" s="121">
        <v>64</v>
      </c>
      <c r="C640" s="121">
        <v>25</v>
      </c>
      <c r="D640" s="734">
        <v>137.95815413372208</v>
      </c>
      <c r="E640" s="733"/>
      <c r="BD640" s="138"/>
    </row>
    <row r="641" spans="2:56" ht="15.75">
      <c r="B641" s="121">
        <v>64</v>
      </c>
      <c r="C641" s="121">
        <v>26</v>
      </c>
      <c r="D641" s="734">
        <v>145.94695749584545</v>
      </c>
      <c r="E641" s="733"/>
      <c r="BD641" s="138"/>
    </row>
    <row r="642" spans="2:56" ht="15.75">
      <c r="B642" s="121">
        <v>64</v>
      </c>
      <c r="C642" s="121">
        <v>27</v>
      </c>
      <c r="D642" s="734">
        <v>144.63587316852559</v>
      </c>
      <c r="E642" s="733"/>
      <c r="BD642" s="138"/>
    </row>
    <row r="643" spans="2:56" ht="15.75">
      <c r="B643" s="121">
        <v>64</v>
      </c>
      <c r="C643" s="121">
        <v>28</v>
      </c>
      <c r="D643" s="734">
        <v>143.58856693992547</v>
      </c>
      <c r="E643" s="733"/>
      <c r="BD643" s="138"/>
    </row>
    <row r="644" spans="2:56" ht="15.75">
      <c r="B644" s="121">
        <v>64</v>
      </c>
      <c r="C644" s="121">
        <v>29</v>
      </c>
      <c r="D644" s="734">
        <v>146.77345436561689</v>
      </c>
      <c r="E644" s="733"/>
      <c r="BD644" s="138"/>
    </row>
    <row r="645" spans="2:56" ht="15.75">
      <c r="B645" s="121">
        <v>64</v>
      </c>
      <c r="C645" s="121">
        <v>30</v>
      </c>
      <c r="D645" s="734">
        <v>139.00138374116301</v>
      </c>
      <c r="E645" s="733"/>
      <c r="BD645" s="138"/>
    </row>
    <row r="646" spans="2:56" ht="15.75">
      <c r="B646" s="121">
        <v>64</v>
      </c>
      <c r="C646" s="121">
        <v>31</v>
      </c>
      <c r="D646" s="734">
        <v>143.72996705269986</v>
      </c>
      <c r="E646" s="733"/>
      <c r="BD646" s="138"/>
    </row>
    <row r="647" spans="2:56" ht="15.75">
      <c r="B647" s="121">
        <v>64</v>
      </c>
      <c r="C647" s="121">
        <v>32</v>
      </c>
      <c r="D647" s="734">
        <v>135.17094357662441</v>
      </c>
      <c r="E647" s="733"/>
      <c r="BD647" s="138"/>
    </row>
    <row r="648" spans="2:56" ht="15.75">
      <c r="B648" s="121">
        <v>64</v>
      </c>
      <c r="C648" s="121">
        <v>33</v>
      </c>
      <c r="D648" s="734">
        <v>145.29632151252315</v>
      </c>
      <c r="E648" s="733"/>
      <c r="BD648" s="138"/>
    </row>
    <row r="649" spans="2:56" ht="15.75">
      <c r="B649" s="121">
        <v>64</v>
      </c>
      <c r="C649" s="121">
        <v>34</v>
      </c>
      <c r="D649" s="734">
        <v>142.25721805199348</v>
      </c>
      <c r="E649" s="733"/>
      <c r="BD649" s="138"/>
    </row>
    <row r="650" spans="2:56" ht="15.75">
      <c r="B650" s="121">
        <v>64</v>
      </c>
      <c r="C650" s="121">
        <v>35</v>
      </c>
      <c r="D650" s="734">
        <v>138.80928653308837</v>
      </c>
      <c r="E650" s="733"/>
      <c r="BD650" s="138"/>
    </row>
    <row r="651" spans="2:56" ht="15.75">
      <c r="B651" s="121">
        <v>64</v>
      </c>
      <c r="C651" s="121">
        <v>36</v>
      </c>
      <c r="D651" s="734">
        <v>136.69491518407514</v>
      </c>
      <c r="E651" s="733"/>
      <c r="BD651" s="138"/>
    </row>
    <row r="652" spans="2:56" ht="15.75">
      <c r="B652" s="121">
        <v>65</v>
      </c>
      <c r="C652" s="121">
        <v>1</v>
      </c>
      <c r="D652" s="734">
        <v>5</v>
      </c>
      <c r="E652" s="733"/>
      <c r="BD652" s="138"/>
    </row>
    <row r="653" spans="2:56" ht="15.75">
      <c r="B653" s="121">
        <v>65</v>
      </c>
      <c r="C653" s="121">
        <v>2</v>
      </c>
      <c r="D653" s="734">
        <v>95.340742559072027</v>
      </c>
      <c r="E653" s="733"/>
      <c r="BD653" s="138"/>
    </row>
    <row r="654" spans="2:56" ht="15.75">
      <c r="B654" s="121">
        <v>65</v>
      </c>
      <c r="C654" s="121">
        <v>3</v>
      </c>
      <c r="D654" s="734">
        <v>119.87454253597282</v>
      </c>
      <c r="E654" s="733"/>
      <c r="BD654" s="138"/>
    </row>
    <row r="655" spans="2:56" ht="15.75">
      <c r="B655" s="121">
        <v>65</v>
      </c>
      <c r="C655" s="121">
        <v>4</v>
      </c>
      <c r="D655" s="734">
        <v>145.53089188030162</v>
      </c>
      <c r="E655" s="733"/>
      <c r="BD655" s="138"/>
    </row>
    <row r="656" spans="2:56" ht="15.75">
      <c r="B656" s="121">
        <v>65</v>
      </c>
      <c r="C656" s="121">
        <v>5</v>
      </c>
      <c r="D656" s="734">
        <v>142.51421935823973</v>
      </c>
      <c r="E656" s="733"/>
      <c r="BD656" s="138"/>
    </row>
    <row r="657" spans="2:56" ht="15.75">
      <c r="B657" s="121">
        <v>65</v>
      </c>
      <c r="C657" s="121">
        <v>6</v>
      </c>
      <c r="D657" s="734">
        <v>144.52840337229793</v>
      </c>
      <c r="E657" s="733"/>
      <c r="BD657" s="138"/>
    </row>
    <row r="658" spans="2:56" ht="15.75">
      <c r="B658" s="121">
        <v>65</v>
      </c>
      <c r="C658" s="121">
        <v>7</v>
      </c>
      <c r="D658" s="734">
        <v>144.27440269518794</v>
      </c>
      <c r="E658" s="733"/>
      <c r="BD658" s="138"/>
    </row>
    <row r="659" spans="2:56" ht="15.75">
      <c r="B659" s="121">
        <v>65</v>
      </c>
      <c r="C659" s="121">
        <v>8</v>
      </c>
      <c r="D659" s="734">
        <v>136.20943440276412</v>
      </c>
      <c r="E659" s="733"/>
      <c r="BD659" s="138"/>
    </row>
    <row r="660" spans="2:56" ht="15.75">
      <c r="B660" s="121">
        <v>65</v>
      </c>
      <c r="C660" s="121">
        <v>9</v>
      </c>
      <c r="D660" s="734">
        <v>145.34506958645616</v>
      </c>
      <c r="E660" s="733"/>
      <c r="BD660" s="138"/>
    </row>
    <row r="661" spans="2:56" ht="15.75">
      <c r="B661" s="121">
        <v>65</v>
      </c>
      <c r="C661" s="121">
        <v>10</v>
      </c>
      <c r="D661" s="734">
        <v>133.69569956696589</v>
      </c>
      <c r="E661" s="733"/>
      <c r="BD661" s="138"/>
    </row>
    <row r="662" spans="2:56" ht="15.75">
      <c r="B662" s="121">
        <v>65</v>
      </c>
      <c r="C662" s="121">
        <v>11</v>
      </c>
      <c r="D662" s="734">
        <v>139.82328150535145</v>
      </c>
      <c r="E662" s="733"/>
      <c r="BD662" s="138"/>
    </row>
    <row r="663" spans="2:56" ht="15.75">
      <c r="B663" s="121">
        <v>65</v>
      </c>
      <c r="C663" s="121">
        <v>12</v>
      </c>
      <c r="D663" s="734">
        <v>138.54829413479928</v>
      </c>
      <c r="E663" s="733"/>
      <c r="BD663" s="138"/>
    </row>
    <row r="664" spans="2:56" ht="15.75">
      <c r="B664" s="121">
        <v>65</v>
      </c>
      <c r="C664" s="121">
        <v>13</v>
      </c>
      <c r="D664" s="734">
        <v>143.27503704843832</v>
      </c>
      <c r="E664" s="733"/>
      <c r="BD664" s="138"/>
    </row>
    <row r="665" spans="2:56" ht="15.75">
      <c r="B665" s="121">
        <v>65</v>
      </c>
      <c r="C665" s="121">
        <v>14</v>
      </c>
      <c r="D665" s="734">
        <v>138.91134753153955</v>
      </c>
      <c r="E665" s="733"/>
      <c r="BD665" s="138"/>
    </row>
    <row r="666" spans="2:56" ht="15.75">
      <c r="B666" s="121">
        <v>65</v>
      </c>
      <c r="C666" s="121">
        <v>15</v>
      </c>
      <c r="D666" s="734">
        <v>142.6303740496038</v>
      </c>
      <c r="E666" s="733"/>
      <c r="BD666" s="138"/>
    </row>
    <row r="667" spans="2:56" ht="15.75">
      <c r="B667" s="121">
        <v>65</v>
      </c>
      <c r="C667" s="121">
        <v>16</v>
      </c>
      <c r="D667" s="734">
        <v>146.97497922204917</v>
      </c>
      <c r="E667" s="733"/>
      <c r="BD667" s="138"/>
    </row>
    <row r="668" spans="2:56" ht="15.75">
      <c r="B668" s="121">
        <v>65</v>
      </c>
      <c r="C668" s="121">
        <v>17</v>
      </c>
      <c r="D668" s="734">
        <v>141.30150879925836</v>
      </c>
      <c r="E668" s="733"/>
      <c r="BD668" s="138"/>
    </row>
    <row r="669" spans="2:56" ht="15.75">
      <c r="B669" s="121">
        <v>65</v>
      </c>
      <c r="C669" s="121">
        <v>18</v>
      </c>
      <c r="D669" s="734">
        <v>145.43543490226929</v>
      </c>
      <c r="E669" s="733"/>
      <c r="BD669" s="138"/>
    </row>
    <row r="670" spans="2:56" ht="15.75">
      <c r="B670" s="121">
        <v>65</v>
      </c>
      <c r="C670" s="121">
        <v>19</v>
      </c>
      <c r="D670" s="734">
        <v>138.42187437180905</v>
      </c>
      <c r="E670" s="733"/>
      <c r="BD670" s="138"/>
    </row>
    <row r="671" spans="2:56" ht="15.75">
      <c r="B671" s="121">
        <v>65</v>
      </c>
      <c r="C671" s="121">
        <v>20</v>
      </c>
      <c r="D671" s="734">
        <v>135.90434144163868</v>
      </c>
      <c r="E671" s="733"/>
      <c r="BD671" s="138"/>
    </row>
    <row r="672" spans="2:56" ht="15.75">
      <c r="B672" s="121">
        <v>65</v>
      </c>
      <c r="C672" s="121">
        <v>21</v>
      </c>
      <c r="D672" s="734">
        <v>142.25636564354176</v>
      </c>
      <c r="E672" s="733"/>
      <c r="BD672" s="138"/>
    </row>
    <row r="673" spans="2:56" ht="15.75">
      <c r="B673" s="121">
        <v>65</v>
      </c>
      <c r="C673" s="121">
        <v>22</v>
      </c>
      <c r="D673" s="734">
        <v>138.62534024721259</v>
      </c>
      <c r="E673" s="733"/>
      <c r="BD673" s="138"/>
    </row>
    <row r="674" spans="2:56" ht="15.75">
      <c r="B674" s="121">
        <v>66</v>
      </c>
      <c r="C674" s="121">
        <v>1</v>
      </c>
      <c r="D674" s="734">
        <v>5</v>
      </c>
      <c r="E674" s="733"/>
      <c r="BD674" s="138"/>
    </row>
    <row r="675" spans="2:56" ht="15.75">
      <c r="B675" s="121">
        <v>66</v>
      </c>
      <c r="C675" s="121">
        <v>2</v>
      </c>
      <c r="D675" s="734">
        <v>102.78727959768115</v>
      </c>
      <c r="E675" s="733"/>
      <c r="BD675" s="138"/>
    </row>
    <row r="676" spans="2:56" ht="15.75">
      <c r="B676" s="121">
        <v>66</v>
      </c>
      <c r="C676" s="121">
        <v>3</v>
      </c>
      <c r="D676" s="734">
        <v>114.85261731265167</v>
      </c>
      <c r="E676" s="733"/>
      <c r="BD676" s="138"/>
    </row>
    <row r="677" spans="2:56" ht="15.75">
      <c r="B677" s="121">
        <v>66</v>
      </c>
      <c r="C677" s="121">
        <v>4</v>
      </c>
      <c r="D677" s="734">
        <v>139.82573206113145</v>
      </c>
      <c r="E677" s="733"/>
      <c r="BD677" s="138"/>
    </row>
    <row r="678" spans="2:56" ht="15.75">
      <c r="B678" s="121">
        <v>67</v>
      </c>
      <c r="C678" s="121">
        <v>1</v>
      </c>
      <c r="D678" s="734">
        <v>5</v>
      </c>
      <c r="E678" s="733"/>
      <c r="BD678" s="138"/>
    </row>
    <row r="679" spans="2:56" ht="15.75">
      <c r="B679" s="121">
        <v>67</v>
      </c>
      <c r="C679" s="121">
        <v>2</v>
      </c>
      <c r="D679" s="734">
        <v>95.624010142942012</v>
      </c>
      <c r="E679" s="733"/>
      <c r="BD679" s="138"/>
    </row>
    <row r="680" spans="2:56" ht="15.75">
      <c r="B680" s="121">
        <v>67</v>
      </c>
      <c r="C680" s="121">
        <v>3</v>
      </c>
      <c r="D680" s="734">
        <v>115.59238982502519</v>
      </c>
      <c r="E680" s="733"/>
      <c r="BD680" s="138"/>
    </row>
    <row r="681" spans="2:56" ht="15.75">
      <c r="B681" s="121">
        <v>67</v>
      </c>
      <c r="C681" s="121">
        <v>4</v>
      </c>
      <c r="D681" s="734">
        <v>136.99203007101724</v>
      </c>
      <c r="E681" s="733"/>
      <c r="BD681" s="138"/>
    </row>
    <row r="682" spans="2:56" ht="15.75">
      <c r="B682" s="121">
        <v>67</v>
      </c>
      <c r="C682" s="121">
        <v>5</v>
      </c>
      <c r="D682" s="734">
        <v>135.95545488405477</v>
      </c>
      <c r="E682" s="733"/>
      <c r="BD682" s="138"/>
    </row>
    <row r="683" spans="2:56" ht="15.75">
      <c r="B683" s="121">
        <v>67</v>
      </c>
      <c r="C683" s="121">
        <v>6</v>
      </c>
      <c r="D683" s="734">
        <v>141.9293493403911</v>
      </c>
      <c r="E683" s="733"/>
      <c r="BD683" s="138"/>
    </row>
    <row r="684" spans="2:56" ht="15.75">
      <c r="B684" s="121">
        <v>67</v>
      </c>
      <c r="C684" s="121">
        <v>7</v>
      </c>
      <c r="D684" s="734">
        <v>133.71116725424312</v>
      </c>
      <c r="E684" s="733"/>
      <c r="BD684" s="138"/>
    </row>
    <row r="685" spans="2:56" ht="15.75">
      <c r="B685" s="121">
        <v>67</v>
      </c>
      <c r="C685" s="121">
        <v>8</v>
      </c>
      <c r="D685" s="734">
        <v>143.05391320370344</v>
      </c>
      <c r="E685" s="733"/>
      <c r="BD685" s="138"/>
    </row>
    <row r="686" spans="2:56" ht="15.75">
      <c r="B686" s="121">
        <v>67</v>
      </c>
      <c r="C686" s="121">
        <v>9</v>
      </c>
      <c r="D686" s="734">
        <v>143.87285161818602</v>
      </c>
      <c r="E686" s="733"/>
      <c r="BD686" s="138"/>
    </row>
    <row r="687" spans="2:56" ht="15.75">
      <c r="B687" s="121">
        <v>67</v>
      </c>
      <c r="C687" s="121">
        <v>10</v>
      </c>
      <c r="D687" s="734">
        <v>136.70938136119901</v>
      </c>
      <c r="E687" s="733"/>
      <c r="BD687" s="138"/>
    </row>
    <row r="688" spans="2:56" ht="15.75">
      <c r="B688" s="121">
        <v>67</v>
      </c>
      <c r="C688" s="121">
        <v>11</v>
      </c>
      <c r="D688" s="734">
        <v>142.82730645549913</v>
      </c>
      <c r="E688" s="733"/>
      <c r="BD688" s="138"/>
    </row>
    <row r="689" spans="2:56" ht="15.75">
      <c r="B689" s="121">
        <v>67</v>
      </c>
      <c r="C689" s="121">
        <v>12</v>
      </c>
      <c r="D689" s="734">
        <v>134.61030878120025</v>
      </c>
      <c r="E689" s="733"/>
      <c r="BD689" s="138"/>
    </row>
    <row r="690" spans="2:56" ht="15.75">
      <c r="B690" s="121">
        <v>67</v>
      </c>
      <c r="C690" s="121">
        <v>13</v>
      </c>
      <c r="D690" s="734">
        <v>135.44851253965973</v>
      </c>
      <c r="E690" s="733"/>
      <c r="BD690" s="138"/>
    </row>
    <row r="691" spans="2:56" ht="15.75">
      <c r="B691" s="121">
        <v>67</v>
      </c>
      <c r="C691" s="121">
        <v>14</v>
      </c>
      <c r="D691" s="734">
        <v>137.40660055137914</v>
      </c>
      <c r="E691" s="733"/>
      <c r="BD691" s="138"/>
    </row>
    <row r="692" spans="2:56" ht="15.75">
      <c r="B692" s="121">
        <v>67</v>
      </c>
      <c r="C692" s="121">
        <v>15</v>
      </c>
      <c r="D692" s="734">
        <v>136.76584360190407</v>
      </c>
      <c r="E692" s="733"/>
      <c r="BD692" s="138"/>
    </row>
    <row r="693" spans="2:56" ht="15.75">
      <c r="B693" s="121">
        <v>67</v>
      </c>
      <c r="C693" s="121">
        <v>16</v>
      </c>
      <c r="D693" s="734">
        <v>143.8082627709104</v>
      </c>
      <c r="E693" s="733"/>
      <c r="BD693" s="138"/>
    </row>
    <row r="694" spans="2:56" ht="15.75">
      <c r="B694" s="121">
        <v>67</v>
      </c>
      <c r="C694" s="121">
        <v>17</v>
      </c>
      <c r="D694" s="734">
        <v>145.61163286877303</v>
      </c>
      <c r="E694" s="733"/>
      <c r="BD694" s="138"/>
    </row>
    <row r="695" spans="2:56" ht="15.75">
      <c r="B695" s="121">
        <v>67</v>
      </c>
      <c r="C695" s="121">
        <v>18</v>
      </c>
      <c r="D695" s="734">
        <v>137.8157400358578</v>
      </c>
      <c r="E695" s="733"/>
      <c r="BD695" s="138"/>
    </row>
    <row r="696" spans="2:56" ht="15.75">
      <c r="B696" s="121">
        <v>67</v>
      </c>
      <c r="C696" s="121">
        <v>19</v>
      </c>
      <c r="D696" s="734">
        <v>140.21304944966471</v>
      </c>
      <c r="E696" s="733"/>
      <c r="BD696" s="138"/>
    </row>
    <row r="697" spans="2:56" ht="15.75">
      <c r="B697" s="121">
        <v>67</v>
      </c>
      <c r="C697" s="121">
        <v>20</v>
      </c>
      <c r="D697" s="734">
        <v>146.82147911303181</v>
      </c>
      <c r="E697" s="733"/>
      <c r="BD697" s="138"/>
    </row>
    <row r="698" spans="2:56" ht="15.75">
      <c r="B698" s="121">
        <v>67</v>
      </c>
      <c r="C698" s="121">
        <v>21</v>
      </c>
      <c r="D698" s="734">
        <v>139.94940599726135</v>
      </c>
      <c r="E698" s="733"/>
      <c r="BD698" s="138"/>
    </row>
    <row r="699" spans="2:56" ht="15.75">
      <c r="B699" s="121">
        <v>67</v>
      </c>
      <c r="C699" s="121">
        <v>22</v>
      </c>
      <c r="D699" s="734">
        <v>143.76622607114555</v>
      </c>
      <c r="E699" s="733"/>
      <c r="BD699" s="138"/>
    </row>
    <row r="700" spans="2:56" ht="15.75">
      <c r="B700" s="121">
        <v>67</v>
      </c>
      <c r="C700" s="121">
        <v>23</v>
      </c>
      <c r="D700" s="734">
        <v>136.84574262116811</v>
      </c>
      <c r="E700" s="733"/>
      <c r="BD700" s="138"/>
    </row>
    <row r="701" spans="2:56" ht="15.75">
      <c r="B701" s="121">
        <v>67</v>
      </c>
      <c r="C701" s="121">
        <v>24</v>
      </c>
      <c r="D701" s="734">
        <v>135.18875976315016</v>
      </c>
      <c r="E701" s="733"/>
      <c r="BD701" s="138"/>
    </row>
    <row r="702" spans="2:56" ht="15.75">
      <c r="B702" s="121">
        <v>67</v>
      </c>
      <c r="C702" s="121">
        <v>25</v>
      </c>
      <c r="D702" s="734">
        <v>147.26826047280682</v>
      </c>
      <c r="E702" s="733"/>
      <c r="BD702" s="138"/>
    </row>
    <row r="703" spans="2:56" ht="15.75">
      <c r="B703" s="121">
        <v>67</v>
      </c>
      <c r="C703" s="121">
        <v>26</v>
      </c>
      <c r="D703" s="734">
        <v>140.06081702893269</v>
      </c>
      <c r="E703" s="733"/>
      <c r="BD703" s="138"/>
    </row>
    <row r="704" spans="2:56" ht="15.75">
      <c r="B704" s="121">
        <v>67</v>
      </c>
      <c r="C704" s="121">
        <v>27</v>
      </c>
      <c r="D704" s="734">
        <v>145.54647112892241</v>
      </c>
      <c r="E704" s="733"/>
      <c r="BD704" s="138"/>
    </row>
    <row r="705" spans="2:56" ht="15.75">
      <c r="B705" s="121">
        <v>67</v>
      </c>
      <c r="C705" s="121">
        <v>28</v>
      </c>
      <c r="D705" s="734">
        <v>141.40307851157763</v>
      </c>
      <c r="E705" s="733"/>
      <c r="BD705" s="138"/>
    </row>
    <row r="706" spans="2:56" ht="15.75">
      <c r="B706" s="121">
        <v>67</v>
      </c>
      <c r="C706" s="121">
        <v>29</v>
      </c>
      <c r="D706" s="734">
        <v>141.56994958217862</v>
      </c>
      <c r="E706" s="733"/>
      <c r="BD706" s="138"/>
    </row>
    <row r="707" spans="2:56" ht="15.75">
      <c r="B707" s="121">
        <v>67</v>
      </c>
      <c r="C707" s="121">
        <v>30</v>
      </c>
      <c r="D707" s="734">
        <v>143.50379249996061</v>
      </c>
      <c r="E707" s="733"/>
      <c r="BD707" s="138"/>
    </row>
    <row r="708" spans="2:56" ht="15.75">
      <c r="B708" s="121">
        <v>67</v>
      </c>
      <c r="C708" s="121">
        <v>31</v>
      </c>
      <c r="D708" s="734">
        <v>146.36240431566483</v>
      </c>
      <c r="E708" s="733"/>
      <c r="BD708" s="138"/>
    </row>
    <row r="709" spans="2:56" ht="15.75">
      <c r="B709" s="121">
        <v>67</v>
      </c>
      <c r="C709" s="121">
        <v>32</v>
      </c>
      <c r="D709" s="734">
        <v>140.65143231281857</v>
      </c>
      <c r="E709" s="733"/>
      <c r="BD709" s="138"/>
    </row>
    <row r="710" spans="2:56" ht="15.75">
      <c r="B710" s="121">
        <v>67</v>
      </c>
      <c r="C710" s="121">
        <v>33</v>
      </c>
      <c r="D710" s="734">
        <v>134.7405089293305</v>
      </c>
      <c r="E710" s="733"/>
      <c r="BD710" s="138"/>
    </row>
    <row r="711" spans="2:56" ht="15.75">
      <c r="B711" s="121">
        <v>67</v>
      </c>
      <c r="C711" s="121">
        <v>34</v>
      </c>
      <c r="D711" s="734">
        <v>143.75749008749048</v>
      </c>
      <c r="E711" s="733"/>
      <c r="BD711" s="138"/>
    </row>
    <row r="712" spans="2:56" ht="15.75">
      <c r="B712" s="121">
        <v>67</v>
      </c>
      <c r="C712" s="121">
        <v>35</v>
      </c>
      <c r="D712" s="734">
        <v>143.70823692852267</v>
      </c>
      <c r="E712" s="733"/>
      <c r="BD712" s="138"/>
    </row>
    <row r="713" spans="2:56" ht="15.75">
      <c r="B713" s="121">
        <v>67</v>
      </c>
      <c r="C713" s="121">
        <v>36</v>
      </c>
      <c r="D713" s="734">
        <v>139.72572125924106</v>
      </c>
      <c r="E713" s="733"/>
      <c r="BD713" s="138"/>
    </row>
    <row r="714" spans="2:56" ht="15.75">
      <c r="B714" s="121">
        <v>68</v>
      </c>
      <c r="C714" s="121">
        <v>1</v>
      </c>
      <c r="D714" s="734">
        <v>5</v>
      </c>
      <c r="E714" s="733"/>
      <c r="BD714" s="138"/>
    </row>
    <row r="715" spans="2:56" ht="15.75">
      <c r="B715" s="121">
        <v>68</v>
      </c>
      <c r="C715" s="121">
        <v>2</v>
      </c>
      <c r="D715" s="734">
        <v>94.377299821810695</v>
      </c>
      <c r="E715" s="733"/>
      <c r="BD715" s="138"/>
    </row>
    <row r="716" spans="2:56" ht="15.75">
      <c r="B716" s="121">
        <v>68</v>
      </c>
      <c r="C716" s="121">
        <v>3</v>
      </c>
      <c r="D716" s="734">
        <v>122.00825889108535</v>
      </c>
      <c r="E716" s="733"/>
      <c r="BD716" s="138"/>
    </row>
    <row r="717" spans="2:56" ht="15.75">
      <c r="B717" s="121">
        <v>68</v>
      </c>
      <c r="C717" s="121">
        <v>4</v>
      </c>
      <c r="D717" s="734">
        <v>144.24689694679748</v>
      </c>
      <c r="E717" s="733"/>
      <c r="BD717" s="138"/>
    </row>
    <row r="718" spans="2:56" ht="15.75">
      <c r="B718" s="121">
        <v>68</v>
      </c>
      <c r="C718" s="121">
        <v>5</v>
      </c>
      <c r="D718" s="734">
        <v>145.06200411078657</v>
      </c>
      <c r="E718" s="733"/>
      <c r="BD718" s="138"/>
    </row>
    <row r="719" spans="2:56" ht="15.75">
      <c r="B719" s="121">
        <v>68</v>
      </c>
      <c r="C719" s="121">
        <v>6</v>
      </c>
      <c r="D719" s="734">
        <v>137.90054974173046</v>
      </c>
      <c r="E719" s="733"/>
      <c r="BD719" s="138"/>
    </row>
    <row r="720" spans="2:56" ht="15.75">
      <c r="B720" s="121">
        <v>68</v>
      </c>
      <c r="C720" s="121">
        <v>7</v>
      </c>
      <c r="D720" s="734">
        <v>137.48948963045419</v>
      </c>
      <c r="E720" s="733"/>
      <c r="BD720" s="138"/>
    </row>
    <row r="721" spans="2:56" ht="15.75">
      <c r="B721" s="121">
        <v>68</v>
      </c>
      <c r="C721" s="121">
        <v>8</v>
      </c>
      <c r="D721" s="734">
        <v>144.02460141761537</v>
      </c>
      <c r="E721" s="733"/>
      <c r="BD721" s="138"/>
    </row>
    <row r="722" spans="2:56" ht="15.75">
      <c r="B722" s="121">
        <v>69</v>
      </c>
      <c r="C722" s="121">
        <v>1</v>
      </c>
      <c r="D722" s="734">
        <v>5</v>
      </c>
      <c r="E722" s="733"/>
      <c r="BD722" s="138"/>
    </row>
    <row r="723" spans="2:56" ht="15.75">
      <c r="B723" s="121">
        <v>70</v>
      </c>
      <c r="C723" s="121">
        <v>1</v>
      </c>
      <c r="D723" s="734">
        <v>5</v>
      </c>
      <c r="E723" s="733"/>
      <c r="BD723" s="138"/>
    </row>
    <row r="724" spans="2:56" ht="15.75">
      <c r="B724" s="121">
        <v>71</v>
      </c>
      <c r="C724" s="121">
        <v>1</v>
      </c>
      <c r="D724" s="734">
        <v>5</v>
      </c>
      <c r="E724" s="733"/>
      <c r="BD724" s="138"/>
    </row>
    <row r="725" spans="2:56" ht="15.75">
      <c r="B725" s="121">
        <v>72</v>
      </c>
      <c r="C725" s="121">
        <v>1</v>
      </c>
      <c r="D725" s="734">
        <v>5</v>
      </c>
      <c r="E725" s="733"/>
      <c r="BD725" s="138"/>
    </row>
    <row r="726" spans="2:56" ht="15.75">
      <c r="B726" s="121">
        <v>73</v>
      </c>
      <c r="C726" s="121">
        <v>1</v>
      </c>
      <c r="D726" s="734">
        <v>5</v>
      </c>
      <c r="E726" s="733"/>
      <c r="BD726" s="138"/>
    </row>
    <row r="727" spans="2:56" ht="15.75">
      <c r="B727" s="121">
        <v>73</v>
      </c>
      <c r="C727" s="121">
        <v>2</v>
      </c>
      <c r="D727" s="734">
        <v>99.187908223509709</v>
      </c>
      <c r="E727" s="733"/>
      <c r="BD727" s="138"/>
    </row>
    <row r="728" spans="2:56" ht="15.75">
      <c r="B728" s="121">
        <v>73</v>
      </c>
      <c r="C728" s="121">
        <v>3</v>
      </c>
      <c r="D728" s="734">
        <v>125.49557698217353</v>
      </c>
      <c r="E728" s="733"/>
      <c r="BD728" s="138"/>
    </row>
    <row r="729" spans="2:56" ht="15.75">
      <c r="B729" s="121">
        <v>73</v>
      </c>
      <c r="C729" s="121">
        <v>4</v>
      </c>
      <c r="D729" s="734">
        <v>134.84960146302433</v>
      </c>
      <c r="E729" s="733"/>
      <c r="BD729" s="138"/>
    </row>
    <row r="730" spans="2:56" ht="15.75">
      <c r="B730" s="121">
        <v>74</v>
      </c>
      <c r="C730" s="121">
        <v>1</v>
      </c>
      <c r="D730" s="734">
        <v>5</v>
      </c>
      <c r="E730" s="733"/>
      <c r="BD730" s="138"/>
    </row>
    <row r="731" spans="2:56" ht="15.75">
      <c r="B731" s="121">
        <v>74</v>
      </c>
      <c r="C731" s="121">
        <v>2</v>
      </c>
      <c r="D731" s="734">
        <v>98.854196793323894</v>
      </c>
      <c r="E731" s="733"/>
      <c r="BD731" s="138"/>
    </row>
    <row r="732" spans="2:56" ht="15.75">
      <c r="B732" s="121">
        <v>74</v>
      </c>
      <c r="C732" s="121">
        <v>3</v>
      </c>
      <c r="D732" s="734">
        <v>121.00130206587616</v>
      </c>
      <c r="E732" s="733"/>
      <c r="BD732" s="138"/>
    </row>
    <row r="733" spans="2:56" ht="15.75">
      <c r="B733" s="121">
        <v>74</v>
      </c>
      <c r="C733" s="121">
        <v>4</v>
      </c>
      <c r="D733" s="734">
        <v>135.4659131003236</v>
      </c>
      <c r="E733" s="733"/>
      <c r="BD733" s="138"/>
    </row>
    <row r="734" spans="2:56" ht="15.75">
      <c r="B734" s="121">
        <v>74</v>
      </c>
      <c r="C734" s="121">
        <v>5</v>
      </c>
      <c r="D734" s="734">
        <v>139.79849513389055</v>
      </c>
      <c r="E734" s="733"/>
      <c r="BD734" s="138"/>
    </row>
    <row r="735" spans="2:56" ht="15.75">
      <c r="B735" s="121">
        <v>74</v>
      </c>
      <c r="C735" s="121">
        <v>6</v>
      </c>
      <c r="D735" s="734">
        <v>144.91232182229422</v>
      </c>
      <c r="E735" s="733"/>
      <c r="BD735" s="138"/>
    </row>
    <row r="736" spans="2:56" ht="15.75">
      <c r="B736" s="121">
        <v>74</v>
      </c>
      <c r="C736" s="121">
        <v>7</v>
      </c>
      <c r="D736" s="734">
        <v>143.32849205315409</v>
      </c>
      <c r="E736" s="733"/>
      <c r="BD736" s="138"/>
    </row>
    <row r="737" spans="2:56" ht="15.75">
      <c r="B737" s="121">
        <v>74</v>
      </c>
      <c r="C737" s="121">
        <v>8</v>
      </c>
      <c r="D737" s="734">
        <v>143.91957732004616</v>
      </c>
      <c r="E737" s="733"/>
      <c r="BD737" s="138"/>
    </row>
    <row r="738" spans="2:56" ht="15.75">
      <c r="B738" s="121">
        <v>74</v>
      </c>
      <c r="C738" s="121">
        <v>9</v>
      </c>
      <c r="D738" s="734">
        <v>135.81044697684118</v>
      </c>
      <c r="E738" s="733"/>
      <c r="BD738" s="138"/>
    </row>
    <row r="739" spans="2:56" ht="15.75">
      <c r="B739" s="121">
        <v>74</v>
      </c>
      <c r="C739" s="121">
        <v>10</v>
      </c>
      <c r="D739" s="734">
        <v>135.92173605663913</v>
      </c>
      <c r="E739" s="733"/>
      <c r="BD739" s="138"/>
    </row>
    <row r="740" spans="2:56" ht="15.75">
      <c r="B740" s="121">
        <v>74</v>
      </c>
      <c r="C740" s="121">
        <v>11</v>
      </c>
      <c r="D740" s="734">
        <v>134.92027074749947</v>
      </c>
      <c r="E740" s="733"/>
      <c r="BD740" s="138"/>
    </row>
    <row r="741" spans="2:56" ht="15.75">
      <c r="B741" s="121">
        <v>74</v>
      </c>
      <c r="C741" s="121">
        <v>12</v>
      </c>
      <c r="D741" s="734">
        <v>141.25527822913159</v>
      </c>
      <c r="E741" s="733"/>
      <c r="BD741" s="138"/>
    </row>
    <row r="742" spans="2:56" ht="15.75">
      <c r="B742" s="121">
        <v>74</v>
      </c>
      <c r="C742" s="121">
        <v>13</v>
      </c>
      <c r="D742" s="734">
        <v>134.04959327044583</v>
      </c>
      <c r="E742" s="733"/>
      <c r="BD742" s="138"/>
    </row>
    <row r="743" spans="2:56" ht="15.75">
      <c r="B743" s="121">
        <v>74</v>
      </c>
      <c r="C743" s="121">
        <v>14</v>
      </c>
      <c r="D743" s="734">
        <v>135.02169270563678</v>
      </c>
      <c r="E743" s="733"/>
      <c r="BD743" s="138"/>
    </row>
    <row r="744" spans="2:56" ht="15.75">
      <c r="B744" s="121">
        <v>74</v>
      </c>
      <c r="C744" s="121">
        <v>15</v>
      </c>
      <c r="D744" s="734">
        <v>136.98303944720942</v>
      </c>
      <c r="E744" s="733"/>
      <c r="BD744" s="138"/>
    </row>
    <row r="745" spans="2:56" ht="15.75">
      <c r="B745" s="121">
        <v>74</v>
      </c>
      <c r="C745" s="121">
        <v>16</v>
      </c>
      <c r="D745" s="734">
        <v>138.41621134169708</v>
      </c>
      <c r="E745" s="733"/>
      <c r="BD745" s="138"/>
    </row>
    <row r="746" spans="2:56" ht="15.75">
      <c r="B746" s="121">
        <v>75</v>
      </c>
      <c r="C746" s="121">
        <v>1</v>
      </c>
      <c r="D746" s="734">
        <v>5</v>
      </c>
      <c r="E746" s="733"/>
      <c r="BD746" s="138"/>
    </row>
    <row r="747" spans="2:56" ht="15.75">
      <c r="B747" s="121">
        <v>75</v>
      </c>
      <c r="C747" s="121">
        <v>2</v>
      </c>
      <c r="D747" s="734">
        <v>100.0599765056547</v>
      </c>
      <c r="E747" s="733"/>
      <c r="BD747" s="138"/>
    </row>
    <row r="748" spans="2:56" ht="15.75">
      <c r="B748" s="121">
        <v>75</v>
      </c>
      <c r="C748" s="121">
        <v>3</v>
      </c>
      <c r="D748" s="734">
        <v>118.11767584661143</v>
      </c>
      <c r="E748" s="733"/>
      <c r="BD748" s="138"/>
    </row>
    <row r="749" spans="2:56" ht="15.75">
      <c r="B749" s="121">
        <v>75</v>
      </c>
      <c r="C749" s="121">
        <v>4</v>
      </c>
      <c r="D749" s="734">
        <v>144.75751943070586</v>
      </c>
      <c r="E749" s="733"/>
      <c r="BD749" s="138"/>
    </row>
    <row r="750" spans="2:56" ht="15.75">
      <c r="B750" s="121">
        <v>75</v>
      </c>
      <c r="C750" s="121">
        <v>5</v>
      </c>
      <c r="D750" s="734">
        <v>143.33155739129427</v>
      </c>
      <c r="E750" s="733"/>
      <c r="BD750" s="138"/>
    </row>
    <row r="751" spans="2:56" ht="15.75">
      <c r="B751" s="121">
        <v>75</v>
      </c>
      <c r="C751" s="121">
        <v>6</v>
      </c>
      <c r="D751" s="734">
        <v>136.32757229227249</v>
      </c>
      <c r="E751" s="733"/>
      <c r="BD751" s="138"/>
    </row>
    <row r="752" spans="2:56" ht="15.75">
      <c r="B752" s="121">
        <v>75</v>
      </c>
      <c r="C752" s="121">
        <v>7</v>
      </c>
      <c r="D752" s="734">
        <v>134.7108640522132</v>
      </c>
      <c r="E752" s="733"/>
      <c r="BD752" s="138"/>
    </row>
    <row r="753" spans="2:56" ht="15.75">
      <c r="B753" s="121">
        <v>75</v>
      </c>
      <c r="C753" s="121">
        <v>8</v>
      </c>
      <c r="D753" s="734">
        <v>136.27933169974779</v>
      </c>
      <c r="E753" s="733"/>
      <c r="BD753" s="138"/>
    </row>
    <row r="754" spans="2:56" ht="15.75">
      <c r="B754" s="121">
        <v>75</v>
      </c>
      <c r="C754" s="121">
        <v>9</v>
      </c>
      <c r="D754" s="734">
        <v>140.04192844941409</v>
      </c>
      <c r="E754" s="733"/>
      <c r="BD754" s="138"/>
    </row>
    <row r="755" spans="2:56" ht="15.75">
      <c r="B755" s="121">
        <v>75</v>
      </c>
      <c r="C755" s="121">
        <v>10</v>
      </c>
      <c r="D755" s="734">
        <v>141.97450633361629</v>
      </c>
      <c r="E755" s="733"/>
      <c r="BD755" s="138"/>
    </row>
    <row r="756" spans="2:56" ht="15.75">
      <c r="B756" s="121">
        <v>75</v>
      </c>
      <c r="C756" s="121">
        <v>11</v>
      </c>
      <c r="D756" s="734">
        <v>143.87768396382384</v>
      </c>
      <c r="E756" s="733"/>
      <c r="BD756" s="138"/>
    </row>
    <row r="757" spans="2:56" ht="15.75">
      <c r="B757" s="121">
        <v>75</v>
      </c>
      <c r="C757" s="121">
        <v>12</v>
      </c>
      <c r="D757" s="734">
        <v>138.91785758283646</v>
      </c>
      <c r="E757" s="733"/>
      <c r="BD757" s="138"/>
    </row>
    <row r="758" spans="2:56" ht="15.75">
      <c r="B758" s="121">
        <v>75</v>
      </c>
      <c r="C758" s="121">
        <v>13</v>
      </c>
      <c r="D758" s="734">
        <v>137.31828434417085</v>
      </c>
      <c r="E758" s="733"/>
      <c r="BD758" s="138"/>
    </row>
    <row r="759" spans="2:56" ht="15.75">
      <c r="B759" s="121">
        <v>75</v>
      </c>
      <c r="C759" s="121">
        <v>14</v>
      </c>
      <c r="D759" s="734">
        <v>135.36005556943968</v>
      </c>
      <c r="E759" s="733"/>
      <c r="BD759" s="138"/>
    </row>
    <row r="760" spans="2:56" ht="15.75">
      <c r="B760" s="121">
        <v>75</v>
      </c>
      <c r="C760" s="121">
        <v>15</v>
      </c>
      <c r="D760" s="734">
        <v>143.91294536211495</v>
      </c>
      <c r="E760" s="733"/>
      <c r="BD760" s="138"/>
    </row>
    <row r="761" spans="2:56" ht="15.75">
      <c r="B761" s="121">
        <v>75</v>
      </c>
      <c r="C761" s="121">
        <v>16</v>
      </c>
      <c r="D761" s="734">
        <v>143.31559262429207</v>
      </c>
      <c r="E761" s="733"/>
      <c r="BD761" s="138"/>
    </row>
    <row r="762" spans="2:56" ht="15.75">
      <c r="B762" s="121">
        <v>75</v>
      </c>
      <c r="C762" s="121">
        <v>17</v>
      </c>
      <c r="D762" s="734">
        <v>133.96569056131324</v>
      </c>
      <c r="E762" s="733"/>
      <c r="BD762" s="138"/>
    </row>
    <row r="763" spans="2:56" ht="15.75">
      <c r="B763" s="121">
        <v>75</v>
      </c>
      <c r="C763" s="121">
        <v>18</v>
      </c>
      <c r="D763" s="734">
        <v>138.77315403520615</v>
      </c>
      <c r="E763" s="733"/>
      <c r="BD763" s="138"/>
    </row>
    <row r="764" spans="2:56" ht="15.75">
      <c r="B764" s="121">
        <v>75</v>
      </c>
      <c r="C764" s="121">
        <v>19</v>
      </c>
      <c r="D764" s="734">
        <v>137.7181074621264</v>
      </c>
      <c r="E764" s="733"/>
      <c r="BD764" s="138"/>
    </row>
    <row r="765" spans="2:56" ht="15.75">
      <c r="B765" s="121">
        <v>76</v>
      </c>
      <c r="C765" s="121">
        <v>1</v>
      </c>
      <c r="D765" s="734">
        <v>5</v>
      </c>
      <c r="E765" s="733"/>
      <c r="BD765" s="138"/>
    </row>
    <row r="766" spans="2:56" ht="15.75">
      <c r="B766" s="121">
        <v>77</v>
      </c>
      <c r="C766" s="121">
        <v>1</v>
      </c>
      <c r="D766" s="734">
        <v>5</v>
      </c>
      <c r="E766" s="733"/>
      <c r="BD766" s="138"/>
    </row>
    <row r="767" spans="2:56" ht="15.75">
      <c r="B767" s="121">
        <v>78</v>
      </c>
      <c r="C767" s="121">
        <v>1</v>
      </c>
      <c r="D767" s="734">
        <v>5</v>
      </c>
      <c r="E767" s="733"/>
      <c r="BD767" s="138"/>
    </row>
    <row r="768" spans="2:56" ht="15.75">
      <c r="B768" s="121">
        <v>78</v>
      </c>
      <c r="C768" s="121">
        <v>2</v>
      </c>
      <c r="D768" s="734">
        <v>100.19397133100236</v>
      </c>
      <c r="E768" s="733"/>
      <c r="BD768" s="138"/>
    </row>
    <row r="769" spans="2:56" ht="15.75">
      <c r="B769" s="121">
        <v>78</v>
      </c>
      <c r="C769" s="121">
        <v>3</v>
      </c>
      <c r="D769" s="734">
        <v>114.98281687127835</v>
      </c>
      <c r="E769" s="733"/>
      <c r="BD769" s="138"/>
    </row>
    <row r="770" spans="2:56" ht="15.75">
      <c r="B770" s="121">
        <v>78</v>
      </c>
      <c r="C770" s="121">
        <v>4</v>
      </c>
      <c r="D770" s="734">
        <v>137.69350418666252</v>
      </c>
      <c r="E770" s="733"/>
      <c r="BD770" s="138"/>
    </row>
    <row r="771" spans="2:56" ht="15.75">
      <c r="B771" s="121">
        <v>78</v>
      </c>
      <c r="C771" s="121">
        <v>5</v>
      </c>
      <c r="D771" s="734">
        <v>144.06382603149106</v>
      </c>
      <c r="E771" s="733"/>
      <c r="BD771" s="138"/>
    </row>
    <row r="772" spans="2:56" ht="15.75">
      <c r="B772" s="121">
        <v>78</v>
      </c>
      <c r="C772" s="121">
        <v>6</v>
      </c>
      <c r="D772" s="734">
        <v>137.24306502917582</v>
      </c>
      <c r="E772" s="733"/>
      <c r="BD772" s="138"/>
    </row>
    <row r="773" spans="2:56" ht="15.75">
      <c r="B773" s="121">
        <v>78</v>
      </c>
      <c r="C773" s="121">
        <v>7</v>
      </c>
      <c r="D773" s="734">
        <v>138.7785753646931</v>
      </c>
      <c r="E773" s="733"/>
      <c r="BD773" s="138"/>
    </row>
    <row r="774" spans="2:56" ht="15.75">
      <c r="B774" s="121">
        <v>78</v>
      </c>
      <c r="C774" s="121">
        <v>8</v>
      </c>
      <c r="D774" s="734">
        <v>140.60557043728312</v>
      </c>
      <c r="E774" s="733"/>
      <c r="BD774" s="138"/>
    </row>
    <row r="775" spans="2:56" ht="15.75">
      <c r="B775" s="121">
        <v>78</v>
      </c>
      <c r="C775" s="121">
        <v>9</v>
      </c>
      <c r="D775" s="734">
        <v>136.48229245397218</v>
      </c>
      <c r="E775" s="733"/>
      <c r="BD775" s="138"/>
    </row>
    <row r="776" spans="2:56" ht="15.75">
      <c r="B776" s="121">
        <v>78</v>
      </c>
      <c r="C776" s="121">
        <v>10</v>
      </c>
      <c r="D776" s="734">
        <v>143.67391367755005</v>
      </c>
      <c r="E776" s="733"/>
      <c r="BD776" s="138"/>
    </row>
    <row r="777" spans="2:56" ht="15.75">
      <c r="B777" s="121">
        <v>78</v>
      </c>
      <c r="C777" s="121">
        <v>11</v>
      </c>
      <c r="D777" s="734">
        <v>133.67904747042272</v>
      </c>
      <c r="E777" s="733"/>
      <c r="BD777" s="138"/>
    </row>
    <row r="778" spans="2:56" ht="15.75">
      <c r="B778" s="121">
        <v>78</v>
      </c>
      <c r="C778" s="121">
        <v>12</v>
      </c>
      <c r="D778" s="734">
        <v>136.19051716725517</v>
      </c>
      <c r="E778" s="733"/>
      <c r="BD778" s="138"/>
    </row>
    <row r="779" spans="2:56" ht="15.75">
      <c r="B779" s="121">
        <v>78</v>
      </c>
      <c r="C779" s="121">
        <v>13</v>
      </c>
      <c r="D779" s="734">
        <v>146.92598704745441</v>
      </c>
      <c r="E779" s="733"/>
      <c r="BD779" s="138"/>
    </row>
    <row r="780" spans="2:56" ht="15.75">
      <c r="B780" s="121">
        <v>78</v>
      </c>
      <c r="C780" s="121">
        <v>14</v>
      </c>
      <c r="D780" s="734">
        <v>145.03116784508779</v>
      </c>
      <c r="E780" s="733"/>
      <c r="BD780" s="138"/>
    </row>
    <row r="781" spans="2:56" ht="15.75">
      <c r="B781" s="121">
        <v>78</v>
      </c>
      <c r="C781" s="121">
        <v>15</v>
      </c>
      <c r="D781" s="734">
        <v>141.49824664679639</v>
      </c>
      <c r="E781" s="733"/>
      <c r="BD781" s="138"/>
    </row>
    <row r="782" spans="2:56" ht="15.75">
      <c r="B782" s="121">
        <v>78</v>
      </c>
      <c r="C782" s="121">
        <v>16</v>
      </c>
      <c r="D782" s="734">
        <v>142.67989317883575</v>
      </c>
      <c r="E782" s="733"/>
      <c r="BD782" s="138"/>
    </row>
    <row r="783" spans="2:56" ht="15.75">
      <c r="B783" s="121">
        <v>78</v>
      </c>
      <c r="C783" s="121">
        <v>17</v>
      </c>
      <c r="D783" s="734">
        <v>139.91221939167468</v>
      </c>
      <c r="E783" s="733"/>
      <c r="BD783" s="138"/>
    </row>
    <row r="784" spans="2:56" ht="15.75">
      <c r="B784" s="121">
        <v>78</v>
      </c>
      <c r="C784" s="121">
        <v>18</v>
      </c>
      <c r="D784" s="734">
        <v>140.8403573522138</v>
      </c>
      <c r="E784" s="733"/>
      <c r="BD784" s="138"/>
    </row>
    <row r="785" spans="2:56" ht="15.75">
      <c r="B785" s="121">
        <v>78</v>
      </c>
      <c r="C785" s="121">
        <v>19</v>
      </c>
      <c r="D785" s="734">
        <v>144.61676624428821</v>
      </c>
      <c r="E785" s="733"/>
      <c r="BD785" s="138"/>
    </row>
    <row r="786" spans="2:56" ht="15.75">
      <c r="B786" s="121">
        <v>79</v>
      </c>
      <c r="C786" s="121">
        <v>1</v>
      </c>
      <c r="D786" s="734">
        <v>5</v>
      </c>
      <c r="E786" s="733"/>
      <c r="BD786" s="138"/>
    </row>
    <row r="787" spans="2:56" ht="15.75">
      <c r="B787" s="121">
        <v>80</v>
      </c>
      <c r="C787" s="121">
        <v>1</v>
      </c>
      <c r="D787" s="734">
        <v>5</v>
      </c>
      <c r="E787" s="733"/>
      <c r="BD787" s="138"/>
    </row>
    <row r="788" spans="2:56" ht="15.75">
      <c r="B788" s="121">
        <v>80</v>
      </c>
      <c r="C788" s="121">
        <v>2</v>
      </c>
      <c r="D788" s="734">
        <v>98.963122150012509</v>
      </c>
      <c r="E788" s="733"/>
      <c r="BD788" s="138"/>
    </row>
    <row r="789" spans="2:56" ht="15.75">
      <c r="B789" s="121">
        <v>81</v>
      </c>
      <c r="C789" s="121">
        <v>1</v>
      </c>
      <c r="D789" s="734">
        <v>5</v>
      </c>
      <c r="E789" s="733"/>
      <c r="BD789" s="138"/>
    </row>
    <row r="790" spans="2:56" ht="15.75">
      <c r="B790" s="121">
        <v>81</v>
      </c>
      <c r="C790" s="121">
        <v>2</v>
      </c>
      <c r="D790" s="734">
        <v>99.206107464977251</v>
      </c>
      <c r="E790" s="733"/>
      <c r="BD790" s="138"/>
    </row>
    <row r="791" spans="2:56" ht="15.75">
      <c r="B791" s="121">
        <v>81</v>
      </c>
      <c r="C791" s="121">
        <v>3</v>
      </c>
      <c r="D791" s="734">
        <v>114.13747426832954</v>
      </c>
      <c r="E791" s="733"/>
      <c r="BD791" s="138"/>
    </row>
    <row r="792" spans="2:56" ht="15.75">
      <c r="B792" s="121">
        <v>81</v>
      </c>
      <c r="C792" s="121">
        <v>4</v>
      </c>
      <c r="D792" s="734">
        <v>145.35541270092844</v>
      </c>
      <c r="E792" s="733"/>
      <c r="BD792" s="138"/>
    </row>
    <row r="793" spans="2:56" ht="15.75">
      <c r="B793" s="121">
        <v>81</v>
      </c>
      <c r="C793" s="121">
        <v>5</v>
      </c>
      <c r="D793" s="734">
        <v>142.23444770416936</v>
      </c>
      <c r="E793" s="733"/>
      <c r="BD793" s="138"/>
    </row>
    <row r="794" spans="2:56" ht="15.75">
      <c r="B794" s="121">
        <v>81</v>
      </c>
      <c r="C794" s="121">
        <v>6</v>
      </c>
      <c r="D794" s="734">
        <v>145.45835096563366</v>
      </c>
      <c r="E794" s="733"/>
      <c r="BD794" s="138"/>
    </row>
    <row r="795" spans="2:56" ht="15.75">
      <c r="B795" s="121">
        <v>81</v>
      </c>
      <c r="C795" s="121">
        <v>7</v>
      </c>
      <c r="D795" s="734">
        <v>136.77241563357416</v>
      </c>
      <c r="E795" s="733"/>
      <c r="BD795" s="138"/>
    </row>
    <row r="796" spans="2:56" ht="15.75">
      <c r="B796" s="121">
        <v>81</v>
      </c>
      <c r="C796" s="121">
        <v>8</v>
      </c>
      <c r="D796" s="734">
        <v>143.67544903089887</v>
      </c>
      <c r="E796" s="733"/>
      <c r="BD796" s="138"/>
    </row>
    <row r="797" spans="2:56" ht="15.75">
      <c r="B797" s="121">
        <v>81</v>
      </c>
      <c r="C797" s="121">
        <v>9</v>
      </c>
      <c r="D797" s="734">
        <v>143.34128741482684</v>
      </c>
      <c r="E797" s="733"/>
      <c r="BD797" s="138"/>
    </row>
    <row r="798" spans="2:56" ht="15.75">
      <c r="B798" s="121">
        <v>81</v>
      </c>
      <c r="C798" s="121">
        <v>10</v>
      </c>
      <c r="D798" s="734">
        <v>144.74276912827381</v>
      </c>
      <c r="E798" s="733"/>
      <c r="BD798" s="138"/>
    </row>
    <row r="799" spans="2:56" ht="15.75">
      <c r="B799" s="121">
        <v>81</v>
      </c>
      <c r="C799" s="121">
        <v>11</v>
      </c>
      <c r="D799" s="734">
        <v>133.716602664818</v>
      </c>
      <c r="E799" s="733"/>
      <c r="BD799" s="138"/>
    </row>
    <row r="800" spans="2:56" ht="15.75">
      <c r="B800" s="121">
        <v>82</v>
      </c>
      <c r="C800" s="121">
        <v>1</v>
      </c>
      <c r="D800" s="734">
        <v>5</v>
      </c>
      <c r="E800" s="733"/>
      <c r="BD800" s="138"/>
    </row>
    <row r="801" spans="2:56" ht="15.75">
      <c r="B801" s="121">
        <v>82</v>
      </c>
      <c r="C801" s="121">
        <v>2</v>
      </c>
      <c r="D801" s="734">
        <v>102.96068346085556</v>
      </c>
      <c r="E801" s="733"/>
      <c r="BD801" s="138"/>
    </row>
    <row r="802" spans="2:56" ht="15.75">
      <c r="B802" s="121">
        <v>82</v>
      </c>
      <c r="C802" s="121">
        <v>3</v>
      </c>
      <c r="D802" s="734">
        <v>124.96048366207499</v>
      </c>
      <c r="E802" s="733"/>
      <c r="BD802" s="138"/>
    </row>
    <row r="803" spans="2:56" ht="15.75">
      <c r="B803" s="121">
        <v>82</v>
      </c>
      <c r="C803" s="121">
        <v>4</v>
      </c>
      <c r="D803" s="734">
        <v>146.65160592361664</v>
      </c>
      <c r="E803" s="733"/>
      <c r="BD803" s="138"/>
    </row>
    <row r="804" spans="2:56" ht="15.75">
      <c r="B804" s="121">
        <v>82</v>
      </c>
      <c r="C804" s="121">
        <v>5</v>
      </c>
      <c r="D804" s="734">
        <v>139.76459934612166</v>
      </c>
      <c r="E804" s="733"/>
      <c r="BD804" s="138"/>
    </row>
    <row r="805" spans="2:56" ht="15.75">
      <c r="B805" s="121">
        <v>82</v>
      </c>
      <c r="C805" s="121">
        <v>6</v>
      </c>
      <c r="D805" s="734">
        <v>143.45748309048949</v>
      </c>
      <c r="E805" s="733"/>
      <c r="BD805" s="138"/>
    </row>
    <row r="806" spans="2:56" ht="15.75">
      <c r="B806" s="121">
        <v>82</v>
      </c>
      <c r="C806" s="121">
        <v>7</v>
      </c>
      <c r="D806" s="734">
        <v>135.57937686201359</v>
      </c>
      <c r="E806" s="733"/>
      <c r="BD806" s="138"/>
    </row>
    <row r="807" spans="2:56" ht="15.75">
      <c r="B807" s="121">
        <v>82</v>
      </c>
      <c r="C807" s="121">
        <v>8</v>
      </c>
      <c r="D807" s="734">
        <v>146.32360373589233</v>
      </c>
      <c r="E807" s="733"/>
      <c r="BD807" s="138"/>
    </row>
    <row r="808" spans="2:56" ht="15.75">
      <c r="B808" s="121">
        <v>82</v>
      </c>
      <c r="C808" s="121">
        <v>9</v>
      </c>
      <c r="D808" s="734">
        <v>143.21430804944245</v>
      </c>
      <c r="E808" s="733"/>
      <c r="BD808" s="138"/>
    </row>
    <row r="809" spans="2:56" ht="15.75">
      <c r="B809" s="121">
        <v>82</v>
      </c>
      <c r="C809" s="121">
        <v>10</v>
      </c>
      <c r="D809" s="734">
        <v>136.51286805905974</v>
      </c>
      <c r="E809" s="733"/>
      <c r="BD809" s="138"/>
    </row>
    <row r="810" spans="2:56" ht="15.75">
      <c r="B810" s="121">
        <v>82</v>
      </c>
      <c r="C810" s="121">
        <v>11</v>
      </c>
      <c r="D810" s="734">
        <v>139.59607195767072</v>
      </c>
      <c r="E810" s="733"/>
      <c r="BD810" s="138"/>
    </row>
    <row r="811" spans="2:56" ht="15.75">
      <c r="B811" s="121">
        <v>82</v>
      </c>
      <c r="C811" s="121">
        <v>12</v>
      </c>
      <c r="D811" s="734">
        <v>142.95381021412101</v>
      </c>
      <c r="E811" s="733"/>
      <c r="BD811" s="138"/>
    </row>
    <row r="812" spans="2:56" ht="15.75">
      <c r="B812" s="121">
        <v>82</v>
      </c>
      <c r="C812" s="121">
        <v>13</v>
      </c>
      <c r="D812" s="734">
        <v>135.35925218311914</v>
      </c>
      <c r="E812" s="733"/>
      <c r="BD812" s="138"/>
    </row>
    <row r="813" spans="2:56" ht="15.75">
      <c r="B813" s="121">
        <v>82</v>
      </c>
      <c r="C813" s="121">
        <v>14</v>
      </c>
      <c r="D813" s="734">
        <v>146.23646136816095</v>
      </c>
      <c r="E813" s="733"/>
      <c r="BD813" s="138"/>
    </row>
    <row r="814" spans="2:56" ht="15.75">
      <c r="B814" s="121">
        <v>82</v>
      </c>
      <c r="C814" s="121">
        <v>15</v>
      </c>
      <c r="D814" s="734">
        <v>137.9854950887339</v>
      </c>
      <c r="E814" s="733"/>
      <c r="BD814" s="138"/>
    </row>
    <row r="815" spans="2:56" ht="15.75">
      <c r="B815" s="121">
        <v>82</v>
      </c>
      <c r="C815" s="121">
        <v>16</v>
      </c>
      <c r="D815" s="734">
        <v>146.94900957312166</v>
      </c>
      <c r="E815" s="733"/>
      <c r="BD815" s="138"/>
    </row>
    <row r="816" spans="2:56" ht="15.75">
      <c r="B816" s="121">
        <v>82</v>
      </c>
      <c r="C816" s="121">
        <v>17</v>
      </c>
      <c r="D816" s="734">
        <v>141.93326951019816</v>
      </c>
      <c r="E816" s="733"/>
      <c r="BD816" s="138"/>
    </row>
    <row r="817" spans="2:56" ht="15.75">
      <c r="B817" s="121">
        <v>82</v>
      </c>
      <c r="C817" s="121">
        <v>18</v>
      </c>
      <c r="D817" s="734">
        <v>145.35762694008787</v>
      </c>
      <c r="E817" s="733"/>
      <c r="BD817" s="138"/>
    </row>
    <row r="818" spans="2:56" ht="15.75">
      <c r="B818" s="121">
        <v>82</v>
      </c>
      <c r="C818" s="121">
        <v>19</v>
      </c>
      <c r="D818" s="734">
        <v>142.92698824171981</v>
      </c>
      <c r="E818" s="733"/>
      <c r="BD818" s="138"/>
    </row>
    <row r="819" spans="2:56" ht="15.75">
      <c r="B819" s="121">
        <v>82</v>
      </c>
      <c r="C819" s="121">
        <v>20</v>
      </c>
      <c r="D819" s="734">
        <v>140.2021253259029</v>
      </c>
      <c r="E819" s="733"/>
      <c r="BD819" s="138"/>
    </row>
    <row r="820" spans="2:56" ht="15.75">
      <c r="B820" s="121">
        <v>82</v>
      </c>
      <c r="C820" s="121">
        <v>21</v>
      </c>
      <c r="D820" s="734">
        <v>143.28531046153699</v>
      </c>
      <c r="E820" s="733"/>
      <c r="BD820" s="138"/>
    </row>
    <row r="821" spans="2:56" ht="15.75">
      <c r="B821" s="121">
        <v>82</v>
      </c>
      <c r="C821" s="121">
        <v>22</v>
      </c>
      <c r="D821" s="734">
        <v>134.73697192950701</v>
      </c>
      <c r="E821" s="733"/>
      <c r="BD821" s="138"/>
    </row>
    <row r="822" spans="2:56" ht="15.75">
      <c r="B822" s="121">
        <v>82</v>
      </c>
      <c r="C822" s="121">
        <v>23</v>
      </c>
      <c r="D822" s="734">
        <v>134.18982332209293</v>
      </c>
      <c r="E822" s="733"/>
      <c r="BD822" s="138"/>
    </row>
    <row r="823" spans="2:56" ht="15.75">
      <c r="B823" s="121">
        <v>82</v>
      </c>
      <c r="C823" s="121">
        <v>24</v>
      </c>
      <c r="D823" s="734">
        <v>140.27592890451109</v>
      </c>
      <c r="E823" s="733"/>
      <c r="BD823" s="138"/>
    </row>
    <row r="824" spans="2:56" ht="15.75">
      <c r="B824" s="121">
        <v>82</v>
      </c>
      <c r="C824" s="121">
        <v>25</v>
      </c>
      <c r="D824" s="734">
        <v>138.53311491369286</v>
      </c>
      <c r="E824" s="733"/>
      <c r="BD824" s="138"/>
    </row>
    <row r="825" spans="2:56" ht="15.75">
      <c r="B825" s="121">
        <v>82</v>
      </c>
      <c r="C825" s="121">
        <v>26</v>
      </c>
      <c r="D825" s="734">
        <v>137.73233692375157</v>
      </c>
      <c r="E825" s="733"/>
      <c r="BD825" s="138"/>
    </row>
    <row r="826" spans="2:56" ht="15.75">
      <c r="B826" s="121">
        <v>82</v>
      </c>
      <c r="C826" s="121">
        <v>27</v>
      </c>
      <c r="D826" s="734">
        <v>139.69969932719573</v>
      </c>
      <c r="E826" s="733"/>
      <c r="BD826" s="138"/>
    </row>
    <row r="827" spans="2:56" ht="15.75">
      <c r="B827" s="121">
        <v>82</v>
      </c>
      <c r="C827" s="121">
        <v>28</v>
      </c>
      <c r="D827" s="734">
        <v>139.03657536711535</v>
      </c>
      <c r="E827" s="733"/>
      <c r="BD827" s="138"/>
    </row>
    <row r="828" spans="2:56" ht="15.75">
      <c r="B828" s="121">
        <v>82</v>
      </c>
      <c r="C828" s="121">
        <v>29</v>
      </c>
      <c r="D828" s="734">
        <v>137.4562468206077</v>
      </c>
      <c r="E828" s="733"/>
      <c r="BD828" s="138"/>
    </row>
    <row r="829" spans="2:56" ht="15.75">
      <c r="B829" s="121">
        <v>82</v>
      </c>
      <c r="C829" s="121">
        <v>30</v>
      </c>
      <c r="D829" s="734">
        <v>136.65825739800454</v>
      </c>
      <c r="E829" s="733"/>
      <c r="BD829" s="138"/>
    </row>
    <row r="830" spans="2:56" ht="15.75">
      <c r="B830" s="121">
        <v>82</v>
      </c>
      <c r="C830" s="121">
        <v>31</v>
      </c>
      <c r="D830" s="734">
        <v>135.72515527222191</v>
      </c>
      <c r="E830" s="733"/>
      <c r="BD830" s="138"/>
    </row>
    <row r="831" spans="2:56" ht="15.75">
      <c r="B831" s="121">
        <v>82</v>
      </c>
      <c r="C831" s="121">
        <v>32</v>
      </c>
      <c r="D831" s="734">
        <v>133.99815690471286</v>
      </c>
      <c r="E831" s="733"/>
      <c r="BD831" s="138"/>
    </row>
    <row r="832" spans="2:56" ht="15.75">
      <c r="B832" s="121">
        <v>82</v>
      </c>
      <c r="C832" s="121">
        <v>33</v>
      </c>
      <c r="D832" s="734">
        <v>144.82227665000693</v>
      </c>
      <c r="E832" s="733"/>
      <c r="BD832" s="138"/>
    </row>
    <row r="833" spans="2:56" ht="15.75">
      <c r="B833" s="121">
        <v>82</v>
      </c>
      <c r="C833" s="121">
        <v>34</v>
      </c>
      <c r="D833" s="734">
        <v>140.27670784035294</v>
      </c>
      <c r="E833" s="733"/>
      <c r="BD833" s="138"/>
    </row>
    <row r="834" spans="2:56" ht="15.75">
      <c r="B834" s="121">
        <v>82</v>
      </c>
      <c r="C834" s="121">
        <v>35</v>
      </c>
      <c r="D834" s="734">
        <v>142.83071839318106</v>
      </c>
      <c r="E834" s="733"/>
      <c r="BD834" s="138"/>
    </row>
    <row r="835" spans="2:56" ht="15.75">
      <c r="B835" s="121">
        <v>82</v>
      </c>
      <c r="C835" s="121">
        <v>36</v>
      </c>
      <c r="D835" s="734">
        <v>137.37885829857046</v>
      </c>
      <c r="E835" s="733"/>
      <c r="BD835" s="138"/>
    </row>
    <row r="836" spans="2:56" ht="15.75">
      <c r="B836" s="121">
        <v>83</v>
      </c>
      <c r="C836" s="121">
        <v>1</v>
      </c>
      <c r="D836" s="734">
        <v>5</v>
      </c>
      <c r="E836" s="733"/>
      <c r="BD836" s="138"/>
    </row>
    <row r="837" spans="2:56" ht="15.75">
      <c r="B837" s="121">
        <v>83</v>
      </c>
      <c r="C837" s="121">
        <v>2</v>
      </c>
      <c r="D837" s="734">
        <v>103.14167324999039</v>
      </c>
      <c r="E837" s="733"/>
      <c r="BD837" s="138"/>
    </row>
    <row r="838" spans="2:56" ht="15.75">
      <c r="B838" s="121">
        <v>83</v>
      </c>
      <c r="C838" s="121">
        <v>3</v>
      </c>
      <c r="D838" s="734">
        <v>123.70891087933119</v>
      </c>
      <c r="E838" s="733"/>
      <c r="BD838" s="138"/>
    </row>
    <row r="839" spans="2:56" ht="15.75">
      <c r="B839" s="121">
        <v>83</v>
      </c>
      <c r="C839" s="121">
        <v>4</v>
      </c>
      <c r="D839" s="734">
        <v>143.96966110831465</v>
      </c>
      <c r="E839" s="733"/>
      <c r="BD839" s="138"/>
    </row>
    <row r="840" spans="2:56" ht="15.75">
      <c r="B840" s="121">
        <v>84</v>
      </c>
      <c r="C840" s="121">
        <v>1</v>
      </c>
      <c r="D840" s="734">
        <v>5</v>
      </c>
      <c r="E840" s="733"/>
      <c r="BD840" s="138"/>
    </row>
    <row r="841" spans="2:56" ht="15.75">
      <c r="B841" s="121">
        <v>85</v>
      </c>
      <c r="C841" s="121">
        <v>1</v>
      </c>
      <c r="D841" s="734">
        <v>5</v>
      </c>
      <c r="E841" s="733"/>
      <c r="BD841" s="138"/>
    </row>
    <row r="842" spans="2:56" ht="15.75">
      <c r="B842" s="121">
        <v>85</v>
      </c>
      <c r="C842" s="121">
        <v>2</v>
      </c>
      <c r="D842" s="734">
        <v>100.56870514081788</v>
      </c>
      <c r="E842" s="733"/>
      <c r="BD842" s="138"/>
    </row>
    <row r="843" spans="2:56" ht="15.75">
      <c r="B843" s="121">
        <v>85</v>
      </c>
      <c r="C843" s="121">
        <v>3</v>
      </c>
      <c r="D843" s="734">
        <v>121.52661180832</v>
      </c>
      <c r="E843" s="733"/>
      <c r="BD843" s="138"/>
    </row>
    <row r="844" spans="2:56" ht="15.75">
      <c r="B844" s="121">
        <v>85</v>
      </c>
      <c r="C844" s="121">
        <v>4</v>
      </c>
      <c r="D844" s="734">
        <v>133.94143569968395</v>
      </c>
      <c r="E844" s="733"/>
      <c r="BD844" s="138"/>
    </row>
    <row r="845" spans="2:56" ht="15.75">
      <c r="B845" s="121">
        <v>85</v>
      </c>
      <c r="C845" s="121">
        <v>5</v>
      </c>
      <c r="D845" s="734">
        <v>141.29192747448252</v>
      </c>
      <c r="E845" s="733"/>
      <c r="BD845" s="138"/>
    </row>
    <row r="846" spans="2:56" ht="15.75">
      <c r="B846" s="121">
        <v>85</v>
      </c>
      <c r="C846" s="121">
        <v>6</v>
      </c>
      <c r="D846" s="734">
        <v>140.67257684642613</v>
      </c>
      <c r="E846" s="733"/>
      <c r="BD846" s="138"/>
    </row>
    <row r="847" spans="2:56" ht="15.75">
      <c r="B847" s="121">
        <v>85</v>
      </c>
      <c r="C847" s="121">
        <v>7</v>
      </c>
      <c r="D847" s="734">
        <v>134.20188736575656</v>
      </c>
      <c r="E847" s="733"/>
      <c r="BD847" s="138"/>
    </row>
    <row r="848" spans="2:56" ht="15.75">
      <c r="B848" s="121">
        <v>85</v>
      </c>
      <c r="C848" s="121">
        <v>8</v>
      </c>
      <c r="D848" s="734">
        <v>144.45146559395798</v>
      </c>
      <c r="E848" s="733"/>
      <c r="BD848" s="138"/>
    </row>
    <row r="849" spans="2:56" ht="15.75">
      <c r="B849" s="121">
        <v>85</v>
      </c>
      <c r="C849" s="121">
        <v>9</v>
      </c>
      <c r="D849" s="734">
        <v>134.85431036008191</v>
      </c>
      <c r="E849" s="733"/>
      <c r="BD849" s="138"/>
    </row>
    <row r="850" spans="2:56" ht="15.75">
      <c r="B850" s="121">
        <v>85</v>
      </c>
      <c r="C850" s="121">
        <v>10</v>
      </c>
      <c r="D850" s="734">
        <v>143.79606684305983</v>
      </c>
      <c r="E850" s="733"/>
      <c r="BD850" s="138"/>
    </row>
    <row r="851" spans="2:56" ht="15.75">
      <c r="B851" s="121">
        <v>85</v>
      </c>
      <c r="C851" s="121">
        <v>11</v>
      </c>
      <c r="D851" s="734">
        <v>141.02528727306992</v>
      </c>
      <c r="E851" s="733"/>
      <c r="BD851" s="138"/>
    </row>
    <row r="852" spans="2:56" ht="15.75">
      <c r="B852" s="121">
        <v>85</v>
      </c>
      <c r="C852" s="121">
        <v>12</v>
      </c>
      <c r="D852" s="734">
        <v>137.49708022694824</v>
      </c>
      <c r="E852" s="733"/>
      <c r="BD852" s="138"/>
    </row>
    <row r="853" spans="2:56" ht="15.75">
      <c r="B853" s="121">
        <v>85</v>
      </c>
      <c r="C853" s="121">
        <v>13</v>
      </c>
      <c r="D853" s="734">
        <v>144.90258918397785</v>
      </c>
      <c r="E853" s="733"/>
      <c r="BD853" s="138"/>
    </row>
    <row r="854" spans="2:56" ht="15.75">
      <c r="B854" s="121">
        <v>85</v>
      </c>
      <c r="C854" s="121">
        <v>14</v>
      </c>
      <c r="D854" s="734">
        <v>135.40642108503181</v>
      </c>
      <c r="E854" s="733"/>
      <c r="BD854" s="138"/>
    </row>
    <row r="855" spans="2:56" ht="15.75">
      <c r="B855" s="121">
        <v>85</v>
      </c>
      <c r="C855" s="121">
        <v>15</v>
      </c>
      <c r="D855" s="734">
        <v>141.0559659883742</v>
      </c>
      <c r="E855" s="733"/>
      <c r="BD855" s="138"/>
    </row>
    <row r="856" spans="2:56" ht="15.75">
      <c r="B856" s="121">
        <v>85</v>
      </c>
      <c r="C856" s="121">
        <v>16</v>
      </c>
      <c r="D856" s="734">
        <v>143.3966844523807</v>
      </c>
      <c r="E856" s="733"/>
      <c r="BD856" s="138"/>
    </row>
    <row r="857" spans="2:56" ht="15.75">
      <c r="B857" s="121">
        <v>85</v>
      </c>
      <c r="C857" s="121">
        <v>17</v>
      </c>
      <c r="D857" s="734">
        <v>135.23343848296633</v>
      </c>
      <c r="E857" s="733"/>
      <c r="BD857" s="138"/>
    </row>
    <row r="858" spans="2:56" ht="15.75">
      <c r="B858" s="121">
        <v>85</v>
      </c>
      <c r="C858" s="121">
        <v>18</v>
      </c>
      <c r="D858" s="734">
        <v>136.01318369969488</v>
      </c>
      <c r="E858" s="733"/>
      <c r="BD858" s="138"/>
    </row>
    <row r="859" spans="2:56" ht="15.75">
      <c r="B859" s="121">
        <v>85</v>
      </c>
      <c r="C859" s="121">
        <v>19</v>
      </c>
      <c r="D859" s="734">
        <v>146.79469037693224</v>
      </c>
      <c r="E859" s="733"/>
      <c r="BD859" s="138"/>
    </row>
    <row r="860" spans="2:56" ht="15.75">
      <c r="B860" s="121">
        <v>85</v>
      </c>
      <c r="C860" s="121">
        <v>20</v>
      </c>
      <c r="D860" s="734">
        <v>134.02965935538634</v>
      </c>
      <c r="E860" s="733"/>
      <c r="BD860" s="138"/>
    </row>
    <row r="861" spans="2:56" ht="15.75">
      <c r="B861" s="121">
        <v>85</v>
      </c>
      <c r="C861" s="121">
        <v>21</v>
      </c>
      <c r="D861" s="734">
        <v>139.72320641792635</v>
      </c>
      <c r="E861" s="733"/>
      <c r="BD861" s="138"/>
    </row>
    <row r="862" spans="2:56" ht="15.75">
      <c r="B862" s="121">
        <v>85</v>
      </c>
      <c r="C862" s="121">
        <v>22</v>
      </c>
      <c r="D862" s="734">
        <v>146.25630731997057</v>
      </c>
      <c r="E862" s="733"/>
      <c r="BD862" s="138"/>
    </row>
    <row r="863" spans="2:56" ht="15.75">
      <c r="B863" s="121">
        <v>85</v>
      </c>
      <c r="C863" s="121">
        <v>23</v>
      </c>
      <c r="D863" s="734">
        <v>143.09339238877087</v>
      </c>
      <c r="E863" s="733"/>
      <c r="BD863" s="138"/>
    </row>
    <row r="864" spans="2:56" ht="15.75">
      <c r="B864" s="121">
        <v>85</v>
      </c>
      <c r="C864" s="121">
        <v>24</v>
      </c>
      <c r="D864" s="734">
        <v>144.96501384171486</v>
      </c>
      <c r="E864" s="733"/>
      <c r="BD864" s="138"/>
    </row>
    <row r="865" spans="2:56" ht="15.75">
      <c r="B865" s="121">
        <v>85</v>
      </c>
      <c r="C865" s="121">
        <v>25</v>
      </c>
      <c r="D865" s="734">
        <v>144.78597696974242</v>
      </c>
      <c r="E865" s="733"/>
      <c r="BD865" s="138"/>
    </row>
    <row r="866" spans="2:56" ht="15.75">
      <c r="B866" s="121">
        <v>85</v>
      </c>
      <c r="C866" s="121">
        <v>26</v>
      </c>
      <c r="D866" s="734">
        <v>138.19609452499608</v>
      </c>
      <c r="E866" s="733"/>
      <c r="BD866" s="138"/>
    </row>
    <row r="867" spans="2:56" ht="15.75">
      <c r="B867" s="121">
        <v>85</v>
      </c>
      <c r="C867" s="121">
        <v>27</v>
      </c>
      <c r="D867" s="734">
        <v>134.42487700557228</v>
      </c>
      <c r="E867" s="733"/>
      <c r="BD867" s="138"/>
    </row>
    <row r="868" spans="2:56" ht="15.75">
      <c r="B868" s="121">
        <v>85</v>
      </c>
      <c r="C868" s="121">
        <v>28</v>
      </c>
      <c r="D868" s="734">
        <v>139.49002727918463</v>
      </c>
      <c r="E868" s="733"/>
      <c r="BD868" s="138"/>
    </row>
    <row r="869" spans="2:56" ht="15.75">
      <c r="B869" s="121">
        <v>85</v>
      </c>
      <c r="C869" s="121">
        <v>29</v>
      </c>
      <c r="D869" s="734">
        <v>138.69322833385064</v>
      </c>
      <c r="E869" s="733"/>
      <c r="BD869" s="138"/>
    </row>
    <row r="870" spans="2:56" ht="15.75">
      <c r="B870" s="121">
        <v>85</v>
      </c>
      <c r="C870" s="121">
        <v>30</v>
      </c>
      <c r="D870" s="734">
        <v>146.41277086802336</v>
      </c>
      <c r="E870" s="733"/>
      <c r="BD870" s="138"/>
    </row>
    <row r="871" spans="2:56" ht="15.75">
      <c r="B871" s="121">
        <v>85</v>
      </c>
      <c r="C871" s="121">
        <v>31</v>
      </c>
      <c r="D871" s="734">
        <v>140.57808967214757</v>
      </c>
      <c r="E871" s="733"/>
      <c r="BD871" s="138"/>
    </row>
    <row r="872" spans="2:56" ht="15.75">
      <c r="B872" s="121">
        <v>86</v>
      </c>
      <c r="C872" s="121">
        <v>1</v>
      </c>
      <c r="D872" s="734">
        <v>5</v>
      </c>
      <c r="E872" s="733"/>
      <c r="BD872" s="138"/>
    </row>
    <row r="873" spans="2:56" ht="15.75">
      <c r="B873" s="121">
        <v>87</v>
      </c>
      <c r="C873" s="121">
        <v>1</v>
      </c>
      <c r="D873" s="734">
        <v>5</v>
      </c>
      <c r="E873" s="733"/>
      <c r="BD873" s="138"/>
    </row>
    <row r="874" spans="2:56" ht="15.75">
      <c r="B874" s="121">
        <v>88</v>
      </c>
      <c r="C874" s="121">
        <v>1</v>
      </c>
      <c r="D874" s="734">
        <v>5</v>
      </c>
      <c r="E874" s="733"/>
      <c r="BD874" s="138"/>
    </row>
    <row r="875" spans="2:56" ht="15.75">
      <c r="B875" s="121">
        <v>88</v>
      </c>
      <c r="C875" s="121">
        <v>2</v>
      </c>
      <c r="D875" s="734">
        <v>101.46486247430695</v>
      </c>
      <c r="E875" s="733"/>
      <c r="BD875" s="138"/>
    </row>
    <row r="876" spans="2:56" ht="15.75">
      <c r="B876" s="121">
        <v>88</v>
      </c>
      <c r="C876" s="121">
        <v>3</v>
      </c>
      <c r="D876" s="734">
        <v>122.11200441509783</v>
      </c>
      <c r="E876" s="733"/>
      <c r="BD876" s="138"/>
    </row>
    <row r="877" spans="2:56" ht="15.75">
      <c r="B877" s="121">
        <v>88</v>
      </c>
      <c r="C877" s="121">
        <v>4</v>
      </c>
      <c r="D877" s="734">
        <v>134.90131341031449</v>
      </c>
      <c r="E877" s="733"/>
      <c r="BD877" s="138"/>
    </row>
    <row r="878" spans="2:56" ht="15.75">
      <c r="B878" s="121">
        <v>88</v>
      </c>
      <c r="C878" s="121">
        <v>5</v>
      </c>
      <c r="D878" s="734">
        <v>146.44829562446992</v>
      </c>
      <c r="E878" s="733"/>
      <c r="BD878" s="138"/>
    </row>
    <row r="879" spans="2:56" ht="15.75">
      <c r="B879" s="121">
        <v>88</v>
      </c>
      <c r="C879" s="121">
        <v>6</v>
      </c>
      <c r="D879" s="734">
        <v>138.54123584622252</v>
      </c>
      <c r="E879" s="733"/>
      <c r="BD879" s="138"/>
    </row>
    <row r="880" spans="2:56" ht="15.75">
      <c r="B880" s="121">
        <v>88</v>
      </c>
      <c r="C880" s="121">
        <v>7</v>
      </c>
      <c r="D880" s="734">
        <v>136.67890086462208</v>
      </c>
      <c r="E880" s="733"/>
      <c r="BD880" s="138"/>
    </row>
    <row r="881" spans="2:56" ht="15.75">
      <c r="B881" s="121">
        <v>88</v>
      </c>
      <c r="C881" s="121">
        <v>8</v>
      </c>
      <c r="D881" s="734">
        <v>139.73111759938155</v>
      </c>
      <c r="E881" s="733"/>
      <c r="BD881" s="138"/>
    </row>
    <row r="882" spans="2:56" ht="15.75">
      <c r="B882" s="121">
        <v>88</v>
      </c>
      <c r="C882" s="121">
        <v>9</v>
      </c>
      <c r="D882" s="734">
        <v>140.69592982175917</v>
      </c>
      <c r="E882" s="733"/>
      <c r="BD882" s="138"/>
    </row>
    <row r="883" spans="2:56" ht="15.75">
      <c r="B883" s="121">
        <v>88</v>
      </c>
      <c r="C883" s="121">
        <v>10</v>
      </c>
      <c r="D883" s="734">
        <v>142.91262219553266</v>
      </c>
      <c r="E883" s="733"/>
      <c r="BD883" s="138"/>
    </row>
    <row r="884" spans="2:56" ht="15.75">
      <c r="B884" s="121">
        <v>88</v>
      </c>
      <c r="C884" s="121">
        <v>11</v>
      </c>
      <c r="D884" s="734">
        <v>142.50728821336324</v>
      </c>
      <c r="E884" s="733"/>
      <c r="BD884" s="138"/>
    </row>
    <row r="885" spans="2:56" ht="15.75">
      <c r="B885" s="121">
        <v>88</v>
      </c>
      <c r="C885" s="121">
        <v>12</v>
      </c>
      <c r="D885" s="734">
        <v>134.33333630168315</v>
      </c>
      <c r="E885" s="733"/>
      <c r="BD885" s="138"/>
    </row>
    <row r="886" spans="2:56" ht="15.75">
      <c r="B886" s="121">
        <v>88</v>
      </c>
      <c r="C886" s="121">
        <v>13</v>
      </c>
      <c r="D886" s="734">
        <v>138.8049738483528</v>
      </c>
      <c r="E886" s="733"/>
      <c r="BD886" s="138"/>
    </row>
    <row r="887" spans="2:56" ht="15.75">
      <c r="B887" s="121">
        <v>88</v>
      </c>
      <c r="C887" s="121">
        <v>14</v>
      </c>
      <c r="D887" s="734">
        <v>135.89235731562897</v>
      </c>
      <c r="E887" s="733"/>
      <c r="BD887" s="138"/>
    </row>
    <row r="888" spans="2:56" ht="15.75">
      <c r="B888" s="121">
        <v>88</v>
      </c>
      <c r="C888" s="121">
        <v>15</v>
      </c>
      <c r="D888" s="734">
        <v>142.05554332436824</v>
      </c>
      <c r="E888" s="733"/>
      <c r="BD888" s="138"/>
    </row>
    <row r="889" spans="2:56" ht="15.75">
      <c r="B889" s="121">
        <v>88</v>
      </c>
      <c r="C889" s="121">
        <v>16</v>
      </c>
      <c r="D889" s="734">
        <v>139.73264714278466</v>
      </c>
      <c r="E889" s="733"/>
      <c r="BD889" s="138"/>
    </row>
    <row r="890" spans="2:56" ht="15.75">
      <c r="B890" s="121">
        <v>88</v>
      </c>
      <c r="C890" s="121">
        <v>17</v>
      </c>
      <c r="D890" s="734">
        <v>146.51610699066779</v>
      </c>
      <c r="E890" s="733"/>
      <c r="BD890" s="138"/>
    </row>
    <row r="891" spans="2:56" ht="15.75">
      <c r="B891" s="121">
        <v>88</v>
      </c>
      <c r="C891" s="121">
        <v>18</v>
      </c>
      <c r="D891" s="734">
        <v>143.99584900332252</v>
      </c>
      <c r="E891" s="733"/>
      <c r="BD891" s="138"/>
    </row>
    <row r="892" spans="2:56" ht="15.75">
      <c r="B892" s="121">
        <v>88</v>
      </c>
      <c r="C892" s="121">
        <v>19</v>
      </c>
      <c r="D892" s="734">
        <v>143.82327410025769</v>
      </c>
      <c r="E892" s="733"/>
      <c r="BD892" s="138"/>
    </row>
    <row r="893" spans="2:56" ht="15.75">
      <c r="B893" s="121">
        <v>88</v>
      </c>
      <c r="C893" s="121">
        <v>20</v>
      </c>
      <c r="D893" s="734">
        <v>134.43363157353735</v>
      </c>
      <c r="E893" s="733"/>
      <c r="BD893" s="138"/>
    </row>
    <row r="894" spans="2:56" ht="15.75">
      <c r="B894" s="121">
        <v>88</v>
      </c>
      <c r="C894" s="121">
        <v>21</v>
      </c>
      <c r="D894" s="734">
        <v>138.45983271531327</v>
      </c>
      <c r="E894" s="733"/>
      <c r="BD894" s="138"/>
    </row>
    <row r="895" spans="2:56" ht="15.75">
      <c r="B895" s="121">
        <v>88</v>
      </c>
      <c r="C895" s="121">
        <v>22</v>
      </c>
      <c r="D895" s="734">
        <v>146.88557218393333</v>
      </c>
      <c r="E895" s="733"/>
      <c r="BD895" s="138"/>
    </row>
    <row r="896" spans="2:56" ht="15.75">
      <c r="B896" s="121">
        <v>88</v>
      </c>
      <c r="C896" s="121">
        <v>23</v>
      </c>
      <c r="D896" s="734">
        <v>140.74497089986602</v>
      </c>
      <c r="E896" s="733"/>
      <c r="BD896" s="138"/>
    </row>
    <row r="897" spans="2:56" ht="15.75">
      <c r="B897" s="121">
        <v>88</v>
      </c>
      <c r="C897" s="121">
        <v>24</v>
      </c>
      <c r="D897" s="734">
        <v>134.81087121086728</v>
      </c>
      <c r="E897" s="733"/>
      <c r="BD897" s="138"/>
    </row>
    <row r="898" spans="2:56" ht="15.75">
      <c r="B898" s="121">
        <v>88</v>
      </c>
      <c r="C898" s="121">
        <v>25</v>
      </c>
      <c r="D898" s="734">
        <v>144.23378252757004</v>
      </c>
      <c r="E898" s="733"/>
      <c r="BD898" s="138"/>
    </row>
    <row r="899" spans="2:56" ht="15.75">
      <c r="B899" s="121">
        <v>88</v>
      </c>
      <c r="C899" s="121">
        <v>26</v>
      </c>
      <c r="D899" s="734">
        <v>137.36193902923679</v>
      </c>
      <c r="E899" s="733"/>
      <c r="BD899" s="138"/>
    </row>
    <row r="900" spans="2:56" ht="15.75">
      <c r="B900" s="121">
        <v>88</v>
      </c>
      <c r="C900" s="121">
        <v>27</v>
      </c>
      <c r="D900" s="734">
        <v>134.77386949797929</v>
      </c>
      <c r="E900" s="733"/>
      <c r="BD900" s="138"/>
    </row>
    <row r="901" spans="2:56" ht="15.75">
      <c r="B901" s="121">
        <v>88</v>
      </c>
      <c r="C901" s="121">
        <v>28</v>
      </c>
      <c r="D901" s="734">
        <v>145.53267636515142</v>
      </c>
      <c r="E901" s="733"/>
      <c r="BD901" s="138"/>
    </row>
    <row r="902" spans="2:56" ht="15.75">
      <c r="B902" s="121">
        <v>88</v>
      </c>
      <c r="C902" s="121">
        <v>29</v>
      </c>
      <c r="D902" s="734">
        <v>143.75263360065864</v>
      </c>
      <c r="E902" s="733"/>
      <c r="BD902" s="138"/>
    </row>
    <row r="903" spans="2:56" ht="15.75">
      <c r="B903" s="121">
        <v>88</v>
      </c>
      <c r="C903" s="121">
        <v>30</v>
      </c>
      <c r="D903" s="734">
        <v>146.75126501227712</v>
      </c>
      <c r="E903" s="733"/>
      <c r="BD903" s="138"/>
    </row>
    <row r="904" spans="2:56" ht="15.75">
      <c r="B904" s="121">
        <v>88</v>
      </c>
      <c r="C904" s="121">
        <v>31</v>
      </c>
      <c r="D904" s="734">
        <v>137.92222795632694</v>
      </c>
      <c r="E904" s="733"/>
      <c r="BD904" s="138"/>
    </row>
    <row r="905" spans="2:56" ht="15.75">
      <c r="B905" s="121">
        <v>88</v>
      </c>
      <c r="C905" s="121">
        <v>32</v>
      </c>
      <c r="D905" s="734">
        <v>142.23667456638856</v>
      </c>
      <c r="E905" s="733"/>
      <c r="BD905" s="138"/>
    </row>
    <row r="906" spans="2:56" ht="15.75">
      <c r="B906" s="121">
        <v>88</v>
      </c>
      <c r="C906" s="121">
        <v>33</v>
      </c>
      <c r="D906" s="734">
        <v>146.65695366692444</v>
      </c>
      <c r="E906" s="733"/>
      <c r="BD906" s="138"/>
    </row>
    <row r="907" spans="2:56" ht="15.75">
      <c r="B907" s="121">
        <v>88</v>
      </c>
      <c r="C907" s="121">
        <v>34</v>
      </c>
      <c r="D907" s="734">
        <v>144.87279776310717</v>
      </c>
      <c r="E907" s="733"/>
      <c r="BD907" s="138"/>
    </row>
    <row r="908" spans="2:56" ht="15.75">
      <c r="B908" s="121">
        <v>88</v>
      </c>
      <c r="C908" s="121">
        <v>35</v>
      </c>
      <c r="D908" s="734">
        <v>136.73804122311677</v>
      </c>
      <c r="E908" s="733"/>
      <c r="BD908" s="138"/>
    </row>
    <row r="909" spans="2:56" ht="15.75">
      <c r="B909" s="121">
        <v>88</v>
      </c>
      <c r="C909" s="121">
        <v>36</v>
      </c>
      <c r="D909" s="734">
        <v>145.70883831984906</v>
      </c>
      <c r="E909" s="733"/>
      <c r="BD909" s="138"/>
    </row>
    <row r="910" spans="2:56" ht="15.75">
      <c r="B910" s="121">
        <v>89</v>
      </c>
      <c r="C910" s="121">
        <v>1</v>
      </c>
      <c r="D910" s="734">
        <v>5</v>
      </c>
      <c r="E910" s="733"/>
      <c r="BD910" s="138"/>
    </row>
    <row r="911" spans="2:56" ht="15.75">
      <c r="B911" s="121">
        <v>90</v>
      </c>
      <c r="C911" s="121">
        <v>1</v>
      </c>
      <c r="D911" s="734">
        <v>5</v>
      </c>
      <c r="E911" s="733"/>
      <c r="BD911" s="138"/>
    </row>
    <row r="912" spans="2:56" ht="15.75">
      <c r="B912" s="121">
        <v>90</v>
      </c>
      <c r="C912" s="121">
        <v>2</v>
      </c>
      <c r="D912" s="734">
        <v>98.776418862129034</v>
      </c>
      <c r="E912" s="733"/>
      <c r="BD912" s="138"/>
    </row>
    <row r="913" spans="2:56" ht="15.75">
      <c r="B913" s="121">
        <v>90</v>
      </c>
      <c r="C913" s="121">
        <v>3</v>
      </c>
      <c r="D913" s="734">
        <v>122.8852117472391</v>
      </c>
      <c r="E913" s="733"/>
      <c r="BD913" s="138"/>
    </row>
    <row r="914" spans="2:56" ht="15.75">
      <c r="B914" s="121">
        <v>90</v>
      </c>
      <c r="C914" s="121">
        <v>4</v>
      </c>
      <c r="D914" s="734">
        <v>144.96178279026242</v>
      </c>
      <c r="E914" s="733"/>
      <c r="BD914" s="138"/>
    </row>
    <row r="915" spans="2:56" ht="15.75">
      <c r="B915" s="121">
        <v>90</v>
      </c>
      <c r="C915" s="121">
        <v>5</v>
      </c>
      <c r="D915" s="734">
        <v>137.54677116573865</v>
      </c>
      <c r="E915" s="733"/>
      <c r="BD915" s="138"/>
    </row>
    <row r="916" spans="2:56" ht="15.75">
      <c r="B916" s="121">
        <v>90</v>
      </c>
      <c r="C916" s="121">
        <v>6</v>
      </c>
      <c r="D916" s="734">
        <v>135.6047821569621</v>
      </c>
      <c r="E916" s="733"/>
      <c r="BD916" s="138"/>
    </row>
    <row r="917" spans="2:56" ht="15.75">
      <c r="B917" s="121">
        <v>90</v>
      </c>
      <c r="C917" s="121">
        <v>7</v>
      </c>
      <c r="D917" s="734">
        <v>137.79086992643258</v>
      </c>
      <c r="E917" s="733"/>
      <c r="BD917" s="138"/>
    </row>
    <row r="918" spans="2:56" ht="15.75">
      <c r="B918" s="121">
        <v>90</v>
      </c>
      <c r="C918" s="121">
        <v>8</v>
      </c>
      <c r="D918" s="734">
        <v>138.90376998070397</v>
      </c>
      <c r="E918" s="733"/>
      <c r="BD918" s="138"/>
    </row>
    <row r="919" spans="2:56" ht="15.75">
      <c r="B919" s="121">
        <v>91</v>
      </c>
      <c r="C919" s="121">
        <v>1</v>
      </c>
      <c r="D919" s="734">
        <v>5</v>
      </c>
      <c r="E919" s="733"/>
      <c r="BD919" s="138"/>
    </row>
    <row r="920" spans="2:56" ht="15.75">
      <c r="B920" s="121">
        <v>91</v>
      </c>
      <c r="C920" s="121">
        <v>2</v>
      </c>
      <c r="D920" s="734">
        <v>100.56997098307636</v>
      </c>
      <c r="E920" s="733"/>
      <c r="BD920" s="138"/>
    </row>
    <row r="921" spans="2:56" ht="15.75">
      <c r="B921" s="121">
        <v>91</v>
      </c>
      <c r="C921" s="121">
        <v>3</v>
      </c>
      <c r="D921" s="734">
        <v>118.00183530746656</v>
      </c>
      <c r="E921" s="733"/>
      <c r="BD921" s="138"/>
    </row>
    <row r="922" spans="2:56" ht="15.75">
      <c r="B922" s="121">
        <v>91</v>
      </c>
      <c r="C922" s="121">
        <v>4</v>
      </c>
      <c r="D922" s="734">
        <v>143.30453035267558</v>
      </c>
      <c r="E922" s="733"/>
      <c r="BD922" s="138"/>
    </row>
    <row r="923" spans="2:56" ht="15.75">
      <c r="B923" s="121">
        <v>91</v>
      </c>
      <c r="C923" s="121">
        <v>5</v>
      </c>
      <c r="D923" s="734">
        <v>137.55983632168108</v>
      </c>
      <c r="E923" s="733"/>
      <c r="BD923" s="138"/>
    </row>
    <row r="924" spans="2:56" ht="15.75">
      <c r="B924" s="121">
        <v>91</v>
      </c>
      <c r="C924" s="121">
        <v>6</v>
      </c>
      <c r="D924" s="734">
        <v>138.2128210707271</v>
      </c>
      <c r="E924" s="733"/>
      <c r="BD924" s="138"/>
    </row>
    <row r="925" spans="2:56" ht="15.75">
      <c r="B925" s="121">
        <v>91</v>
      </c>
      <c r="C925" s="121">
        <v>7</v>
      </c>
      <c r="D925" s="734">
        <v>145.47264309016768</v>
      </c>
      <c r="E925" s="733"/>
      <c r="BD925" s="138"/>
    </row>
    <row r="926" spans="2:56" ht="15.75">
      <c r="B926" s="121">
        <v>91</v>
      </c>
      <c r="C926" s="121">
        <v>8</v>
      </c>
      <c r="D926" s="734">
        <v>144.75863860738932</v>
      </c>
      <c r="E926" s="733"/>
      <c r="BD926" s="138"/>
    </row>
    <row r="927" spans="2:56" ht="15.75">
      <c r="B927" s="121">
        <v>91</v>
      </c>
      <c r="C927" s="121">
        <v>9</v>
      </c>
      <c r="D927" s="734">
        <v>145.63124738377573</v>
      </c>
      <c r="E927" s="733"/>
      <c r="BD927" s="138"/>
    </row>
    <row r="928" spans="2:56" ht="15.75">
      <c r="B928" s="121">
        <v>91</v>
      </c>
      <c r="C928" s="121">
        <v>10</v>
      </c>
      <c r="D928" s="734">
        <v>135.72708339009085</v>
      </c>
      <c r="E928" s="733"/>
      <c r="BD928" s="138"/>
    </row>
    <row r="929" spans="2:56" ht="15.75">
      <c r="B929" s="121">
        <v>91</v>
      </c>
      <c r="C929" s="121">
        <v>11</v>
      </c>
      <c r="D929" s="734">
        <v>134.81387489260712</v>
      </c>
      <c r="E929" s="733"/>
      <c r="BD929" s="138"/>
    </row>
    <row r="930" spans="2:56" ht="15.75">
      <c r="B930" s="121">
        <v>91</v>
      </c>
      <c r="C930" s="121">
        <v>12</v>
      </c>
      <c r="D930" s="734">
        <v>136.8658578681607</v>
      </c>
      <c r="E930" s="733"/>
      <c r="BD930" s="138"/>
    </row>
    <row r="931" spans="2:56" ht="15.75">
      <c r="B931" s="121">
        <v>91</v>
      </c>
      <c r="C931" s="121">
        <v>13</v>
      </c>
      <c r="D931" s="734">
        <v>146.52029007860216</v>
      </c>
      <c r="E931" s="733"/>
      <c r="BD931" s="138"/>
    </row>
    <row r="932" spans="2:56" ht="15.75">
      <c r="B932" s="121">
        <v>91</v>
      </c>
      <c r="C932" s="121">
        <v>14</v>
      </c>
      <c r="D932" s="734">
        <v>141.28271838729427</v>
      </c>
      <c r="E932" s="733"/>
      <c r="BD932" s="138"/>
    </row>
    <row r="933" spans="2:56" ht="15.75">
      <c r="B933" s="121">
        <v>91</v>
      </c>
      <c r="C933" s="121">
        <v>15</v>
      </c>
      <c r="D933" s="734">
        <v>139.04445761078281</v>
      </c>
      <c r="E933" s="733"/>
      <c r="BD933" s="138"/>
    </row>
    <row r="934" spans="2:56" ht="15.75">
      <c r="B934" s="121">
        <v>91</v>
      </c>
      <c r="C934" s="121">
        <v>16</v>
      </c>
      <c r="D934" s="734">
        <v>145.45990484798557</v>
      </c>
      <c r="E934" s="733"/>
      <c r="BD934" s="138"/>
    </row>
    <row r="935" spans="2:56" ht="15.75">
      <c r="B935" s="121">
        <v>91</v>
      </c>
      <c r="C935" s="121">
        <v>17</v>
      </c>
      <c r="D935" s="734">
        <v>147.0624105008994</v>
      </c>
      <c r="E935" s="733"/>
      <c r="BD935" s="138"/>
    </row>
    <row r="936" spans="2:56" ht="15.75">
      <c r="B936" s="121">
        <v>92</v>
      </c>
      <c r="C936" s="121">
        <v>1</v>
      </c>
      <c r="D936" s="734">
        <v>5</v>
      </c>
      <c r="E936" s="733"/>
      <c r="BD936" s="138"/>
    </row>
    <row r="937" spans="2:56" ht="15.75">
      <c r="B937" s="121">
        <v>92</v>
      </c>
      <c r="C937" s="121">
        <v>2</v>
      </c>
      <c r="D937" s="734">
        <v>102.61696040271515</v>
      </c>
      <c r="E937" s="733"/>
      <c r="BD937" s="138"/>
    </row>
    <row r="938" spans="2:56" ht="15.75">
      <c r="B938" s="121">
        <v>92</v>
      </c>
      <c r="C938" s="121">
        <v>3</v>
      </c>
      <c r="D938" s="734">
        <v>117.85737254748945</v>
      </c>
      <c r="E938" s="733"/>
      <c r="BD938" s="138"/>
    </row>
    <row r="939" spans="2:56" ht="15.75">
      <c r="B939" s="121">
        <v>92</v>
      </c>
      <c r="C939" s="121">
        <v>4</v>
      </c>
      <c r="D939" s="734">
        <v>140.65056047985644</v>
      </c>
      <c r="E939" s="733"/>
      <c r="BD939" s="138"/>
    </row>
    <row r="940" spans="2:56" ht="15.75">
      <c r="B940" s="121">
        <v>92</v>
      </c>
      <c r="C940" s="121">
        <v>5</v>
      </c>
      <c r="D940" s="734">
        <v>143.79524689719966</v>
      </c>
      <c r="E940" s="733"/>
      <c r="BD940" s="138"/>
    </row>
    <row r="941" spans="2:56" ht="15.75">
      <c r="B941" s="121">
        <v>92</v>
      </c>
      <c r="C941" s="121">
        <v>6</v>
      </c>
      <c r="D941" s="734">
        <v>145.58092616421817</v>
      </c>
      <c r="E941" s="733"/>
      <c r="BD941" s="138"/>
    </row>
    <row r="942" spans="2:56" ht="15.75">
      <c r="B942" s="121">
        <v>92</v>
      </c>
      <c r="C942" s="121">
        <v>7</v>
      </c>
      <c r="D942" s="734">
        <v>137.24738615010779</v>
      </c>
      <c r="E942" s="733"/>
      <c r="BD942" s="138"/>
    </row>
    <row r="943" spans="2:56" ht="15.75">
      <c r="B943" s="121">
        <v>93</v>
      </c>
      <c r="C943" s="121">
        <v>1</v>
      </c>
      <c r="D943" s="734">
        <v>5</v>
      </c>
      <c r="E943" s="733"/>
      <c r="BD943" s="138"/>
    </row>
    <row r="944" spans="2:56" ht="15.75">
      <c r="B944" s="121">
        <v>93</v>
      </c>
      <c r="C944" s="121">
        <v>2</v>
      </c>
      <c r="D944" s="734">
        <v>97.037203828061706</v>
      </c>
      <c r="E944" s="733"/>
      <c r="BD944" s="138"/>
    </row>
    <row r="945" spans="2:56" ht="15.75">
      <c r="B945" s="121">
        <v>93</v>
      </c>
      <c r="C945" s="121">
        <v>3</v>
      </c>
      <c r="D945" s="734">
        <v>117.97661932446916</v>
      </c>
      <c r="E945" s="733"/>
      <c r="BD945" s="138"/>
    </row>
    <row r="946" spans="2:56" ht="15.75">
      <c r="B946" s="121">
        <v>93</v>
      </c>
      <c r="C946" s="121">
        <v>4</v>
      </c>
      <c r="D946" s="734">
        <v>134.82956824605816</v>
      </c>
      <c r="E946" s="733"/>
      <c r="BD946" s="138"/>
    </row>
    <row r="947" spans="2:56" ht="15.75">
      <c r="B947" s="121">
        <v>93</v>
      </c>
      <c r="C947" s="121">
        <v>5</v>
      </c>
      <c r="D947" s="734">
        <v>145.43177668511925</v>
      </c>
      <c r="E947" s="733"/>
      <c r="BD947" s="138"/>
    </row>
    <row r="948" spans="2:56" ht="15.75">
      <c r="B948" s="121">
        <v>93</v>
      </c>
      <c r="C948" s="121">
        <v>6</v>
      </c>
      <c r="D948" s="734">
        <v>145.03443738795931</v>
      </c>
      <c r="E948" s="733"/>
      <c r="BD948" s="138"/>
    </row>
    <row r="949" spans="2:56" ht="15.75">
      <c r="B949" s="121">
        <v>93</v>
      </c>
      <c r="C949" s="121">
        <v>7</v>
      </c>
      <c r="D949" s="734">
        <v>144.67543789939108</v>
      </c>
      <c r="E949" s="733"/>
      <c r="BD949" s="138"/>
    </row>
    <row r="950" spans="2:56" ht="15.75">
      <c r="B950" s="121">
        <v>93</v>
      </c>
      <c r="C950" s="121">
        <v>8</v>
      </c>
      <c r="D950" s="734">
        <v>146.58029481772192</v>
      </c>
      <c r="E950" s="733"/>
      <c r="BD950" s="138"/>
    </row>
    <row r="951" spans="2:56" ht="15.75">
      <c r="B951" s="121">
        <v>93</v>
      </c>
      <c r="C951" s="121">
        <v>9</v>
      </c>
      <c r="D951" s="734">
        <v>138.88460970770626</v>
      </c>
      <c r="E951" s="733"/>
      <c r="BD951" s="138"/>
    </row>
    <row r="952" spans="2:56" ht="15.75">
      <c r="B952" s="121">
        <v>93</v>
      </c>
      <c r="C952" s="121">
        <v>10</v>
      </c>
      <c r="D952" s="734">
        <v>146.80511968887268</v>
      </c>
      <c r="E952" s="733"/>
      <c r="BD952" s="138"/>
    </row>
    <row r="953" spans="2:56" ht="15.75">
      <c r="B953" s="121">
        <v>93</v>
      </c>
      <c r="C953" s="121">
        <v>11</v>
      </c>
      <c r="D953" s="734">
        <v>145.78788742206279</v>
      </c>
      <c r="E953" s="733"/>
      <c r="BD953" s="138"/>
    </row>
    <row r="954" spans="2:56" ht="15.75">
      <c r="B954" s="121">
        <v>93</v>
      </c>
      <c r="C954" s="121">
        <v>12</v>
      </c>
      <c r="D954" s="734">
        <v>142.99704407760845</v>
      </c>
      <c r="E954" s="733"/>
      <c r="BD954" s="138"/>
    </row>
    <row r="955" spans="2:56" ht="15.75">
      <c r="B955" s="121">
        <v>93</v>
      </c>
      <c r="C955" s="121">
        <v>13</v>
      </c>
      <c r="D955" s="734">
        <v>138.71519198348673</v>
      </c>
      <c r="E955" s="733"/>
      <c r="BD955" s="138"/>
    </row>
    <row r="956" spans="2:56" ht="15.75">
      <c r="B956" s="121">
        <v>93</v>
      </c>
      <c r="C956" s="121">
        <v>14</v>
      </c>
      <c r="D956" s="734">
        <v>141.86675229454292</v>
      </c>
      <c r="E956" s="733"/>
      <c r="BD956" s="138"/>
    </row>
    <row r="957" spans="2:56" ht="15.75">
      <c r="B957" s="121">
        <v>93</v>
      </c>
      <c r="C957" s="121">
        <v>15</v>
      </c>
      <c r="D957" s="734">
        <v>140.71403601054323</v>
      </c>
      <c r="E957" s="733"/>
      <c r="BD957" s="138"/>
    </row>
    <row r="958" spans="2:56" ht="15.75">
      <c r="B958" s="121">
        <v>93</v>
      </c>
      <c r="C958" s="121">
        <v>16</v>
      </c>
      <c r="D958" s="734">
        <v>147.00417952258377</v>
      </c>
      <c r="E958" s="733"/>
      <c r="BD958" s="138"/>
    </row>
    <row r="959" spans="2:56" ht="15.75">
      <c r="B959" s="121">
        <v>94</v>
      </c>
      <c r="C959" s="121">
        <v>1</v>
      </c>
      <c r="D959" s="734">
        <v>5</v>
      </c>
      <c r="E959" s="733"/>
      <c r="BD959" s="138"/>
    </row>
    <row r="960" spans="2:56" ht="15.75">
      <c r="B960" s="121">
        <v>94</v>
      </c>
      <c r="C960" s="121">
        <v>2</v>
      </c>
      <c r="D960" s="734">
        <v>97.023976596348604</v>
      </c>
      <c r="E960" s="733"/>
      <c r="BD960" s="138"/>
    </row>
    <row r="961" spans="2:56" ht="15.75">
      <c r="B961" s="121">
        <v>94</v>
      </c>
      <c r="C961" s="121">
        <v>3</v>
      </c>
      <c r="D961" s="734">
        <v>123.23069063613762</v>
      </c>
      <c r="E961" s="733"/>
      <c r="BD961" s="138"/>
    </row>
    <row r="962" spans="2:56" ht="15.75">
      <c r="B962" s="121">
        <v>94</v>
      </c>
      <c r="C962" s="121">
        <v>4</v>
      </c>
      <c r="D962" s="734">
        <v>139.79830018095547</v>
      </c>
      <c r="E962" s="733"/>
      <c r="BD962" s="138"/>
    </row>
    <row r="963" spans="2:56" ht="15.75">
      <c r="B963" s="121">
        <v>94</v>
      </c>
      <c r="C963" s="121">
        <v>5</v>
      </c>
      <c r="D963" s="734">
        <v>138.8220219479154</v>
      </c>
      <c r="E963" s="733"/>
      <c r="BD963" s="138"/>
    </row>
    <row r="964" spans="2:56" ht="15.75">
      <c r="B964" s="121">
        <v>94</v>
      </c>
      <c r="C964" s="121">
        <v>6</v>
      </c>
      <c r="D964" s="734">
        <v>137.82148067728957</v>
      </c>
      <c r="E964" s="733"/>
      <c r="BD964" s="138"/>
    </row>
    <row r="965" spans="2:56" ht="15.75">
      <c r="B965" s="121">
        <v>94</v>
      </c>
      <c r="C965" s="121">
        <v>7</v>
      </c>
      <c r="D965" s="734">
        <v>136.95625159571199</v>
      </c>
      <c r="E965" s="733"/>
      <c r="BD965" s="138"/>
    </row>
    <row r="966" spans="2:56" ht="15.75">
      <c r="B966" s="121">
        <v>94</v>
      </c>
      <c r="C966" s="121">
        <v>8</v>
      </c>
      <c r="D966" s="734">
        <v>143.77037218807146</v>
      </c>
      <c r="E966" s="733"/>
      <c r="BD966" s="138"/>
    </row>
    <row r="967" spans="2:56" ht="15.75">
      <c r="B967" s="121">
        <v>94</v>
      </c>
      <c r="C967" s="121">
        <v>9</v>
      </c>
      <c r="D967" s="734">
        <v>136.18690775411113</v>
      </c>
      <c r="E967" s="733"/>
      <c r="BD967" s="138"/>
    </row>
    <row r="968" spans="2:56" ht="15.75">
      <c r="B968" s="121">
        <v>94</v>
      </c>
      <c r="C968" s="121">
        <v>10</v>
      </c>
      <c r="D968" s="734">
        <v>144.52144886054515</v>
      </c>
      <c r="E968" s="733"/>
      <c r="BD968" s="138"/>
    </row>
    <row r="969" spans="2:56" ht="15.75">
      <c r="B969" s="121">
        <v>94</v>
      </c>
      <c r="C969" s="121">
        <v>11</v>
      </c>
      <c r="D969" s="734">
        <v>140.24010132877962</v>
      </c>
      <c r="E969" s="733"/>
      <c r="BD969" s="138"/>
    </row>
    <row r="970" spans="2:56" ht="15.75">
      <c r="B970" s="121">
        <v>94</v>
      </c>
      <c r="C970" s="121">
        <v>12</v>
      </c>
      <c r="D970" s="734">
        <v>140.44276971108533</v>
      </c>
      <c r="E970" s="733"/>
      <c r="BD970" s="138"/>
    </row>
    <row r="971" spans="2:56" ht="15.75">
      <c r="B971" s="121">
        <v>94</v>
      </c>
      <c r="C971" s="121">
        <v>13</v>
      </c>
      <c r="D971" s="734">
        <v>140.96709308008391</v>
      </c>
      <c r="E971" s="733"/>
      <c r="BD971" s="138"/>
    </row>
    <row r="972" spans="2:56" ht="15.75">
      <c r="B972" s="121">
        <v>95</v>
      </c>
      <c r="C972" s="121">
        <v>1</v>
      </c>
      <c r="D972" s="734">
        <v>5</v>
      </c>
      <c r="E972" s="733"/>
      <c r="BD972" s="138"/>
    </row>
    <row r="973" spans="2:56" ht="15.75">
      <c r="B973" s="121">
        <v>96</v>
      </c>
      <c r="C973" s="121">
        <v>1</v>
      </c>
      <c r="D973" s="734">
        <v>5</v>
      </c>
      <c r="E973" s="733"/>
      <c r="BD973" s="138"/>
    </row>
    <row r="974" spans="2:56" ht="15.75">
      <c r="B974" s="121">
        <v>96</v>
      </c>
      <c r="C974" s="121">
        <v>2</v>
      </c>
      <c r="D974" s="734">
        <v>95.330555311987908</v>
      </c>
      <c r="E974" s="733"/>
      <c r="BD974" s="138"/>
    </row>
    <row r="975" spans="2:56" ht="15.75">
      <c r="B975" s="121">
        <v>96</v>
      </c>
      <c r="C975" s="121">
        <v>3</v>
      </c>
      <c r="D975" s="734">
        <v>115.73914717872488</v>
      </c>
      <c r="E975" s="733"/>
      <c r="BD975" s="138"/>
    </row>
    <row r="976" spans="2:56" ht="15.75">
      <c r="B976" s="121">
        <v>96</v>
      </c>
      <c r="C976" s="121">
        <v>4</v>
      </c>
      <c r="D976" s="734">
        <v>145.24753410187114</v>
      </c>
      <c r="E976" s="733"/>
      <c r="BD976" s="138"/>
    </row>
    <row r="977" spans="2:56" ht="15.75">
      <c r="B977" s="121">
        <v>96</v>
      </c>
      <c r="C977" s="121">
        <v>5</v>
      </c>
      <c r="D977" s="734">
        <v>139.31548046392754</v>
      </c>
      <c r="E977" s="733"/>
      <c r="BD977" s="138"/>
    </row>
    <row r="978" spans="2:56" ht="15.75">
      <c r="B978" s="121">
        <v>96</v>
      </c>
      <c r="C978" s="121">
        <v>6</v>
      </c>
      <c r="D978" s="734">
        <v>145.33000853055881</v>
      </c>
      <c r="E978" s="733"/>
      <c r="BD978" s="138"/>
    </row>
    <row r="979" spans="2:56" ht="15.75">
      <c r="B979" s="121">
        <v>97</v>
      </c>
      <c r="C979" s="121">
        <v>1</v>
      </c>
      <c r="D979" s="734">
        <v>5</v>
      </c>
      <c r="E979" s="733"/>
      <c r="BD979" s="138"/>
    </row>
    <row r="980" spans="2:56" ht="15.75">
      <c r="B980" s="121">
        <v>98</v>
      </c>
      <c r="C980" s="121">
        <v>1</v>
      </c>
      <c r="D980" s="734">
        <v>5</v>
      </c>
      <c r="E980" s="733"/>
      <c r="BD980" s="138"/>
    </row>
    <row r="981" spans="2:56" ht="15.75">
      <c r="B981" s="121">
        <v>98</v>
      </c>
      <c r="C981" s="121">
        <v>2</v>
      </c>
      <c r="D981" s="734">
        <v>94.575489345061769</v>
      </c>
      <c r="E981" s="733"/>
      <c r="BD981" s="138"/>
    </row>
    <row r="982" spans="2:56" ht="15.75">
      <c r="B982" s="121">
        <v>98</v>
      </c>
      <c r="C982" s="121">
        <v>3</v>
      </c>
      <c r="D982" s="734">
        <v>116.20437903885478</v>
      </c>
      <c r="E982" s="733"/>
      <c r="BD982" s="138"/>
    </row>
    <row r="983" spans="2:56" ht="15.75">
      <c r="B983" s="121">
        <v>98</v>
      </c>
      <c r="C983" s="121">
        <v>4</v>
      </c>
      <c r="D983" s="734">
        <v>142.64998677753766</v>
      </c>
      <c r="E983" s="733"/>
      <c r="BD983" s="138"/>
    </row>
    <row r="984" spans="2:56" ht="15.75">
      <c r="B984" s="121">
        <v>98</v>
      </c>
      <c r="C984" s="121">
        <v>5</v>
      </c>
      <c r="D984" s="734">
        <v>135.84689952765373</v>
      </c>
      <c r="E984" s="733"/>
      <c r="BD984" s="138"/>
    </row>
    <row r="985" spans="2:56" ht="15.75">
      <c r="B985" s="121">
        <v>99</v>
      </c>
      <c r="C985" s="121">
        <v>1</v>
      </c>
      <c r="D985" s="734">
        <v>5</v>
      </c>
      <c r="E985" s="733"/>
      <c r="BD985" s="138"/>
    </row>
    <row r="986" spans="2:56" ht="15.75">
      <c r="B986" s="121">
        <v>99</v>
      </c>
      <c r="C986" s="121">
        <v>2</v>
      </c>
      <c r="D986" s="734">
        <v>103.00804338383405</v>
      </c>
      <c r="E986" s="733"/>
      <c r="BD986" s="138"/>
    </row>
    <row r="987" spans="2:56" ht="15.75">
      <c r="B987" s="121">
        <v>99</v>
      </c>
      <c r="C987" s="121">
        <v>3</v>
      </c>
      <c r="D987" s="734">
        <v>116.325016732826</v>
      </c>
      <c r="E987" s="733"/>
      <c r="BD987" s="138"/>
    </row>
    <row r="988" spans="2:56" ht="15.75">
      <c r="B988" s="121">
        <v>99</v>
      </c>
      <c r="C988" s="121">
        <v>4</v>
      </c>
      <c r="D988" s="734">
        <v>146.79336597285641</v>
      </c>
      <c r="E988" s="733"/>
      <c r="BD988" s="138"/>
    </row>
    <row r="989" spans="2:56" ht="15.75">
      <c r="B989" s="121">
        <v>99</v>
      </c>
      <c r="C989" s="121">
        <v>5</v>
      </c>
      <c r="D989" s="734">
        <v>136.78227292782907</v>
      </c>
      <c r="E989" s="733"/>
      <c r="BD989" s="138"/>
    </row>
    <row r="990" spans="2:56" ht="15.75">
      <c r="B990" s="121">
        <v>99</v>
      </c>
      <c r="C990" s="121">
        <v>6</v>
      </c>
      <c r="D990" s="734">
        <v>138.82631258243742</v>
      </c>
      <c r="E990" s="733"/>
      <c r="BD990" s="138"/>
    </row>
    <row r="991" spans="2:56" ht="15.75">
      <c r="B991" s="121">
        <v>99</v>
      </c>
      <c r="C991" s="121">
        <v>7</v>
      </c>
      <c r="D991" s="734">
        <v>136.9317395463344</v>
      </c>
      <c r="E991" s="733"/>
      <c r="BD991" s="138"/>
    </row>
    <row r="992" spans="2:56" ht="15.75">
      <c r="B992" s="121">
        <v>99</v>
      </c>
      <c r="C992" s="121">
        <v>8</v>
      </c>
      <c r="D992" s="734">
        <v>146.95990808633906</v>
      </c>
      <c r="E992" s="733"/>
      <c r="BD992" s="138"/>
    </row>
    <row r="993" spans="2:56" ht="15.75">
      <c r="B993" s="121">
        <v>99</v>
      </c>
      <c r="C993" s="121">
        <v>9</v>
      </c>
      <c r="D993" s="734">
        <v>139.80714643348296</v>
      </c>
      <c r="E993" s="733"/>
      <c r="BD993" s="138"/>
    </row>
    <row r="994" spans="2:56" ht="15.75">
      <c r="B994" s="121">
        <v>99</v>
      </c>
      <c r="C994" s="121">
        <v>10</v>
      </c>
      <c r="D994" s="734">
        <v>134.68868118053902</v>
      </c>
      <c r="E994" s="733"/>
      <c r="BD994" s="138"/>
    </row>
    <row r="995" spans="2:56" ht="15.75">
      <c r="B995" s="121">
        <v>99</v>
      </c>
      <c r="C995" s="121">
        <v>11</v>
      </c>
      <c r="D995" s="734">
        <v>136.51599517380731</v>
      </c>
      <c r="E995" s="733"/>
      <c r="BD995" s="138"/>
    </row>
    <row r="996" spans="2:56" ht="15.75">
      <c r="B996" s="121">
        <v>99</v>
      </c>
      <c r="C996" s="121">
        <v>12</v>
      </c>
      <c r="D996" s="734">
        <v>143.85580609161343</v>
      </c>
      <c r="E996" s="733"/>
      <c r="BD996" s="138"/>
    </row>
    <row r="997" spans="2:56" ht="15.75">
      <c r="B997" s="121">
        <v>99</v>
      </c>
      <c r="C997" s="121">
        <v>13</v>
      </c>
      <c r="D997" s="734">
        <v>134.01264593844328</v>
      </c>
      <c r="E997" s="733"/>
      <c r="BD997" s="138"/>
    </row>
    <row r="998" spans="2:56" ht="15.75">
      <c r="B998" s="121">
        <v>99</v>
      </c>
      <c r="C998" s="121">
        <v>14</v>
      </c>
      <c r="D998" s="734">
        <v>137.66378836965453</v>
      </c>
      <c r="E998" s="733"/>
      <c r="BD998" s="138"/>
    </row>
    <row r="999" spans="2:56" ht="15.75">
      <c r="B999" s="121">
        <v>99</v>
      </c>
      <c r="C999" s="121">
        <v>15</v>
      </c>
      <c r="D999" s="734">
        <v>141.49181517349317</v>
      </c>
      <c r="E999" s="733"/>
      <c r="BD999" s="138"/>
    </row>
    <row r="1000" spans="2:56" ht="15.75">
      <c r="B1000" s="121">
        <v>99</v>
      </c>
      <c r="C1000" s="121">
        <v>16</v>
      </c>
      <c r="D1000" s="734">
        <v>133.94001770632738</v>
      </c>
      <c r="E1000" s="733"/>
      <c r="BD1000" s="138"/>
    </row>
    <row r="1001" spans="2:56" ht="15.75">
      <c r="B1001" s="121">
        <v>99</v>
      </c>
      <c r="C1001" s="121">
        <v>17</v>
      </c>
      <c r="D1001" s="734">
        <v>134.57541443845128</v>
      </c>
      <c r="E1001" s="733"/>
      <c r="BD1001" s="138"/>
    </row>
    <row r="1002" spans="2:56" ht="15.75">
      <c r="B1002" s="121">
        <v>99</v>
      </c>
      <c r="C1002" s="121">
        <v>18</v>
      </c>
      <c r="D1002" s="734">
        <v>140.50350693278611</v>
      </c>
      <c r="E1002" s="733"/>
      <c r="BD1002" s="138"/>
    </row>
    <row r="1003" spans="2:56" ht="15.75">
      <c r="B1003" s="121">
        <v>99</v>
      </c>
      <c r="C1003" s="121">
        <v>19</v>
      </c>
      <c r="D1003" s="734">
        <v>139.8828311306232</v>
      </c>
      <c r="E1003" s="733"/>
      <c r="BD1003" s="138"/>
    </row>
    <row r="1004" spans="2:56" ht="15.75">
      <c r="B1004" s="121">
        <v>99</v>
      </c>
      <c r="C1004" s="121">
        <v>20</v>
      </c>
      <c r="D1004" s="734">
        <v>134.20840040564042</v>
      </c>
      <c r="E1004" s="733"/>
      <c r="BD1004" s="138"/>
    </row>
    <row r="1005" spans="2:56" ht="15.75">
      <c r="B1005" s="121">
        <v>99</v>
      </c>
      <c r="C1005" s="121">
        <v>21</v>
      </c>
      <c r="D1005" s="734">
        <v>136.54908691252959</v>
      </c>
      <c r="E1005" s="733"/>
      <c r="BD1005" s="138"/>
    </row>
    <row r="1006" spans="2:56" ht="15.75">
      <c r="B1006" s="121">
        <v>99</v>
      </c>
      <c r="C1006" s="121">
        <v>22</v>
      </c>
      <c r="D1006" s="734">
        <v>140.45450905228407</v>
      </c>
      <c r="E1006" s="733"/>
      <c r="BD1006" s="138"/>
    </row>
    <row r="1007" spans="2:56" ht="15.75">
      <c r="B1007" s="121">
        <v>99</v>
      </c>
      <c r="C1007" s="121">
        <v>23</v>
      </c>
      <c r="D1007" s="734">
        <v>142.89433043809558</v>
      </c>
      <c r="E1007" s="733"/>
      <c r="BD1007" s="138"/>
    </row>
    <row r="1008" spans="2:56" ht="15.75">
      <c r="B1008" s="121">
        <v>99</v>
      </c>
      <c r="C1008" s="121">
        <v>24</v>
      </c>
      <c r="D1008" s="734">
        <v>134.27374372087277</v>
      </c>
      <c r="E1008" s="733"/>
      <c r="BD1008" s="138"/>
    </row>
    <row r="1009" spans="2:56" ht="15.75">
      <c r="B1009" s="121">
        <v>99</v>
      </c>
      <c r="C1009" s="121">
        <v>25</v>
      </c>
      <c r="D1009" s="734">
        <v>141.70216850224253</v>
      </c>
      <c r="E1009" s="733"/>
      <c r="BD1009" s="138"/>
    </row>
    <row r="1010" spans="2:56" ht="15.75">
      <c r="B1010" s="121">
        <v>99</v>
      </c>
      <c r="C1010" s="121">
        <v>26</v>
      </c>
      <c r="D1010" s="734">
        <v>134.30068855197854</v>
      </c>
      <c r="E1010" s="733"/>
      <c r="BD1010" s="138"/>
    </row>
    <row r="1011" spans="2:56" ht="15.75">
      <c r="B1011" s="121">
        <v>99</v>
      </c>
      <c r="C1011" s="121">
        <v>27</v>
      </c>
      <c r="D1011" s="734">
        <v>146.93812819758642</v>
      </c>
      <c r="E1011" s="733"/>
      <c r="BD1011" s="138"/>
    </row>
    <row r="1012" spans="2:56" ht="15.75">
      <c r="B1012" s="121">
        <v>99</v>
      </c>
      <c r="C1012" s="121">
        <v>28</v>
      </c>
      <c r="D1012" s="734">
        <v>135.4083898046913</v>
      </c>
      <c r="E1012" s="733"/>
      <c r="BD1012" s="138"/>
    </row>
    <row r="1013" spans="2:56" ht="15.75">
      <c r="B1013" s="121">
        <v>99</v>
      </c>
      <c r="C1013" s="121">
        <v>29</v>
      </c>
      <c r="D1013" s="734">
        <v>145.70621477086107</v>
      </c>
      <c r="E1013" s="733"/>
      <c r="BD1013" s="138"/>
    </row>
    <row r="1014" spans="2:56" ht="15.75">
      <c r="B1014" s="121">
        <v>99</v>
      </c>
      <c r="C1014" s="121">
        <v>30</v>
      </c>
      <c r="D1014" s="734">
        <v>136.73984553414459</v>
      </c>
      <c r="E1014" s="733"/>
      <c r="BD1014" s="138"/>
    </row>
    <row r="1015" spans="2:56" ht="15.75">
      <c r="B1015" s="121">
        <v>100</v>
      </c>
      <c r="C1015" s="121">
        <v>1</v>
      </c>
      <c r="D1015" s="734">
        <v>5</v>
      </c>
      <c r="E1015" s="733"/>
      <c r="BD1015" s="138"/>
    </row>
    <row r="1016" spans="2:56" ht="15.75">
      <c r="B1016" s="121">
        <v>100</v>
      </c>
      <c r="C1016" s="121">
        <v>2</v>
      </c>
      <c r="D1016" s="734">
        <v>102.01458168233562</v>
      </c>
      <c r="E1016" s="733"/>
      <c r="BD1016" s="138"/>
    </row>
    <row r="1017" spans="2:56" ht="15.75">
      <c r="B1017" s="121">
        <v>101</v>
      </c>
      <c r="C1017" s="121">
        <v>1</v>
      </c>
      <c r="D1017" s="734">
        <v>5</v>
      </c>
      <c r="E1017" s="733"/>
      <c r="BD1017" s="138"/>
    </row>
    <row r="1018" spans="2:56" ht="15.75">
      <c r="B1018" s="121">
        <v>101</v>
      </c>
      <c r="C1018" s="121">
        <v>2</v>
      </c>
      <c r="D1018" s="734">
        <v>100.51679343680975</v>
      </c>
      <c r="E1018" s="733"/>
      <c r="BD1018" s="138"/>
    </row>
    <row r="1019" spans="2:56" ht="15.75">
      <c r="B1019" s="121">
        <v>101</v>
      </c>
      <c r="C1019" s="121">
        <v>3</v>
      </c>
      <c r="D1019" s="734">
        <v>120.97629869727737</v>
      </c>
      <c r="E1019" s="733"/>
      <c r="BD1019" s="138"/>
    </row>
    <row r="1020" spans="2:56" ht="15.75">
      <c r="B1020" s="121">
        <v>101</v>
      </c>
      <c r="C1020" s="121">
        <v>4</v>
      </c>
      <c r="D1020" s="734">
        <v>141.86258864421583</v>
      </c>
      <c r="E1020" s="733"/>
      <c r="BD1020" s="138"/>
    </row>
    <row r="1021" spans="2:56" ht="15.75">
      <c r="B1021" s="121">
        <v>101</v>
      </c>
      <c r="C1021" s="121">
        <v>5</v>
      </c>
      <c r="D1021" s="734">
        <v>141.47599152029224</v>
      </c>
      <c r="E1021" s="733"/>
      <c r="BD1021" s="138"/>
    </row>
    <row r="1022" spans="2:56" ht="15.75">
      <c r="B1022" s="121">
        <v>102</v>
      </c>
      <c r="C1022" s="121">
        <v>1</v>
      </c>
      <c r="D1022" s="734">
        <v>5</v>
      </c>
      <c r="E1022" s="733"/>
      <c r="BD1022" s="138"/>
    </row>
    <row r="1023" spans="2:56" ht="15.75">
      <c r="B1023" s="121">
        <v>103</v>
      </c>
      <c r="C1023" s="121">
        <v>1</v>
      </c>
      <c r="D1023" s="734">
        <v>5</v>
      </c>
      <c r="E1023" s="733"/>
      <c r="BD1023" s="138"/>
    </row>
    <row r="1024" spans="2:56" ht="15.75">
      <c r="B1024" s="121">
        <v>104</v>
      </c>
      <c r="C1024" s="121">
        <v>1</v>
      </c>
      <c r="D1024" s="734">
        <v>5</v>
      </c>
      <c r="E1024" s="733"/>
      <c r="BD1024" s="138"/>
    </row>
    <row r="1025" spans="2:56" ht="15.75">
      <c r="B1025" s="121">
        <v>105</v>
      </c>
      <c r="C1025" s="121">
        <v>1</v>
      </c>
      <c r="D1025" s="734">
        <v>5</v>
      </c>
      <c r="E1025" s="733"/>
      <c r="BD1025" s="138"/>
    </row>
    <row r="1026" spans="2:56" ht="15.75">
      <c r="B1026" s="121">
        <v>105</v>
      </c>
      <c r="C1026" s="121">
        <v>2</v>
      </c>
      <c r="D1026" s="734">
        <v>100.21932033283801</v>
      </c>
      <c r="E1026" s="733"/>
      <c r="BD1026" s="138"/>
    </row>
    <row r="1027" spans="2:56" ht="15.75">
      <c r="B1027" s="121">
        <v>106</v>
      </c>
      <c r="C1027" s="121">
        <v>1</v>
      </c>
      <c r="D1027" s="734">
        <v>5</v>
      </c>
      <c r="E1027" s="733"/>
      <c r="BD1027" s="138"/>
    </row>
    <row r="1028" spans="2:56" ht="15.75">
      <c r="B1028" s="121">
        <v>106</v>
      </c>
      <c r="C1028" s="121">
        <v>2</v>
      </c>
      <c r="D1028" s="734">
        <v>94.380841881621151</v>
      </c>
      <c r="E1028" s="733"/>
      <c r="BD1028" s="138"/>
    </row>
    <row r="1029" spans="2:56" ht="15.75">
      <c r="B1029" s="121">
        <v>106</v>
      </c>
      <c r="C1029" s="121">
        <v>3</v>
      </c>
      <c r="D1029" s="734">
        <v>124.23173765972123</v>
      </c>
      <c r="E1029" s="733"/>
      <c r="BD1029" s="138"/>
    </row>
    <row r="1030" spans="2:56" ht="15.75">
      <c r="B1030" s="121">
        <v>106</v>
      </c>
      <c r="C1030" s="121">
        <v>4</v>
      </c>
      <c r="D1030" s="734">
        <v>143.03334358469849</v>
      </c>
      <c r="E1030" s="733"/>
      <c r="BD1030" s="138"/>
    </row>
    <row r="1031" spans="2:56" ht="15.75">
      <c r="B1031" s="121">
        <v>106</v>
      </c>
      <c r="C1031" s="121">
        <v>5</v>
      </c>
      <c r="D1031" s="734">
        <v>141.38688119287542</v>
      </c>
      <c r="E1031" s="733"/>
      <c r="BD1031" s="138"/>
    </row>
    <row r="1032" spans="2:56" ht="15.75">
      <c r="B1032" s="121">
        <v>106</v>
      </c>
      <c r="C1032" s="121">
        <v>6</v>
      </c>
      <c r="D1032" s="734">
        <v>137.68931645971509</v>
      </c>
      <c r="E1032" s="733"/>
      <c r="BD1032" s="138"/>
    </row>
    <row r="1033" spans="2:56" ht="15.75">
      <c r="B1033" s="121">
        <v>106</v>
      </c>
      <c r="C1033" s="121">
        <v>7</v>
      </c>
      <c r="D1033" s="734">
        <v>141.44138681052866</v>
      </c>
      <c r="E1033" s="733"/>
      <c r="BD1033" s="138"/>
    </row>
    <row r="1034" spans="2:56" ht="15.75">
      <c r="B1034" s="121">
        <v>106</v>
      </c>
      <c r="C1034" s="121">
        <v>8</v>
      </c>
      <c r="D1034" s="734">
        <v>139.71772222544425</v>
      </c>
      <c r="E1034" s="733"/>
      <c r="BD1034" s="138"/>
    </row>
    <row r="1035" spans="2:56" ht="15.75">
      <c r="B1035" s="121">
        <v>106</v>
      </c>
      <c r="C1035" s="121">
        <v>9</v>
      </c>
      <c r="D1035" s="734">
        <v>138.94298404455381</v>
      </c>
      <c r="E1035" s="733"/>
      <c r="BD1035" s="138"/>
    </row>
    <row r="1036" spans="2:56" ht="15.75">
      <c r="B1036" s="121">
        <v>106</v>
      </c>
      <c r="C1036" s="121">
        <v>10</v>
      </c>
      <c r="D1036" s="734">
        <v>140.21502032444931</v>
      </c>
      <c r="E1036" s="733"/>
      <c r="BD1036" s="138"/>
    </row>
    <row r="1037" spans="2:56" ht="15.75">
      <c r="B1037" s="121">
        <v>106</v>
      </c>
      <c r="C1037" s="121">
        <v>11</v>
      </c>
      <c r="D1037" s="734">
        <v>147.05736165246478</v>
      </c>
      <c r="E1037" s="733"/>
      <c r="BD1037" s="138"/>
    </row>
    <row r="1038" spans="2:56" ht="15.75">
      <c r="B1038" s="121">
        <v>106</v>
      </c>
      <c r="C1038" s="121">
        <v>12</v>
      </c>
      <c r="D1038" s="734">
        <v>134.58580453786013</v>
      </c>
      <c r="E1038" s="733"/>
      <c r="BD1038" s="138"/>
    </row>
    <row r="1039" spans="2:56" ht="15.75">
      <c r="B1039" s="121">
        <v>106</v>
      </c>
      <c r="C1039" s="121">
        <v>13</v>
      </c>
      <c r="D1039" s="734">
        <v>134.7828429178318</v>
      </c>
      <c r="E1039" s="733"/>
      <c r="BD1039" s="138"/>
    </row>
    <row r="1040" spans="2:56" ht="15.75">
      <c r="B1040" s="121">
        <v>106</v>
      </c>
      <c r="C1040" s="121">
        <v>14</v>
      </c>
      <c r="D1040" s="734">
        <v>143.55348667962605</v>
      </c>
      <c r="E1040" s="733"/>
      <c r="BD1040" s="138"/>
    </row>
    <row r="1041" spans="2:56" ht="15.75">
      <c r="B1041" s="121">
        <v>106</v>
      </c>
      <c r="C1041" s="121">
        <v>15</v>
      </c>
      <c r="D1041" s="734">
        <v>145.36197746271765</v>
      </c>
      <c r="E1041" s="733"/>
      <c r="BD1041" s="138"/>
    </row>
    <row r="1042" spans="2:56" ht="15.75">
      <c r="B1042" s="121">
        <v>106</v>
      </c>
      <c r="C1042" s="121">
        <v>16</v>
      </c>
      <c r="D1042" s="734">
        <v>144.08379546738126</v>
      </c>
      <c r="E1042" s="733"/>
      <c r="BD1042" s="138"/>
    </row>
    <row r="1043" spans="2:56" ht="15.75">
      <c r="B1043" s="121">
        <v>106</v>
      </c>
      <c r="C1043" s="121">
        <v>17</v>
      </c>
      <c r="D1043" s="734">
        <v>143.6116979739335</v>
      </c>
      <c r="E1043" s="733"/>
      <c r="BD1043" s="138"/>
    </row>
    <row r="1044" spans="2:56" ht="15.75">
      <c r="B1044" s="121">
        <v>106</v>
      </c>
      <c r="C1044" s="121">
        <v>18</v>
      </c>
      <c r="D1044" s="734">
        <v>145.22342257601733</v>
      </c>
      <c r="E1044" s="733"/>
      <c r="BD1044" s="138"/>
    </row>
    <row r="1045" spans="2:56" ht="15.75">
      <c r="B1045" s="121">
        <v>106</v>
      </c>
      <c r="C1045" s="121">
        <v>19</v>
      </c>
      <c r="D1045" s="734">
        <v>139.84865890539962</v>
      </c>
      <c r="E1045" s="733"/>
      <c r="BD1045" s="138"/>
    </row>
    <row r="1046" spans="2:56" ht="15.75">
      <c r="B1046" s="121">
        <v>106</v>
      </c>
      <c r="C1046" s="121">
        <v>20</v>
      </c>
      <c r="D1046" s="734">
        <v>145.76040098172189</v>
      </c>
      <c r="E1046" s="733"/>
      <c r="BD1046" s="138"/>
    </row>
    <row r="1047" spans="2:56" ht="15.75">
      <c r="B1047" s="121">
        <v>107</v>
      </c>
      <c r="C1047" s="121">
        <v>1</v>
      </c>
      <c r="D1047" s="734">
        <v>5</v>
      </c>
      <c r="E1047" s="733"/>
      <c r="BD1047" s="138"/>
    </row>
    <row r="1048" spans="2:56" ht="15.75">
      <c r="B1048" s="121">
        <v>107</v>
      </c>
      <c r="C1048" s="121">
        <v>2</v>
      </c>
      <c r="D1048" s="734">
        <v>98.098108438081979</v>
      </c>
      <c r="E1048" s="733"/>
      <c r="BD1048" s="138"/>
    </row>
    <row r="1049" spans="2:56" ht="15.75">
      <c r="B1049" s="121">
        <v>107</v>
      </c>
      <c r="C1049" s="121">
        <v>3</v>
      </c>
      <c r="D1049" s="734">
        <v>121.16292847188092</v>
      </c>
      <c r="E1049" s="733"/>
      <c r="BD1049" s="138"/>
    </row>
    <row r="1050" spans="2:56" ht="15.75">
      <c r="B1050" s="121">
        <v>107</v>
      </c>
      <c r="C1050" s="121">
        <v>4</v>
      </c>
      <c r="D1050" s="734">
        <v>146.6672852959145</v>
      </c>
      <c r="E1050" s="733"/>
      <c r="BD1050" s="138"/>
    </row>
    <row r="1051" spans="2:56" ht="15.75">
      <c r="B1051" s="121">
        <v>107</v>
      </c>
      <c r="C1051" s="121">
        <v>5</v>
      </c>
      <c r="D1051" s="734">
        <v>144.75462539441082</v>
      </c>
      <c r="E1051" s="733"/>
      <c r="BD1051" s="138"/>
    </row>
    <row r="1052" spans="2:56" ht="15.75">
      <c r="B1052" s="121">
        <v>107</v>
      </c>
      <c r="C1052" s="121">
        <v>6</v>
      </c>
      <c r="D1052" s="734">
        <v>140.64713316192817</v>
      </c>
      <c r="E1052" s="733"/>
      <c r="BD1052" s="138"/>
    </row>
    <row r="1053" spans="2:56" ht="15.75">
      <c r="B1053" s="121">
        <v>107</v>
      </c>
      <c r="C1053" s="121">
        <v>7</v>
      </c>
      <c r="D1053" s="734">
        <v>137.37211536763823</v>
      </c>
      <c r="E1053" s="733"/>
      <c r="BD1053" s="138"/>
    </row>
    <row r="1054" spans="2:56" ht="15.75">
      <c r="B1054" s="121">
        <v>107</v>
      </c>
      <c r="C1054" s="121">
        <v>8</v>
      </c>
      <c r="D1054" s="734">
        <v>139.02933353522852</v>
      </c>
      <c r="E1054" s="733"/>
      <c r="BD1054" s="138"/>
    </row>
    <row r="1055" spans="2:56" ht="15.75">
      <c r="B1055" s="121">
        <v>107</v>
      </c>
      <c r="C1055" s="121">
        <v>9</v>
      </c>
      <c r="D1055" s="734">
        <v>135.81945296612955</v>
      </c>
      <c r="E1055" s="733"/>
      <c r="BD1055" s="138"/>
    </row>
    <row r="1056" spans="2:56" ht="15.75">
      <c r="B1056" s="121">
        <v>107</v>
      </c>
      <c r="C1056" s="121">
        <v>10</v>
      </c>
      <c r="D1056" s="734">
        <v>135.79036211574817</v>
      </c>
      <c r="E1056" s="733"/>
      <c r="BD1056" s="138"/>
    </row>
    <row r="1057" spans="2:56" ht="15.75">
      <c r="B1057" s="121">
        <v>107</v>
      </c>
      <c r="C1057" s="121">
        <v>11</v>
      </c>
      <c r="D1057" s="734">
        <v>133.74480380966958</v>
      </c>
      <c r="E1057" s="733"/>
      <c r="BD1057" s="138"/>
    </row>
    <row r="1058" spans="2:56" ht="15.75">
      <c r="B1058" s="121">
        <v>107</v>
      </c>
      <c r="C1058" s="121">
        <v>12</v>
      </c>
      <c r="D1058" s="734">
        <v>147.0958846417422</v>
      </c>
      <c r="E1058" s="733"/>
      <c r="BD1058" s="138"/>
    </row>
    <row r="1059" spans="2:56" ht="15.75">
      <c r="B1059" s="121">
        <v>107</v>
      </c>
      <c r="C1059" s="121">
        <v>13</v>
      </c>
      <c r="D1059" s="734">
        <v>140.73895512288715</v>
      </c>
      <c r="E1059" s="733"/>
      <c r="BD1059" s="138"/>
    </row>
    <row r="1060" spans="2:56" ht="15.75">
      <c r="B1060" s="121">
        <v>107</v>
      </c>
      <c r="C1060" s="121">
        <v>14</v>
      </c>
      <c r="D1060" s="734">
        <v>134.4532303242068</v>
      </c>
      <c r="E1060" s="733"/>
      <c r="BD1060" s="138"/>
    </row>
    <row r="1061" spans="2:56" ht="15.75">
      <c r="B1061" s="121">
        <v>107</v>
      </c>
      <c r="C1061" s="121">
        <v>15</v>
      </c>
      <c r="D1061" s="734">
        <v>142.94174759318702</v>
      </c>
      <c r="E1061" s="733"/>
      <c r="BD1061" s="138"/>
    </row>
    <row r="1062" spans="2:56" ht="15.75">
      <c r="B1062" s="121">
        <v>107</v>
      </c>
      <c r="C1062" s="121">
        <v>16</v>
      </c>
      <c r="D1062" s="734">
        <v>139.7535710067136</v>
      </c>
      <c r="E1062" s="733"/>
      <c r="BD1062" s="138"/>
    </row>
    <row r="1063" spans="2:56" ht="15.75">
      <c r="B1063" s="121">
        <v>107</v>
      </c>
      <c r="C1063" s="121">
        <v>17</v>
      </c>
      <c r="D1063" s="734">
        <v>135.94488672413939</v>
      </c>
      <c r="E1063" s="733"/>
      <c r="BD1063" s="138"/>
    </row>
    <row r="1064" spans="2:56" ht="15.75">
      <c r="B1064" s="121">
        <v>107</v>
      </c>
      <c r="C1064" s="121">
        <v>18</v>
      </c>
      <c r="D1064" s="734">
        <v>134.45333080914179</v>
      </c>
      <c r="E1064" s="733"/>
      <c r="BD1064" s="138"/>
    </row>
    <row r="1065" spans="2:56" ht="15.75">
      <c r="B1065" s="121">
        <v>107</v>
      </c>
      <c r="C1065" s="121">
        <v>19</v>
      </c>
      <c r="D1065" s="734">
        <v>146.61916229504516</v>
      </c>
      <c r="E1065" s="733"/>
      <c r="BD1065" s="138"/>
    </row>
    <row r="1066" spans="2:56" ht="15.75">
      <c r="B1066" s="121">
        <v>107</v>
      </c>
      <c r="C1066" s="121">
        <v>20</v>
      </c>
      <c r="D1066" s="734">
        <v>146.95127038380329</v>
      </c>
      <c r="E1066" s="733"/>
      <c r="BD1066" s="138"/>
    </row>
    <row r="1067" spans="2:56" ht="15.75">
      <c r="B1067" s="121">
        <v>107</v>
      </c>
      <c r="C1067" s="121">
        <v>21</v>
      </c>
      <c r="D1067" s="734">
        <v>146.6513783390611</v>
      </c>
      <c r="E1067" s="733"/>
      <c r="BD1067" s="138"/>
    </row>
    <row r="1068" spans="2:56" ht="15.75">
      <c r="B1068" s="121">
        <v>107</v>
      </c>
      <c r="C1068" s="121">
        <v>22</v>
      </c>
      <c r="D1068" s="734">
        <v>143.33739571268265</v>
      </c>
      <c r="E1068" s="733"/>
      <c r="BD1068" s="138"/>
    </row>
    <row r="1069" spans="2:56" ht="15.75">
      <c r="B1069" s="121">
        <v>107</v>
      </c>
      <c r="C1069" s="121">
        <v>23</v>
      </c>
      <c r="D1069" s="734">
        <v>139.63241292810915</v>
      </c>
      <c r="E1069" s="733"/>
      <c r="BD1069" s="138"/>
    </row>
    <row r="1070" spans="2:56" ht="15.75">
      <c r="B1070" s="121">
        <v>107</v>
      </c>
      <c r="C1070" s="121">
        <v>24</v>
      </c>
      <c r="D1070" s="734">
        <v>146.24909547756243</v>
      </c>
      <c r="E1070" s="733"/>
      <c r="BD1070" s="138"/>
    </row>
    <row r="1071" spans="2:56" ht="15.75">
      <c r="B1071" s="121">
        <v>107</v>
      </c>
      <c r="C1071" s="121">
        <v>25</v>
      </c>
      <c r="D1071" s="734">
        <v>143.40598558700648</v>
      </c>
      <c r="E1071" s="733"/>
      <c r="BD1071" s="138"/>
    </row>
    <row r="1072" spans="2:56" ht="15.75">
      <c r="B1072" s="121">
        <v>107</v>
      </c>
      <c r="C1072" s="121">
        <v>26</v>
      </c>
      <c r="D1072" s="734">
        <v>138.24068752075442</v>
      </c>
      <c r="E1072" s="733"/>
      <c r="BD1072" s="138"/>
    </row>
    <row r="1073" spans="2:56" ht="15.75">
      <c r="B1073" s="121">
        <v>107</v>
      </c>
      <c r="C1073" s="121">
        <v>27</v>
      </c>
      <c r="D1073" s="734">
        <v>139.41502665818749</v>
      </c>
      <c r="E1073" s="733"/>
      <c r="BD1073" s="138"/>
    </row>
    <row r="1074" spans="2:56" ht="15.75">
      <c r="B1074" s="121">
        <v>107</v>
      </c>
      <c r="C1074" s="121">
        <v>28</v>
      </c>
      <c r="D1074" s="734">
        <v>141.08708970995173</v>
      </c>
      <c r="E1074" s="733"/>
      <c r="BD1074" s="138"/>
    </row>
    <row r="1075" spans="2:56" ht="15.75">
      <c r="B1075" s="121">
        <v>107</v>
      </c>
      <c r="C1075" s="121">
        <v>29</v>
      </c>
      <c r="D1075" s="734">
        <v>136.70039138537416</v>
      </c>
      <c r="E1075" s="733"/>
      <c r="BD1075" s="138"/>
    </row>
    <row r="1076" spans="2:56" ht="15.75">
      <c r="B1076" s="121">
        <v>108</v>
      </c>
      <c r="C1076" s="121">
        <v>1</v>
      </c>
      <c r="D1076" s="734">
        <v>5</v>
      </c>
      <c r="E1076" s="733"/>
      <c r="BD1076" s="138"/>
    </row>
    <row r="1077" spans="2:56" ht="15.75">
      <c r="B1077" s="121">
        <v>109</v>
      </c>
      <c r="C1077" s="121">
        <v>1</v>
      </c>
      <c r="D1077" s="734">
        <v>5</v>
      </c>
      <c r="E1077" s="733"/>
      <c r="BD1077" s="138"/>
    </row>
    <row r="1078" spans="2:56" ht="15.75">
      <c r="B1078" s="121">
        <v>109</v>
      </c>
      <c r="C1078" s="121">
        <v>2</v>
      </c>
      <c r="D1078" s="734">
        <v>98.152795472135651</v>
      </c>
      <c r="E1078" s="733"/>
      <c r="BD1078" s="138"/>
    </row>
    <row r="1079" spans="2:56" ht="15.75">
      <c r="B1079" s="121">
        <v>109</v>
      </c>
      <c r="C1079" s="121">
        <v>3</v>
      </c>
      <c r="D1079" s="734">
        <v>122.64891055346524</v>
      </c>
      <c r="E1079" s="733"/>
      <c r="BD1079" s="138"/>
    </row>
    <row r="1080" spans="2:56" ht="15.75">
      <c r="B1080" s="121">
        <v>109</v>
      </c>
      <c r="C1080" s="121">
        <v>4</v>
      </c>
      <c r="D1080" s="734">
        <v>146.63728757376276</v>
      </c>
      <c r="E1080" s="733"/>
      <c r="BD1080" s="138"/>
    </row>
    <row r="1081" spans="2:56" ht="15.75">
      <c r="B1081" s="121">
        <v>109</v>
      </c>
      <c r="C1081" s="121">
        <v>5</v>
      </c>
      <c r="D1081" s="734">
        <v>134.96103506064202</v>
      </c>
      <c r="E1081" s="733"/>
      <c r="BD1081" s="138"/>
    </row>
    <row r="1082" spans="2:56" ht="15.75">
      <c r="B1082" s="121">
        <v>109</v>
      </c>
      <c r="C1082" s="121">
        <v>6</v>
      </c>
      <c r="D1082" s="734">
        <v>146.31712553964925</v>
      </c>
      <c r="E1082" s="733"/>
      <c r="BD1082" s="138"/>
    </row>
    <row r="1083" spans="2:56" ht="15.75">
      <c r="B1083" s="121">
        <v>109</v>
      </c>
      <c r="C1083" s="121">
        <v>7</v>
      </c>
      <c r="D1083" s="734">
        <v>143.68121164095331</v>
      </c>
      <c r="E1083" s="733"/>
      <c r="BD1083" s="138"/>
    </row>
    <row r="1084" spans="2:56" ht="15.75">
      <c r="B1084" s="121">
        <v>109</v>
      </c>
      <c r="C1084" s="121">
        <v>8</v>
      </c>
      <c r="D1084" s="734">
        <v>135.81294162902026</v>
      </c>
      <c r="E1084" s="733"/>
      <c r="BD1084" s="138"/>
    </row>
    <row r="1085" spans="2:56" ht="15.75">
      <c r="B1085" s="121">
        <v>109</v>
      </c>
      <c r="C1085" s="121">
        <v>9</v>
      </c>
      <c r="D1085" s="734">
        <v>139.69361336194959</v>
      </c>
      <c r="E1085" s="733"/>
      <c r="BD1085" s="138"/>
    </row>
    <row r="1086" spans="2:56" ht="15.75">
      <c r="B1086" s="121">
        <v>109</v>
      </c>
      <c r="C1086" s="121">
        <v>10</v>
      </c>
      <c r="D1086" s="734">
        <v>141.00362690756702</v>
      </c>
      <c r="E1086" s="733"/>
      <c r="BD1086" s="138"/>
    </row>
    <row r="1087" spans="2:56" ht="15.75">
      <c r="B1087" s="121">
        <v>109</v>
      </c>
      <c r="C1087" s="121">
        <v>11</v>
      </c>
      <c r="D1087" s="734">
        <v>145.48804531682705</v>
      </c>
      <c r="E1087" s="733"/>
      <c r="BD1087" s="138"/>
    </row>
    <row r="1088" spans="2:56" ht="15.75">
      <c r="B1088" s="121">
        <v>109</v>
      </c>
      <c r="C1088" s="121">
        <v>12</v>
      </c>
      <c r="D1088" s="734">
        <v>146.84119372957991</v>
      </c>
      <c r="E1088" s="733"/>
      <c r="BD1088" s="138"/>
    </row>
    <row r="1089" spans="2:56" ht="15.75">
      <c r="B1089" s="121">
        <v>109</v>
      </c>
      <c r="C1089" s="121">
        <v>13</v>
      </c>
      <c r="D1089" s="734">
        <v>134.16640212236427</v>
      </c>
      <c r="E1089" s="733"/>
      <c r="BD1089" s="138"/>
    </row>
    <row r="1090" spans="2:56" ht="15.75">
      <c r="B1090" s="121">
        <v>109</v>
      </c>
      <c r="C1090" s="121">
        <v>14</v>
      </c>
      <c r="D1090" s="734">
        <v>143.83648438885257</v>
      </c>
      <c r="E1090" s="733"/>
      <c r="BD1090" s="138"/>
    </row>
    <row r="1091" spans="2:56" ht="15.75">
      <c r="B1091" s="121">
        <v>109</v>
      </c>
      <c r="C1091" s="121">
        <v>15</v>
      </c>
      <c r="D1091" s="734">
        <v>134.3176376814296</v>
      </c>
      <c r="E1091" s="733"/>
      <c r="BD1091" s="138"/>
    </row>
    <row r="1092" spans="2:56" ht="15.75">
      <c r="B1092" s="121">
        <v>109</v>
      </c>
      <c r="C1092" s="121">
        <v>16</v>
      </c>
      <c r="D1092" s="734">
        <v>136.33093618921964</v>
      </c>
      <c r="E1092" s="733"/>
      <c r="BD1092" s="138"/>
    </row>
    <row r="1093" spans="2:56" ht="15.75">
      <c r="B1093" s="121">
        <v>110</v>
      </c>
      <c r="C1093" s="121">
        <v>1</v>
      </c>
      <c r="D1093" s="734">
        <v>5</v>
      </c>
      <c r="E1093" s="733"/>
      <c r="BD1093" s="138"/>
    </row>
    <row r="1094" spans="2:56" ht="15.75">
      <c r="B1094" s="121">
        <v>110</v>
      </c>
      <c r="C1094" s="121">
        <v>2</v>
      </c>
      <c r="D1094" s="734">
        <v>102.65658132360424</v>
      </c>
      <c r="E1094" s="733"/>
      <c r="BD1094" s="138"/>
    </row>
    <row r="1095" spans="2:56" ht="15.75">
      <c r="B1095" s="121">
        <v>110</v>
      </c>
      <c r="C1095" s="121">
        <v>3</v>
      </c>
      <c r="D1095" s="734">
        <v>115.08092856494179</v>
      </c>
      <c r="E1095" s="733"/>
      <c r="BD1095" s="138"/>
    </row>
    <row r="1096" spans="2:56" ht="15.75">
      <c r="B1096" s="121">
        <v>110</v>
      </c>
      <c r="C1096" s="121">
        <v>4</v>
      </c>
      <c r="D1096" s="734">
        <v>139.20747300636481</v>
      </c>
      <c r="E1096" s="733"/>
      <c r="BD1096" s="138"/>
    </row>
    <row r="1097" spans="2:56" ht="15.75">
      <c r="B1097" s="121">
        <v>110</v>
      </c>
      <c r="C1097" s="121">
        <v>5</v>
      </c>
      <c r="D1097" s="734">
        <v>145.82579831189247</v>
      </c>
      <c r="E1097" s="733"/>
      <c r="BD1097" s="138"/>
    </row>
    <row r="1098" spans="2:56" ht="15.75">
      <c r="B1098" s="121">
        <v>110</v>
      </c>
      <c r="C1098" s="121">
        <v>6</v>
      </c>
      <c r="D1098" s="734">
        <v>145.53985912856069</v>
      </c>
      <c r="E1098" s="733"/>
      <c r="BD1098" s="138"/>
    </row>
    <row r="1099" spans="2:56" ht="15.75">
      <c r="B1099" s="121">
        <v>110</v>
      </c>
      <c r="C1099" s="121">
        <v>7</v>
      </c>
      <c r="D1099" s="734">
        <v>133.99293477918465</v>
      </c>
      <c r="E1099" s="733"/>
      <c r="BD1099" s="138"/>
    </row>
    <row r="1100" spans="2:56" ht="15.75">
      <c r="B1100" s="121">
        <v>110</v>
      </c>
      <c r="C1100" s="121">
        <v>8</v>
      </c>
      <c r="D1100" s="734">
        <v>143.40060033380269</v>
      </c>
      <c r="E1100" s="733"/>
      <c r="BD1100" s="138"/>
    </row>
    <row r="1101" spans="2:56" ht="15.75">
      <c r="B1101" s="121">
        <v>110</v>
      </c>
      <c r="C1101" s="121">
        <v>9</v>
      </c>
      <c r="D1101" s="734">
        <v>139.51308909106248</v>
      </c>
      <c r="E1101" s="733"/>
      <c r="BD1101" s="138"/>
    </row>
    <row r="1102" spans="2:56" ht="15.75">
      <c r="B1102" s="121">
        <v>110</v>
      </c>
      <c r="C1102" s="121">
        <v>10</v>
      </c>
      <c r="D1102" s="734">
        <v>136.70011836055892</v>
      </c>
      <c r="E1102" s="733"/>
      <c r="BD1102" s="138"/>
    </row>
    <row r="1103" spans="2:56" ht="15.75">
      <c r="B1103" s="121">
        <v>110</v>
      </c>
      <c r="C1103" s="121">
        <v>11</v>
      </c>
      <c r="D1103" s="734">
        <v>137.73793095445109</v>
      </c>
      <c r="E1103" s="733"/>
      <c r="BD1103" s="138"/>
    </row>
    <row r="1104" spans="2:56" ht="15.75">
      <c r="B1104" s="121">
        <v>110</v>
      </c>
      <c r="C1104" s="121">
        <v>12</v>
      </c>
      <c r="D1104" s="734">
        <v>147.01662499358426</v>
      </c>
      <c r="E1104" s="733"/>
      <c r="BD1104" s="138"/>
    </row>
    <row r="1105" spans="2:56" ht="15.75">
      <c r="B1105" s="121">
        <v>110</v>
      </c>
      <c r="C1105" s="121">
        <v>13</v>
      </c>
      <c r="D1105" s="734">
        <v>134.77237718035806</v>
      </c>
      <c r="E1105" s="733"/>
      <c r="BD1105" s="138"/>
    </row>
    <row r="1106" spans="2:56" ht="15.75">
      <c r="B1106" s="121">
        <v>110</v>
      </c>
      <c r="C1106" s="121">
        <v>14</v>
      </c>
      <c r="D1106" s="734">
        <v>145.81111464860058</v>
      </c>
      <c r="E1106" s="733"/>
      <c r="BD1106" s="138"/>
    </row>
    <row r="1107" spans="2:56" ht="15.75">
      <c r="B1107" s="121">
        <v>110</v>
      </c>
      <c r="C1107" s="121">
        <v>15</v>
      </c>
      <c r="D1107" s="734">
        <v>145.83507920185804</v>
      </c>
      <c r="E1107" s="733"/>
      <c r="BD1107" s="138"/>
    </row>
    <row r="1108" spans="2:56" ht="15.75">
      <c r="B1108" s="121">
        <v>110</v>
      </c>
      <c r="C1108" s="121">
        <v>16</v>
      </c>
      <c r="D1108" s="734">
        <v>136.30468453954705</v>
      </c>
      <c r="E1108" s="733"/>
      <c r="BD1108" s="138"/>
    </row>
    <row r="1109" spans="2:56" ht="15.75">
      <c r="B1109" s="121">
        <v>110</v>
      </c>
      <c r="C1109" s="121">
        <v>17</v>
      </c>
      <c r="D1109" s="734">
        <v>146.79047331733284</v>
      </c>
      <c r="E1109" s="733"/>
      <c r="BD1109" s="138"/>
    </row>
    <row r="1110" spans="2:56" ht="15.75">
      <c r="B1110" s="121">
        <v>110</v>
      </c>
      <c r="C1110" s="121">
        <v>18</v>
      </c>
      <c r="D1110" s="734">
        <v>141.72029537958323</v>
      </c>
      <c r="E1110" s="733"/>
      <c r="BD1110" s="138"/>
    </row>
    <row r="1111" spans="2:56" ht="15.75">
      <c r="B1111" s="121">
        <v>110</v>
      </c>
      <c r="C1111" s="121">
        <v>19</v>
      </c>
      <c r="D1111" s="734">
        <v>141.60219470367667</v>
      </c>
      <c r="E1111" s="733"/>
      <c r="BD1111" s="138"/>
    </row>
    <row r="1112" spans="2:56" ht="15.75">
      <c r="B1112" s="121">
        <v>110</v>
      </c>
      <c r="C1112" s="121">
        <v>20</v>
      </c>
      <c r="D1112" s="734">
        <v>144.61274780120269</v>
      </c>
      <c r="E1112" s="733"/>
      <c r="BD1112" s="138"/>
    </row>
    <row r="1113" spans="2:56" ht="15.75">
      <c r="B1113" s="121">
        <v>110</v>
      </c>
      <c r="C1113" s="121">
        <v>21</v>
      </c>
      <c r="D1113" s="734">
        <v>145.76533316573287</v>
      </c>
      <c r="E1113" s="733"/>
      <c r="BD1113" s="138"/>
    </row>
    <row r="1114" spans="2:56" ht="15.75">
      <c r="B1114" s="121">
        <v>110</v>
      </c>
      <c r="C1114" s="121">
        <v>22</v>
      </c>
      <c r="D1114" s="734">
        <v>143.73498997232323</v>
      </c>
      <c r="E1114" s="733"/>
      <c r="BD1114" s="138"/>
    </row>
    <row r="1115" spans="2:56" ht="15.75">
      <c r="B1115" s="121">
        <v>110</v>
      </c>
      <c r="C1115" s="121">
        <v>23</v>
      </c>
      <c r="D1115" s="734">
        <v>144.99691061791543</v>
      </c>
      <c r="E1115" s="733"/>
      <c r="BD1115" s="138"/>
    </row>
    <row r="1116" spans="2:56" ht="15.75">
      <c r="B1116" s="121">
        <v>110</v>
      </c>
      <c r="C1116" s="121">
        <v>24</v>
      </c>
      <c r="D1116" s="734">
        <v>142.77386998812304</v>
      </c>
      <c r="E1116" s="733"/>
      <c r="BD1116" s="138"/>
    </row>
    <row r="1117" spans="2:56" ht="15.75">
      <c r="B1117" s="121">
        <v>110</v>
      </c>
      <c r="C1117" s="121">
        <v>25</v>
      </c>
      <c r="D1117" s="734">
        <v>137.5504188126433</v>
      </c>
      <c r="E1117" s="733"/>
      <c r="BD1117" s="138"/>
    </row>
    <row r="1118" spans="2:56" ht="15.75">
      <c r="B1118" s="121">
        <v>110</v>
      </c>
      <c r="C1118" s="121">
        <v>26</v>
      </c>
      <c r="D1118" s="734">
        <v>142.73045556070616</v>
      </c>
      <c r="E1118" s="733"/>
      <c r="BD1118" s="138"/>
    </row>
    <row r="1119" spans="2:56" ht="15.75">
      <c r="B1119" s="121">
        <v>110</v>
      </c>
      <c r="C1119" s="121">
        <v>27</v>
      </c>
      <c r="D1119" s="734">
        <v>135.73024390282899</v>
      </c>
      <c r="E1119" s="733"/>
      <c r="BD1119" s="138"/>
    </row>
    <row r="1120" spans="2:56" ht="15.75">
      <c r="B1120" s="121">
        <v>110</v>
      </c>
      <c r="C1120" s="121">
        <v>28</v>
      </c>
      <c r="D1120" s="734">
        <v>136.03855901155876</v>
      </c>
      <c r="E1120" s="733"/>
      <c r="BD1120" s="138"/>
    </row>
    <row r="1121" spans="2:56" ht="15.75">
      <c r="B1121" s="121">
        <v>110</v>
      </c>
      <c r="C1121" s="121">
        <v>29</v>
      </c>
      <c r="D1121" s="734">
        <v>141.82351310388182</v>
      </c>
      <c r="E1121" s="733"/>
      <c r="BD1121" s="138"/>
    </row>
    <row r="1122" spans="2:56" ht="15.75">
      <c r="B1122" s="121">
        <v>110</v>
      </c>
      <c r="C1122" s="121">
        <v>30</v>
      </c>
      <c r="D1122" s="734">
        <v>146.87617611636884</v>
      </c>
      <c r="E1122" s="733"/>
      <c r="BD1122" s="138"/>
    </row>
    <row r="1123" spans="2:56" ht="15.75">
      <c r="B1123" s="121">
        <v>110</v>
      </c>
      <c r="C1123" s="121">
        <v>31</v>
      </c>
      <c r="D1123" s="734">
        <v>139.21621515569078</v>
      </c>
      <c r="E1123" s="733"/>
      <c r="BD1123" s="138"/>
    </row>
    <row r="1124" spans="2:56" ht="15.75">
      <c r="B1124" s="121">
        <v>110</v>
      </c>
      <c r="C1124" s="121">
        <v>32</v>
      </c>
      <c r="D1124" s="734">
        <v>139.57890356694767</v>
      </c>
      <c r="E1124" s="733"/>
      <c r="BD1124" s="138"/>
    </row>
    <row r="1125" spans="2:56" ht="15.75">
      <c r="B1125" s="121">
        <v>110</v>
      </c>
      <c r="C1125" s="121">
        <v>33</v>
      </c>
      <c r="D1125" s="734">
        <v>137.74621072757645</v>
      </c>
      <c r="E1125" s="733"/>
      <c r="BD1125" s="138"/>
    </row>
    <row r="1126" spans="2:56" ht="15.75">
      <c r="B1126" s="121">
        <v>110</v>
      </c>
      <c r="C1126" s="121">
        <v>34</v>
      </c>
      <c r="D1126" s="734">
        <v>136.03383355266334</v>
      </c>
      <c r="E1126" s="733"/>
      <c r="BD1126" s="138"/>
    </row>
    <row r="1127" spans="2:56" ht="15.75">
      <c r="B1127" s="121">
        <v>110</v>
      </c>
      <c r="C1127" s="121">
        <v>35</v>
      </c>
      <c r="D1127" s="734">
        <v>146.50076452539651</v>
      </c>
      <c r="E1127" s="733"/>
      <c r="BD1127" s="138"/>
    </row>
    <row r="1128" spans="2:56" ht="15.75">
      <c r="B1128" s="121">
        <v>110</v>
      </c>
      <c r="C1128" s="121">
        <v>36</v>
      </c>
      <c r="D1128" s="734">
        <v>142.82042185208741</v>
      </c>
      <c r="E1128" s="733"/>
      <c r="BD1128" s="138"/>
    </row>
    <row r="1129" spans="2:56" ht="15.75">
      <c r="B1129" s="121">
        <v>111</v>
      </c>
      <c r="C1129" s="121">
        <v>1</v>
      </c>
      <c r="D1129" s="734">
        <v>5</v>
      </c>
      <c r="E1129" s="733"/>
      <c r="BD1129" s="138"/>
    </row>
    <row r="1130" spans="2:56" ht="15.75">
      <c r="B1130" s="121">
        <v>111</v>
      </c>
      <c r="C1130" s="121">
        <v>2</v>
      </c>
      <c r="D1130" s="734">
        <v>94.611488138461624</v>
      </c>
      <c r="E1130" s="733"/>
      <c r="BD1130" s="138"/>
    </row>
    <row r="1131" spans="2:56" ht="15.75">
      <c r="B1131" s="121">
        <v>112</v>
      </c>
      <c r="C1131" s="121">
        <v>1</v>
      </c>
      <c r="D1131" s="734">
        <v>5</v>
      </c>
      <c r="E1131" s="733"/>
      <c r="BD1131" s="138"/>
    </row>
    <row r="1132" spans="2:56" ht="15.75">
      <c r="B1132" s="121">
        <v>112</v>
      </c>
      <c r="C1132" s="121">
        <v>2</v>
      </c>
      <c r="D1132" s="734">
        <v>98.794750977274091</v>
      </c>
      <c r="E1132" s="733"/>
      <c r="BD1132" s="138"/>
    </row>
    <row r="1133" spans="2:56" ht="15.75">
      <c r="B1133" s="121">
        <v>112</v>
      </c>
      <c r="C1133" s="121">
        <v>3</v>
      </c>
      <c r="D1133" s="734">
        <v>120.01586426694068</v>
      </c>
      <c r="E1133" s="733"/>
      <c r="BD1133" s="138"/>
    </row>
    <row r="1134" spans="2:56" ht="15.75">
      <c r="B1134" s="121">
        <v>112</v>
      </c>
      <c r="C1134" s="121">
        <v>4</v>
      </c>
      <c r="D1134" s="734">
        <v>145.02877611440189</v>
      </c>
      <c r="E1134" s="733"/>
      <c r="BD1134" s="138"/>
    </row>
    <row r="1135" spans="2:56" ht="15.75">
      <c r="B1135" s="121">
        <v>112</v>
      </c>
      <c r="C1135" s="121">
        <v>5</v>
      </c>
      <c r="D1135" s="734">
        <v>145.49163693340267</v>
      </c>
      <c r="E1135" s="733"/>
      <c r="BD1135" s="138"/>
    </row>
    <row r="1136" spans="2:56" ht="15.75">
      <c r="B1136" s="121">
        <v>112</v>
      </c>
      <c r="C1136" s="121">
        <v>6</v>
      </c>
      <c r="D1136" s="734">
        <v>135.73954264225475</v>
      </c>
      <c r="E1136" s="733"/>
      <c r="BD1136" s="138"/>
    </row>
    <row r="1137" spans="2:56" ht="15.75">
      <c r="B1137" s="121">
        <v>112</v>
      </c>
      <c r="C1137" s="121">
        <v>7</v>
      </c>
      <c r="D1137" s="734">
        <v>142.32823029337061</v>
      </c>
      <c r="E1137" s="733"/>
      <c r="BD1137" s="138"/>
    </row>
    <row r="1138" spans="2:56" ht="15.75">
      <c r="B1138" s="121">
        <v>112</v>
      </c>
      <c r="C1138" s="121">
        <v>8</v>
      </c>
      <c r="D1138" s="734">
        <v>135.35587374117432</v>
      </c>
      <c r="E1138" s="733"/>
      <c r="BD1138" s="138"/>
    </row>
    <row r="1139" spans="2:56" ht="15.75">
      <c r="B1139" s="121">
        <v>112</v>
      </c>
      <c r="C1139" s="121">
        <v>9</v>
      </c>
      <c r="D1139" s="734">
        <v>146.38579331126775</v>
      </c>
      <c r="E1139" s="733"/>
      <c r="BD1139" s="138"/>
    </row>
    <row r="1140" spans="2:56" ht="15.75">
      <c r="B1140" s="121">
        <v>112</v>
      </c>
      <c r="C1140" s="121">
        <v>10</v>
      </c>
      <c r="D1140" s="734">
        <v>140.06341280657236</v>
      </c>
      <c r="E1140" s="733"/>
      <c r="BD1140" s="138"/>
    </row>
    <row r="1141" spans="2:56" ht="15.75">
      <c r="B1141" s="121">
        <v>112</v>
      </c>
      <c r="C1141" s="121">
        <v>11</v>
      </c>
      <c r="D1141" s="734">
        <v>139.77595719059869</v>
      </c>
      <c r="E1141" s="733"/>
      <c r="BD1141" s="138"/>
    </row>
    <row r="1142" spans="2:56" ht="15.75">
      <c r="B1142" s="121">
        <v>112</v>
      </c>
      <c r="C1142" s="121">
        <v>12</v>
      </c>
      <c r="D1142" s="734">
        <v>146.98886897336348</v>
      </c>
      <c r="E1142" s="733"/>
      <c r="BD1142" s="138"/>
    </row>
    <row r="1143" spans="2:56" ht="15.75">
      <c r="B1143" s="121">
        <v>112</v>
      </c>
      <c r="C1143" s="121">
        <v>13</v>
      </c>
      <c r="D1143" s="734">
        <v>134.33380236473812</v>
      </c>
      <c r="E1143" s="733"/>
      <c r="BD1143" s="138"/>
    </row>
    <row r="1144" spans="2:56" ht="15.75">
      <c r="B1144" s="121">
        <v>112</v>
      </c>
      <c r="C1144" s="121">
        <v>14</v>
      </c>
      <c r="D1144" s="734">
        <v>147.23195639697872</v>
      </c>
      <c r="E1144" s="733"/>
      <c r="BD1144" s="138"/>
    </row>
    <row r="1145" spans="2:56" ht="15.75">
      <c r="B1145" s="121">
        <v>112</v>
      </c>
      <c r="C1145" s="121">
        <v>15</v>
      </c>
      <c r="D1145" s="734">
        <v>139.98783705031377</v>
      </c>
      <c r="E1145" s="733"/>
      <c r="BD1145" s="138"/>
    </row>
    <row r="1146" spans="2:56" ht="15.75">
      <c r="B1146" s="121">
        <v>112</v>
      </c>
      <c r="C1146" s="121">
        <v>16</v>
      </c>
      <c r="D1146" s="734">
        <v>145.08614405624718</v>
      </c>
      <c r="E1146" s="733"/>
      <c r="BD1146" s="138"/>
    </row>
    <row r="1147" spans="2:56" ht="15.75">
      <c r="B1147" s="121">
        <v>112</v>
      </c>
      <c r="C1147" s="121">
        <v>17</v>
      </c>
      <c r="D1147" s="734">
        <v>135.32256570955684</v>
      </c>
      <c r="E1147" s="733"/>
      <c r="BD1147" s="138"/>
    </row>
    <row r="1148" spans="2:56" ht="15.75">
      <c r="B1148" s="121">
        <v>112</v>
      </c>
      <c r="C1148" s="121">
        <v>18</v>
      </c>
      <c r="D1148" s="734">
        <v>140.51980915927655</v>
      </c>
      <c r="E1148" s="733"/>
      <c r="BD1148" s="138"/>
    </row>
    <row r="1149" spans="2:56" ht="15.75">
      <c r="B1149" s="121">
        <v>112</v>
      </c>
      <c r="C1149" s="121">
        <v>19</v>
      </c>
      <c r="D1149" s="734">
        <v>142.63988567280282</v>
      </c>
      <c r="E1149" s="733"/>
      <c r="BD1149" s="138"/>
    </row>
    <row r="1150" spans="2:56" ht="15.75">
      <c r="B1150" s="121">
        <v>112</v>
      </c>
      <c r="C1150" s="121">
        <v>20</v>
      </c>
      <c r="D1150" s="734">
        <v>138.6951251677466</v>
      </c>
      <c r="E1150" s="733"/>
      <c r="BD1150" s="138"/>
    </row>
    <row r="1151" spans="2:56" ht="15.75">
      <c r="B1151" s="121">
        <v>112</v>
      </c>
      <c r="C1151" s="121">
        <v>21</v>
      </c>
      <c r="D1151" s="734">
        <v>135.55417890610042</v>
      </c>
      <c r="E1151" s="733"/>
      <c r="BD1151" s="138"/>
    </row>
    <row r="1152" spans="2:56" ht="15.75">
      <c r="B1152" s="121">
        <v>113</v>
      </c>
      <c r="C1152" s="121">
        <v>1</v>
      </c>
      <c r="D1152" s="734">
        <v>5</v>
      </c>
      <c r="E1152" s="733"/>
      <c r="BD1152" s="138"/>
    </row>
    <row r="1153" spans="2:56" ht="15.75">
      <c r="B1153" s="121">
        <v>113</v>
      </c>
      <c r="C1153" s="121">
        <v>2</v>
      </c>
      <c r="D1153" s="734">
        <v>102.63941229896581</v>
      </c>
      <c r="E1153" s="733"/>
      <c r="BD1153" s="138"/>
    </row>
    <row r="1154" spans="2:56" ht="15.75">
      <c r="B1154" s="121">
        <v>113</v>
      </c>
      <c r="C1154" s="121">
        <v>3</v>
      </c>
      <c r="D1154" s="734">
        <v>115.93868002772155</v>
      </c>
      <c r="E1154" s="733"/>
      <c r="BD1154" s="138"/>
    </row>
    <row r="1155" spans="2:56" ht="15.75">
      <c r="B1155" s="121">
        <v>113</v>
      </c>
      <c r="C1155" s="121">
        <v>4</v>
      </c>
      <c r="D1155" s="734">
        <v>140.68672329360433</v>
      </c>
      <c r="E1155" s="733"/>
      <c r="BD1155" s="138"/>
    </row>
    <row r="1156" spans="2:56" ht="15.75">
      <c r="B1156" s="121">
        <v>113</v>
      </c>
      <c r="C1156" s="121">
        <v>5</v>
      </c>
      <c r="D1156" s="734">
        <v>140.33910919519718</v>
      </c>
      <c r="E1156" s="733"/>
      <c r="BD1156" s="138"/>
    </row>
    <row r="1157" spans="2:56" ht="15.75">
      <c r="B1157" s="121">
        <v>113</v>
      </c>
      <c r="C1157" s="121">
        <v>6</v>
      </c>
      <c r="D1157" s="734">
        <v>137.77057841359812</v>
      </c>
      <c r="E1157" s="733"/>
      <c r="BD1157" s="138"/>
    </row>
    <row r="1158" spans="2:56" ht="15.75">
      <c r="B1158" s="121">
        <v>114</v>
      </c>
      <c r="C1158" s="121">
        <v>1</v>
      </c>
      <c r="D1158" s="734">
        <v>5</v>
      </c>
      <c r="E1158" s="733"/>
      <c r="BD1158" s="138"/>
    </row>
    <row r="1159" spans="2:56" ht="15.75">
      <c r="B1159" s="121">
        <v>114</v>
      </c>
      <c r="C1159" s="121">
        <v>2</v>
      </c>
      <c r="D1159" s="734">
        <v>96.832094737441693</v>
      </c>
      <c r="E1159" s="733"/>
      <c r="BD1159" s="138"/>
    </row>
    <row r="1160" spans="2:56" ht="15.75">
      <c r="B1160" s="121">
        <v>115</v>
      </c>
      <c r="C1160" s="121">
        <v>1</v>
      </c>
      <c r="D1160" s="734">
        <v>5</v>
      </c>
      <c r="E1160" s="733"/>
      <c r="BD1160" s="138"/>
    </row>
    <row r="1161" spans="2:56" ht="15.75">
      <c r="B1161" s="121">
        <v>115</v>
      </c>
      <c r="C1161" s="121">
        <v>2</v>
      </c>
      <c r="D1161" s="734">
        <v>95.415206481846567</v>
      </c>
      <c r="E1161" s="733"/>
      <c r="BD1161" s="138"/>
    </row>
    <row r="1162" spans="2:56" ht="15.75">
      <c r="B1162" s="121">
        <v>116</v>
      </c>
      <c r="C1162" s="121">
        <v>1</v>
      </c>
      <c r="D1162" s="734">
        <v>5</v>
      </c>
      <c r="E1162" s="733"/>
      <c r="BD1162" s="138"/>
    </row>
    <row r="1163" spans="2:56" ht="15.75">
      <c r="B1163" s="121">
        <v>117</v>
      </c>
      <c r="C1163" s="121">
        <v>1</v>
      </c>
      <c r="D1163" s="734">
        <v>5</v>
      </c>
      <c r="E1163" s="733"/>
      <c r="BD1163" s="138"/>
    </row>
    <row r="1164" spans="2:56" ht="15.75">
      <c r="B1164" s="121">
        <v>118</v>
      </c>
      <c r="C1164" s="121">
        <v>1</v>
      </c>
      <c r="D1164" s="734">
        <v>5</v>
      </c>
      <c r="E1164" s="733"/>
      <c r="BD1164" s="138"/>
    </row>
    <row r="1165" spans="2:56" ht="15.75">
      <c r="B1165" s="121">
        <v>118</v>
      </c>
      <c r="C1165" s="121">
        <v>2</v>
      </c>
      <c r="D1165" s="734">
        <v>101.03597514161268</v>
      </c>
      <c r="E1165" s="733"/>
      <c r="BD1165" s="138"/>
    </row>
    <row r="1166" spans="2:56" ht="15.75">
      <c r="B1166" s="121">
        <v>118</v>
      </c>
      <c r="C1166" s="121">
        <v>3</v>
      </c>
      <c r="D1166" s="734">
        <v>116.08629565009818</v>
      </c>
      <c r="E1166" s="733"/>
      <c r="BD1166" s="138"/>
    </row>
    <row r="1167" spans="2:56" ht="15.75">
      <c r="B1167" s="121">
        <v>118</v>
      </c>
      <c r="C1167" s="121">
        <v>4</v>
      </c>
      <c r="D1167" s="734">
        <v>135.37681062791944</v>
      </c>
      <c r="E1167" s="733"/>
      <c r="BD1167" s="138"/>
    </row>
    <row r="1168" spans="2:56" ht="15.75">
      <c r="B1168" s="121">
        <v>118</v>
      </c>
      <c r="C1168" s="121">
        <v>5</v>
      </c>
      <c r="D1168" s="734">
        <v>136.23885281270896</v>
      </c>
      <c r="E1168" s="733"/>
      <c r="BD1168" s="138"/>
    </row>
    <row r="1169" spans="2:56" ht="15.75">
      <c r="B1169" s="121">
        <v>118</v>
      </c>
      <c r="C1169" s="121">
        <v>6</v>
      </c>
      <c r="D1169" s="734">
        <v>136.70962369246632</v>
      </c>
      <c r="E1169" s="733"/>
      <c r="BD1169" s="138"/>
    </row>
    <row r="1170" spans="2:56" ht="15.75">
      <c r="B1170" s="121">
        <v>119</v>
      </c>
      <c r="C1170" s="121">
        <v>1</v>
      </c>
      <c r="D1170" s="734">
        <v>5</v>
      </c>
      <c r="E1170" s="733"/>
      <c r="BD1170" s="138"/>
    </row>
    <row r="1171" spans="2:56" ht="15.75">
      <c r="B1171" s="121">
        <v>119</v>
      </c>
      <c r="C1171" s="121">
        <v>2</v>
      </c>
      <c r="D1171" s="734">
        <v>101.85524993268109</v>
      </c>
      <c r="E1171" s="733"/>
      <c r="BD1171" s="138"/>
    </row>
    <row r="1172" spans="2:56" ht="15.75">
      <c r="B1172" s="121">
        <v>119</v>
      </c>
      <c r="C1172" s="121">
        <v>3</v>
      </c>
      <c r="D1172" s="734">
        <v>120.17531893002298</v>
      </c>
      <c r="E1172" s="733"/>
      <c r="BD1172" s="138"/>
    </row>
    <row r="1173" spans="2:56" ht="15.75">
      <c r="B1173" s="121">
        <v>119</v>
      </c>
      <c r="C1173" s="121">
        <v>4</v>
      </c>
      <c r="D1173" s="734">
        <v>142.65032205964511</v>
      </c>
      <c r="E1173" s="733"/>
      <c r="BD1173" s="138"/>
    </row>
    <row r="1174" spans="2:56" ht="15.75">
      <c r="B1174" s="121">
        <v>119</v>
      </c>
      <c r="C1174" s="121">
        <v>5</v>
      </c>
      <c r="D1174" s="734">
        <v>145.38074787171925</v>
      </c>
      <c r="E1174" s="733"/>
      <c r="BD1174" s="138"/>
    </row>
    <row r="1175" spans="2:56" ht="15.75">
      <c r="B1175" s="121">
        <v>119</v>
      </c>
      <c r="C1175" s="121">
        <v>6</v>
      </c>
      <c r="D1175" s="734">
        <v>139.2646056626173</v>
      </c>
      <c r="E1175" s="733"/>
      <c r="BD1175" s="138"/>
    </row>
    <row r="1176" spans="2:56" ht="15.75">
      <c r="B1176" s="121">
        <v>119</v>
      </c>
      <c r="C1176" s="121">
        <v>7</v>
      </c>
      <c r="D1176" s="734">
        <v>140.79142111552764</v>
      </c>
      <c r="E1176" s="733"/>
      <c r="BD1176" s="138"/>
    </row>
    <row r="1177" spans="2:56" ht="15.75">
      <c r="B1177" s="121">
        <v>119</v>
      </c>
      <c r="C1177" s="121">
        <v>8</v>
      </c>
      <c r="D1177" s="734">
        <v>144.39974706777414</v>
      </c>
      <c r="E1177" s="733"/>
      <c r="BD1177" s="138"/>
    </row>
    <row r="1178" spans="2:56" ht="15.75">
      <c r="B1178" s="121">
        <v>119</v>
      </c>
      <c r="C1178" s="121">
        <v>9</v>
      </c>
      <c r="D1178" s="734">
        <v>134.59238151655686</v>
      </c>
      <c r="E1178" s="733"/>
      <c r="BD1178" s="138"/>
    </row>
    <row r="1179" spans="2:56" ht="15.75">
      <c r="B1179" s="121">
        <v>119</v>
      </c>
      <c r="C1179" s="121">
        <v>10</v>
      </c>
      <c r="D1179" s="734">
        <v>141.4794544713497</v>
      </c>
      <c r="E1179" s="733"/>
      <c r="BD1179" s="138"/>
    </row>
    <row r="1180" spans="2:56" ht="15.75">
      <c r="B1180" s="121">
        <v>119</v>
      </c>
      <c r="C1180" s="121">
        <v>11</v>
      </c>
      <c r="D1180" s="734">
        <v>140.62477971823654</v>
      </c>
      <c r="E1180" s="733"/>
      <c r="BD1180" s="138"/>
    </row>
    <row r="1181" spans="2:56" ht="15.75">
      <c r="B1181" s="121">
        <v>119</v>
      </c>
      <c r="C1181" s="121">
        <v>12</v>
      </c>
      <c r="D1181" s="734">
        <v>143.43915124824025</v>
      </c>
      <c r="E1181" s="733"/>
      <c r="BD1181" s="138"/>
    </row>
    <row r="1182" spans="2:56" ht="15.75">
      <c r="B1182" s="121">
        <v>119</v>
      </c>
      <c r="C1182" s="121">
        <v>13</v>
      </c>
      <c r="D1182" s="734">
        <v>141.61729745785769</v>
      </c>
      <c r="E1182" s="733"/>
      <c r="BD1182" s="138"/>
    </row>
    <row r="1183" spans="2:56" ht="15.75">
      <c r="B1183" s="121">
        <v>119</v>
      </c>
      <c r="C1183" s="121">
        <v>14</v>
      </c>
      <c r="D1183" s="734">
        <v>135.55113362049707</v>
      </c>
      <c r="E1183" s="733"/>
      <c r="BD1183" s="138"/>
    </row>
    <row r="1184" spans="2:56" ht="15.75">
      <c r="B1184" s="121">
        <v>119</v>
      </c>
      <c r="C1184" s="121">
        <v>15</v>
      </c>
      <c r="D1184" s="734">
        <v>140.00945049482755</v>
      </c>
      <c r="E1184" s="733"/>
      <c r="BD1184" s="138"/>
    </row>
    <row r="1185" spans="2:56" ht="15.75">
      <c r="B1185" s="121">
        <v>119</v>
      </c>
      <c r="C1185" s="121">
        <v>16</v>
      </c>
      <c r="D1185" s="734">
        <v>139.80305412192146</v>
      </c>
      <c r="E1185" s="733"/>
      <c r="BD1185" s="138"/>
    </row>
    <row r="1186" spans="2:56" ht="15.75">
      <c r="B1186" s="121">
        <v>119</v>
      </c>
      <c r="C1186" s="121">
        <v>17</v>
      </c>
      <c r="D1186" s="734">
        <v>135.90327463614449</v>
      </c>
      <c r="E1186" s="733"/>
      <c r="BD1186" s="138"/>
    </row>
    <row r="1187" spans="2:56" ht="15.75">
      <c r="B1187" s="121">
        <v>119</v>
      </c>
      <c r="C1187" s="121">
        <v>18</v>
      </c>
      <c r="D1187" s="734">
        <v>140.72420227297988</v>
      </c>
      <c r="E1187" s="733"/>
      <c r="BD1187" s="138"/>
    </row>
    <row r="1188" spans="2:56" ht="15.75">
      <c r="B1188" s="121">
        <v>119</v>
      </c>
      <c r="C1188" s="121">
        <v>19</v>
      </c>
      <c r="D1188" s="734">
        <v>142.7760141079508</v>
      </c>
      <c r="E1188" s="733"/>
      <c r="BD1188" s="138"/>
    </row>
    <row r="1189" spans="2:56" ht="15.75">
      <c r="B1189" s="121">
        <v>119</v>
      </c>
      <c r="C1189" s="121">
        <v>20</v>
      </c>
      <c r="D1189" s="734">
        <v>144.24177204109455</v>
      </c>
      <c r="E1189" s="733"/>
      <c r="BD1189" s="138"/>
    </row>
    <row r="1190" spans="2:56" ht="15.75">
      <c r="B1190" s="121">
        <v>119</v>
      </c>
      <c r="C1190" s="121">
        <v>21</v>
      </c>
      <c r="D1190" s="734">
        <v>137.47528660039066</v>
      </c>
      <c r="E1190" s="733"/>
      <c r="BD1190" s="138"/>
    </row>
    <row r="1191" spans="2:56" ht="15.75">
      <c r="B1191" s="121">
        <v>119</v>
      </c>
      <c r="C1191" s="121">
        <v>22</v>
      </c>
      <c r="D1191" s="734">
        <v>138.07612993910135</v>
      </c>
      <c r="E1191" s="733"/>
      <c r="BD1191" s="138"/>
    </row>
    <row r="1192" spans="2:56" ht="15.75">
      <c r="B1192" s="121">
        <v>119</v>
      </c>
      <c r="C1192" s="121">
        <v>23</v>
      </c>
      <c r="D1192" s="734">
        <v>138.65015425533613</v>
      </c>
      <c r="E1192" s="733"/>
      <c r="BD1192" s="138"/>
    </row>
    <row r="1193" spans="2:56" ht="15.75">
      <c r="B1193" s="121">
        <v>119</v>
      </c>
      <c r="C1193" s="121">
        <v>24</v>
      </c>
      <c r="D1193" s="734">
        <v>140.69069306885712</v>
      </c>
      <c r="E1193" s="733"/>
      <c r="BD1193" s="138"/>
    </row>
    <row r="1194" spans="2:56" ht="15.75">
      <c r="B1194" s="121">
        <v>119</v>
      </c>
      <c r="C1194" s="121">
        <v>25</v>
      </c>
      <c r="D1194" s="734">
        <v>138.95578017192773</v>
      </c>
      <c r="E1194" s="733"/>
      <c r="BD1194" s="138"/>
    </row>
    <row r="1195" spans="2:56" ht="15.75">
      <c r="B1195" s="121">
        <v>119</v>
      </c>
      <c r="C1195" s="121">
        <v>26</v>
      </c>
      <c r="D1195" s="734">
        <v>144.62920157913598</v>
      </c>
      <c r="E1195" s="733"/>
      <c r="BD1195" s="138"/>
    </row>
    <row r="1196" spans="2:56" ht="15.75">
      <c r="B1196" s="121">
        <v>119</v>
      </c>
      <c r="C1196" s="121">
        <v>27</v>
      </c>
      <c r="D1196" s="734">
        <v>143.74437329291766</v>
      </c>
      <c r="E1196" s="733"/>
      <c r="BD1196" s="138"/>
    </row>
    <row r="1197" spans="2:56" ht="15.75">
      <c r="B1197" s="121">
        <v>119</v>
      </c>
      <c r="C1197" s="121">
        <v>28</v>
      </c>
      <c r="D1197" s="734">
        <v>146.60723710375683</v>
      </c>
      <c r="E1197" s="733"/>
      <c r="BD1197" s="138"/>
    </row>
    <row r="1198" spans="2:56" ht="15.75">
      <c r="B1198" s="121">
        <v>119</v>
      </c>
      <c r="C1198" s="121">
        <v>29</v>
      </c>
      <c r="D1198" s="734">
        <v>140.91333397867268</v>
      </c>
      <c r="E1198" s="733"/>
      <c r="BD1198" s="138"/>
    </row>
    <row r="1199" spans="2:56" ht="15.75">
      <c r="B1199" s="121">
        <v>119</v>
      </c>
      <c r="C1199" s="121">
        <v>30</v>
      </c>
      <c r="D1199" s="734">
        <v>146.02181631590076</v>
      </c>
      <c r="E1199" s="733"/>
      <c r="BD1199" s="138"/>
    </row>
    <row r="1200" spans="2:56" ht="15.75">
      <c r="B1200" s="121">
        <v>119</v>
      </c>
      <c r="C1200" s="121">
        <v>31</v>
      </c>
      <c r="D1200" s="734">
        <v>142.23367183933053</v>
      </c>
      <c r="E1200" s="733"/>
      <c r="BD1200" s="138"/>
    </row>
    <row r="1201" spans="2:56" ht="15.75">
      <c r="B1201" s="121">
        <v>119</v>
      </c>
      <c r="C1201" s="121">
        <v>32</v>
      </c>
      <c r="D1201" s="734">
        <v>143.46549062776984</v>
      </c>
      <c r="E1201" s="733"/>
      <c r="BD1201" s="138"/>
    </row>
    <row r="1202" spans="2:56" ht="15.75">
      <c r="B1202" s="121">
        <v>119</v>
      </c>
      <c r="C1202" s="121">
        <v>33</v>
      </c>
      <c r="D1202" s="734">
        <v>138.82478243963499</v>
      </c>
      <c r="E1202" s="733"/>
      <c r="BD1202" s="138"/>
    </row>
    <row r="1203" spans="2:56" ht="15.75">
      <c r="B1203" s="121">
        <v>119</v>
      </c>
      <c r="C1203" s="121">
        <v>34</v>
      </c>
      <c r="D1203" s="734">
        <v>145.03595375320788</v>
      </c>
      <c r="E1203" s="733"/>
      <c r="BD1203" s="138"/>
    </row>
    <row r="1204" spans="2:56" ht="15.75">
      <c r="B1204" s="121">
        <v>119</v>
      </c>
      <c r="C1204" s="121">
        <v>35</v>
      </c>
      <c r="D1204" s="734">
        <v>141.73262018747707</v>
      </c>
      <c r="E1204" s="733"/>
      <c r="BD1204" s="138"/>
    </row>
    <row r="1205" spans="2:56" ht="15.75">
      <c r="B1205" s="121">
        <v>119</v>
      </c>
      <c r="C1205" s="121">
        <v>36</v>
      </c>
      <c r="D1205" s="734">
        <v>139.99385408093039</v>
      </c>
      <c r="E1205" s="733"/>
      <c r="BD1205" s="138"/>
    </row>
    <row r="1206" spans="2:56" ht="15.75">
      <c r="B1206" s="121">
        <v>120</v>
      </c>
      <c r="C1206" s="121">
        <v>1</v>
      </c>
      <c r="D1206" s="734">
        <v>5</v>
      </c>
      <c r="E1206" s="733"/>
      <c r="BD1206" s="138"/>
    </row>
    <row r="1207" spans="2:56" ht="15.75">
      <c r="B1207" s="121">
        <v>120</v>
      </c>
      <c r="C1207" s="121">
        <v>2</v>
      </c>
      <c r="D1207" s="734">
        <v>102.84527343591949</v>
      </c>
      <c r="E1207" s="733"/>
      <c r="BD1207" s="138"/>
    </row>
    <row r="1208" spans="2:56" ht="15.75">
      <c r="B1208" s="121">
        <v>120</v>
      </c>
      <c r="C1208" s="121">
        <v>3</v>
      </c>
      <c r="D1208" s="734">
        <v>121.51593918010714</v>
      </c>
      <c r="E1208" s="733"/>
      <c r="BD1208" s="138"/>
    </row>
    <row r="1209" spans="2:56" ht="15.75">
      <c r="B1209" s="121">
        <v>120</v>
      </c>
      <c r="C1209" s="121">
        <v>4</v>
      </c>
      <c r="D1209" s="734">
        <v>140.77108867200161</v>
      </c>
      <c r="E1209" s="733"/>
      <c r="BD1209" s="138"/>
    </row>
    <row r="1210" spans="2:56" ht="15.75">
      <c r="B1210" s="121">
        <v>120</v>
      </c>
      <c r="C1210" s="121">
        <v>5</v>
      </c>
      <c r="D1210" s="734">
        <v>134.69240737737192</v>
      </c>
      <c r="E1210" s="733"/>
      <c r="BD1210" s="138"/>
    </row>
    <row r="1211" spans="2:56" ht="15.75">
      <c r="B1211" s="121">
        <v>120</v>
      </c>
      <c r="C1211" s="121">
        <v>6</v>
      </c>
      <c r="D1211" s="734">
        <v>146.07823971471569</v>
      </c>
      <c r="E1211" s="733"/>
      <c r="BD1211" s="138"/>
    </row>
    <row r="1212" spans="2:56" ht="15.75">
      <c r="B1212" s="121">
        <v>120</v>
      </c>
      <c r="C1212" s="121">
        <v>7</v>
      </c>
      <c r="D1212" s="734">
        <v>134.70571848120301</v>
      </c>
      <c r="E1212" s="733"/>
      <c r="BD1212" s="138"/>
    </row>
    <row r="1213" spans="2:56" ht="15.75">
      <c r="B1213" s="121">
        <v>120</v>
      </c>
      <c r="C1213" s="121">
        <v>8</v>
      </c>
      <c r="D1213" s="734">
        <v>141.73989236592544</v>
      </c>
      <c r="E1213" s="733"/>
      <c r="BD1213" s="138"/>
    </row>
    <row r="1214" spans="2:56" ht="15.75">
      <c r="B1214" s="121">
        <v>120</v>
      </c>
      <c r="C1214" s="121">
        <v>9</v>
      </c>
      <c r="D1214" s="734">
        <v>136.40595937903544</v>
      </c>
      <c r="E1214" s="733"/>
      <c r="BD1214" s="138"/>
    </row>
    <row r="1215" spans="2:56" ht="15.75">
      <c r="B1215" s="121">
        <v>121</v>
      </c>
      <c r="C1215" s="121">
        <v>1</v>
      </c>
      <c r="D1215" s="734">
        <v>5</v>
      </c>
      <c r="E1215" s="733"/>
      <c r="BD1215" s="138"/>
    </row>
    <row r="1216" spans="2:56" ht="15.75">
      <c r="B1216" s="121">
        <v>121</v>
      </c>
      <c r="C1216" s="121">
        <v>2</v>
      </c>
      <c r="D1216" s="734">
        <v>103.10751206508719</v>
      </c>
      <c r="E1216" s="733"/>
      <c r="BD1216" s="138"/>
    </row>
    <row r="1217" spans="2:56" ht="15.75">
      <c r="B1217" s="121">
        <v>121</v>
      </c>
      <c r="C1217" s="121">
        <v>3</v>
      </c>
      <c r="D1217" s="734">
        <v>120.9733485354178</v>
      </c>
      <c r="E1217" s="733"/>
      <c r="BD1217" s="138"/>
    </row>
    <row r="1218" spans="2:56" ht="15.75">
      <c r="B1218" s="121">
        <v>121</v>
      </c>
      <c r="C1218" s="121">
        <v>4</v>
      </c>
      <c r="D1218" s="734">
        <v>135.50122402326448</v>
      </c>
      <c r="E1218" s="733"/>
      <c r="BD1218" s="138"/>
    </row>
    <row r="1219" spans="2:56" ht="15.75">
      <c r="B1219" s="121">
        <v>122</v>
      </c>
      <c r="C1219" s="121">
        <v>1</v>
      </c>
      <c r="D1219" s="734">
        <v>5</v>
      </c>
      <c r="E1219" s="733"/>
      <c r="BD1219" s="138"/>
    </row>
    <row r="1220" spans="2:56" ht="15.75">
      <c r="B1220" s="121">
        <v>123</v>
      </c>
      <c r="C1220" s="121">
        <v>1</v>
      </c>
      <c r="D1220" s="734">
        <v>5</v>
      </c>
      <c r="E1220" s="733"/>
      <c r="BD1220" s="138"/>
    </row>
    <row r="1221" spans="2:56" ht="15.75">
      <c r="B1221" s="121">
        <v>124</v>
      </c>
      <c r="C1221" s="121">
        <v>1</v>
      </c>
      <c r="D1221" s="734">
        <v>5</v>
      </c>
      <c r="E1221" s="733"/>
      <c r="BD1221" s="138"/>
    </row>
    <row r="1222" spans="2:56" ht="15.75">
      <c r="B1222" s="121">
        <v>124</v>
      </c>
      <c r="C1222" s="121">
        <v>2</v>
      </c>
      <c r="D1222" s="734">
        <v>100.87626121865279</v>
      </c>
      <c r="E1222" s="733"/>
      <c r="BD1222" s="138"/>
    </row>
    <row r="1223" spans="2:56" ht="15.75">
      <c r="B1223" s="121">
        <v>124</v>
      </c>
      <c r="C1223" s="121">
        <v>3</v>
      </c>
      <c r="D1223" s="734">
        <v>115.01910877385377</v>
      </c>
      <c r="E1223" s="733"/>
      <c r="BD1223" s="138"/>
    </row>
    <row r="1224" spans="2:56" ht="15.75">
      <c r="B1224" s="121">
        <v>124</v>
      </c>
      <c r="C1224" s="121">
        <v>4</v>
      </c>
      <c r="D1224" s="734">
        <v>138.75434180612473</v>
      </c>
      <c r="E1224" s="733"/>
      <c r="BD1224" s="138"/>
    </row>
    <row r="1225" spans="2:56" ht="15.75">
      <c r="B1225" s="121">
        <v>125</v>
      </c>
      <c r="C1225" s="121">
        <v>1</v>
      </c>
      <c r="D1225" s="734">
        <v>5</v>
      </c>
      <c r="E1225" s="733"/>
      <c r="BD1225" s="138"/>
    </row>
    <row r="1226" spans="2:56" ht="15.75">
      <c r="B1226" s="121">
        <v>125</v>
      </c>
      <c r="C1226" s="121">
        <v>2</v>
      </c>
      <c r="D1226" s="734">
        <v>102.938639499164</v>
      </c>
      <c r="E1226" s="733"/>
      <c r="BD1226" s="138"/>
    </row>
    <row r="1227" spans="2:56" ht="15.75">
      <c r="B1227" s="121">
        <v>125</v>
      </c>
      <c r="C1227" s="121">
        <v>3</v>
      </c>
      <c r="D1227" s="734">
        <v>121.47823992073542</v>
      </c>
      <c r="E1227" s="733"/>
      <c r="BD1227" s="138"/>
    </row>
    <row r="1228" spans="2:56" ht="15.75">
      <c r="B1228" s="121">
        <v>125</v>
      </c>
      <c r="C1228" s="121">
        <v>4</v>
      </c>
      <c r="D1228" s="734">
        <v>144.76961622727043</v>
      </c>
      <c r="E1228" s="733"/>
      <c r="BD1228" s="138"/>
    </row>
    <row r="1229" spans="2:56" ht="15.75">
      <c r="B1229" s="121">
        <v>125</v>
      </c>
      <c r="C1229" s="121">
        <v>5</v>
      </c>
      <c r="D1229" s="734">
        <v>141.6246416228378</v>
      </c>
      <c r="E1229" s="733"/>
      <c r="BD1229" s="138"/>
    </row>
    <row r="1230" spans="2:56" ht="15.75">
      <c r="B1230" s="121">
        <v>125</v>
      </c>
      <c r="C1230" s="121">
        <v>6</v>
      </c>
      <c r="D1230" s="734">
        <v>142.57642312139851</v>
      </c>
      <c r="E1230" s="733"/>
      <c r="BD1230" s="138"/>
    </row>
    <row r="1231" spans="2:56" ht="15.75">
      <c r="B1231" s="121">
        <v>125</v>
      </c>
      <c r="C1231" s="121">
        <v>7</v>
      </c>
      <c r="D1231" s="734">
        <v>134.71307157170904</v>
      </c>
      <c r="E1231" s="733"/>
      <c r="BD1231" s="138"/>
    </row>
    <row r="1232" spans="2:56" ht="15.75">
      <c r="B1232" s="121">
        <v>125</v>
      </c>
      <c r="C1232" s="121">
        <v>8</v>
      </c>
      <c r="D1232" s="734">
        <v>146.81102262628087</v>
      </c>
      <c r="E1232" s="733"/>
      <c r="BD1232" s="138"/>
    </row>
    <row r="1233" spans="2:56" ht="15.75">
      <c r="B1233" s="121">
        <v>125</v>
      </c>
      <c r="C1233" s="121">
        <v>9</v>
      </c>
      <c r="D1233" s="734">
        <v>142.77628999008849</v>
      </c>
      <c r="E1233" s="733"/>
      <c r="BD1233" s="138"/>
    </row>
    <row r="1234" spans="2:56" ht="15.75">
      <c r="B1234" s="121">
        <v>125</v>
      </c>
      <c r="C1234" s="121">
        <v>10</v>
      </c>
      <c r="D1234" s="734">
        <v>146.26431142588618</v>
      </c>
      <c r="E1234" s="733"/>
      <c r="BD1234" s="138"/>
    </row>
    <row r="1235" spans="2:56" ht="15.75">
      <c r="B1235" s="121">
        <v>125</v>
      </c>
      <c r="C1235" s="121">
        <v>11</v>
      </c>
      <c r="D1235" s="734">
        <v>144.78868109670972</v>
      </c>
      <c r="E1235" s="733"/>
      <c r="BD1235" s="138"/>
    </row>
    <row r="1236" spans="2:56" ht="15.75">
      <c r="B1236" s="121">
        <v>125</v>
      </c>
      <c r="C1236" s="121">
        <v>12</v>
      </c>
      <c r="D1236" s="734">
        <v>145.53572614738866</v>
      </c>
      <c r="E1236" s="733"/>
      <c r="BD1236" s="138"/>
    </row>
    <row r="1237" spans="2:56" ht="15.75">
      <c r="B1237" s="121">
        <v>125</v>
      </c>
      <c r="C1237" s="121">
        <v>13</v>
      </c>
      <c r="D1237" s="734">
        <v>135.38413172365364</v>
      </c>
      <c r="E1237" s="733"/>
      <c r="BD1237" s="138"/>
    </row>
    <row r="1238" spans="2:56" ht="15.75">
      <c r="B1238" s="121">
        <v>125</v>
      </c>
      <c r="C1238" s="121">
        <v>14</v>
      </c>
      <c r="D1238" s="734">
        <v>137.01372262821718</v>
      </c>
      <c r="E1238" s="733"/>
      <c r="BD1238" s="138"/>
    </row>
    <row r="1239" spans="2:56" ht="15.75">
      <c r="B1239" s="121">
        <v>126</v>
      </c>
      <c r="C1239" s="121">
        <v>1</v>
      </c>
      <c r="D1239" s="734">
        <v>5</v>
      </c>
      <c r="E1239" s="733"/>
      <c r="BD1239" s="138"/>
    </row>
    <row r="1240" spans="2:56" ht="15.75">
      <c r="B1240" s="121">
        <v>127</v>
      </c>
      <c r="C1240" s="121">
        <v>1</v>
      </c>
      <c r="D1240" s="734">
        <v>5</v>
      </c>
      <c r="E1240" s="733"/>
      <c r="BD1240" s="138"/>
    </row>
    <row r="1241" spans="2:56" ht="15.75">
      <c r="B1241" s="121">
        <v>127</v>
      </c>
      <c r="C1241" s="121">
        <v>2</v>
      </c>
      <c r="D1241" s="734">
        <v>95.136610712662005</v>
      </c>
      <c r="E1241" s="733"/>
      <c r="BD1241" s="138"/>
    </row>
    <row r="1242" spans="2:56" ht="15.75">
      <c r="B1242" s="121">
        <v>127</v>
      </c>
      <c r="C1242" s="121">
        <v>3</v>
      </c>
      <c r="D1242" s="734">
        <v>121.01640616741521</v>
      </c>
      <c r="E1242" s="733"/>
      <c r="BD1242" s="138"/>
    </row>
    <row r="1243" spans="2:56" ht="15.75">
      <c r="B1243" s="121">
        <v>127</v>
      </c>
      <c r="C1243" s="121">
        <v>4</v>
      </c>
      <c r="D1243" s="734">
        <v>135.6725142572559</v>
      </c>
      <c r="E1243" s="733"/>
      <c r="BD1243" s="138"/>
    </row>
    <row r="1244" spans="2:56" ht="15.75">
      <c r="B1244" s="121">
        <v>127</v>
      </c>
      <c r="C1244" s="121">
        <v>5</v>
      </c>
      <c r="D1244" s="734">
        <v>138.3842909333155</v>
      </c>
      <c r="E1244" s="733"/>
      <c r="BD1244" s="138"/>
    </row>
    <row r="1245" spans="2:56" ht="15.75">
      <c r="B1245" s="121">
        <v>127</v>
      </c>
      <c r="C1245" s="121">
        <v>6</v>
      </c>
      <c r="D1245" s="734">
        <v>144.28380357444851</v>
      </c>
      <c r="E1245" s="733"/>
      <c r="BD1245" s="138"/>
    </row>
    <row r="1246" spans="2:56" ht="15.75">
      <c r="B1246" s="121">
        <v>127</v>
      </c>
      <c r="C1246" s="121">
        <v>7</v>
      </c>
      <c r="D1246" s="734">
        <v>133.71286097943943</v>
      </c>
      <c r="E1246" s="733"/>
      <c r="BD1246" s="138"/>
    </row>
    <row r="1247" spans="2:56" ht="15.75">
      <c r="B1247" s="121">
        <v>127</v>
      </c>
      <c r="C1247" s="121">
        <v>8</v>
      </c>
      <c r="D1247" s="734">
        <v>139.28341101098536</v>
      </c>
      <c r="E1247" s="733"/>
      <c r="BD1247" s="138"/>
    </row>
    <row r="1248" spans="2:56" ht="15.75">
      <c r="B1248" s="121">
        <v>127</v>
      </c>
      <c r="C1248" s="121">
        <v>9</v>
      </c>
      <c r="D1248" s="734">
        <v>137.66037657934274</v>
      </c>
      <c r="E1248" s="733"/>
      <c r="BD1248" s="138"/>
    </row>
    <row r="1249" spans="2:56" ht="15.75">
      <c r="B1249" s="121">
        <v>127</v>
      </c>
      <c r="C1249" s="121">
        <v>10</v>
      </c>
      <c r="D1249" s="734">
        <v>147.07988974250648</v>
      </c>
      <c r="E1249" s="733"/>
      <c r="BD1249" s="138"/>
    </row>
    <row r="1250" spans="2:56" ht="15.75">
      <c r="B1250" s="121">
        <v>127</v>
      </c>
      <c r="C1250" s="121">
        <v>11</v>
      </c>
      <c r="D1250" s="734">
        <v>134.23087881540107</v>
      </c>
      <c r="E1250" s="733"/>
      <c r="BD1250" s="138"/>
    </row>
    <row r="1251" spans="2:56" ht="15.75">
      <c r="B1251" s="121">
        <v>127</v>
      </c>
      <c r="C1251" s="121">
        <v>12</v>
      </c>
      <c r="D1251" s="734">
        <v>138.7347632127765</v>
      </c>
      <c r="E1251" s="733"/>
      <c r="BD1251" s="138"/>
    </row>
    <row r="1252" spans="2:56" ht="15.75">
      <c r="B1252" s="121">
        <v>127</v>
      </c>
      <c r="C1252" s="121">
        <v>13</v>
      </c>
      <c r="D1252" s="734">
        <v>143.27957400977186</v>
      </c>
      <c r="E1252" s="733"/>
      <c r="BD1252" s="138"/>
    </row>
    <row r="1253" spans="2:56" ht="15.75">
      <c r="B1253" s="121">
        <v>127</v>
      </c>
      <c r="C1253" s="121">
        <v>14</v>
      </c>
      <c r="D1253" s="734">
        <v>137.02959032373667</v>
      </c>
      <c r="E1253" s="733"/>
      <c r="BD1253" s="138"/>
    </row>
    <row r="1254" spans="2:56" ht="15.75">
      <c r="B1254" s="121">
        <v>128</v>
      </c>
      <c r="C1254" s="121">
        <v>1</v>
      </c>
      <c r="D1254" s="734">
        <v>5</v>
      </c>
      <c r="E1254" s="733"/>
      <c r="BD1254" s="138"/>
    </row>
    <row r="1255" spans="2:56" ht="15.75">
      <c r="B1255" s="121">
        <v>128</v>
      </c>
      <c r="C1255" s="121">
        <v>2</v>
      </c>
      <c r="D1255" s="734">
        <v>98.990853129594441</v>
      </c>
      <c r="E1255" s="733"/>
      <c r="BD1255" s="138"/>
    </row>
    <row r="1256" spans="2:56" ht="15.75">
      <c r="B1256" s="121">
        <v>128</v>
      </c>
      <c r="C1256" s="121">
        <v>3</v>
      </c>
      <c r="D1256" s="734">
        <v>125.20628328896716</v>
      </c>
      <c r="E1256" s="733"/>
      <c r="BD1256" s="138"/>
    </row>
    <row r="1257" spans="2:56" ht="15.75">
      <c r="B1257" s="121">
        <v>128</v>
      </c>
      <c r="C1257" s="121">
        <v>4</v>
      </c>
      <c r="D1257" s="734">
        <v>140.0495305263681</v>
      </c>
      <c r="E1257" s="733"/>
      <c r="BD1257" s="138"/>
    </row>
    <row r="1258" spans="2:56" ht="15.75">
      <c r="B1258" s="121">
        <v>128</v>
      </c>
      <c r="C1258" s="121">
        <v>5</v>
      </c>
      <c r="D1258" s="734">
        <v>145.58519338545051</v>
      </c>
      <c r="E1258" s="733"/>
      <c r="BD1258" s="138"/>
    </row>
    <row r="1259" spans="2:56" ht="15.75">
      <c r="B1259" s="121">
        <v>128</v>
      </c>
      <c r="C1259" s="121">
        <v>6</v>
      </c>
      <c r="D1259" s="734">
        <v>134.24354787806124</v>
      </c>
      <c r="E1259" s="733"/>
      <c r="BD1259" s="138"/>
    </row>
    <row r="1260" spans="2:56" ht="15.75">
      <c r="B1260" s="121">
        <v>129</v>
      </c>
      <c r="C1260" s="121">
        <v>1</v>
      </c>
      <c r="D1260" s="734">
        <v>5</v>
      </c>
      <c r="E1260" s="733"/>
      <c r="BD1260" s="138"/>
    </row>
    <row r="1261" spans="2:56" ht="15.75">
      <c r="B1261" s="121">
        <v>129</v>
      </c>
      <c r="C1261" s="121">
        <v>2</v>
      </c>
      <c r="D1261" s="734">
        <v>101.56596608534431</v>
      </c>
      <c r="E1261" s="733"/>
      <c r="BD1261" s="138"/>
    </row>
    <row r="1262" spans="2:56" ht="15.75">
      <c r="B1262" s="121">
        <v>129</v>
      </c>
      <c r="C1262" s="121">
        <v>3</v>
      </c>
      <c r="D1262" s="734">
        <v>121.6683187540404</v>
      </c>
      <c r="E1262" s="733"/>
      <c r="BD1262" s="138"/>
    </row>
    <row r="1263" spans="2:56" ht="15.75">
      <c r="B1263" s="121">
        <v>129</v>
      </c>
      <c r="C1263" s="121">
        <v>4</v>
      </c>
      <c r="D1263" s="734">
        <v>138.99212983216191</v>
      </c>
      <c r="E1263" s="733"/>
      <c r="BD1263" s="138"/>
    </row>
    <row r="1264" spans="2:56" ht="15.75">
      <c r="B1264" s="121">
        <v>129</v>
      </c>
      <c r="C1264" s="121">
        <v>5</v>
      </c>
      <c r="D1264" s="734">
        <v>134.33370560499887</v>
      </c>
      <c r="E1264" s="733"/>
      <c r="BD1264" s="138"/>
    </row>
    <row r="1265" spans="2:56" ht="15.75">
      <c r="B1265" s="121">
        <v>129</v>
      </c>
      <c r="C1265" s="121">
        <v>6</v>
      </c>
      <c r="D1265" s="734">
        <v>141.8113002737353</v>
      </c>
      <c r="E1265" s="733"/>
      <c r="BD1265" s="138"/>
    </row>
    <row r="1266" spans="2:56" ht="15.75">
      <c r="B1266" s="121">
        <v>129</v>
      </c>
      <c r="C1266" s="121">
        <v>7</v>
      </c>
      <c r="D1266" s="734">
        <v>138.75072250951524</v>
      </c>
      <c r="E1266" s="733"/>
      <c r="BD1266" s="138"/>
    </row>
    <row r="1267" spans="2:56" ht="15.75">
      <c r="B1267" s="121">
        <v>129</v>
      </c>
      <c r="C1267" s="121">
        <v>8</v>
      </c>
      <c r="D1267" s="734">
        <v>138.72975710329271</v>
      </c>
      <c r="E1267" s="733"/>
      <c r="BD1267" s="138"/>
    </row>
    <row r="1268" spans="2:56" ht="15.75">
      <c r="B1268" s="121">
        <v>129</v>
      </c>
      <c r="C1268" s="121">
        <v>9</v>
      </c>
      <c r="D1268" s="734">
        <v>139.01156646394318</v>
      </c>
      <c r="E1268" s="733"/>
      <c r="BD1268" s="138"/>
    </row>
    <row r="1269" spans="2:56" ht="15.75">
      <c r="B1269" s="121">
        <v>129</v>
      </c>
      <c r="C1269" s="121">
        <v>10</v>
      </c>
      <c r="D1269" s="734">
        <v>137.06086742820699</v>
      </c>
      <c r="E1269" s="733"/>
      <c r="BD1269" s="138"/>
    </row>
    <row r="1270" spans="2:56" ht="15.75">
      <c r="B1270" s="121">
        <v>129</v>
      </c>
      <c r="C1270" s="121">
        <v>11</v>
      </c>
      <c r="D1270" s="734">
        <v>139.18750852757771</v>
      </c>
      <c r="E1270" s="733"/>
      <c r="BD1270" s="138"/>
    </row>
    <row r="1271" spans="2:56" ht="15.75">
      <c r="B1271" s="121">
        <v>129</v>
      </c>
      <c r="C1271" s="121">
        <v>12</v>
      </c>
      <c r="D1271" s="734">
        <v>137.02149261086302</v>
      </c>
      <c r="E1271" s="733"/>
      <c r="BD1271" s="138"/>
    </row>
    <row r="1272" spans="2:56" ht="15.75">
      <c r="B1272" s="121">
        <v>129</v>
      </c>
      <c r="C1272" s="121">
        <v>13</v>
      </c>
      <c r="D1272" s="734">
        <v>139.84861736718184</v>
      </c>
      <c r="E1272" s="733"/>
      <c r="BD1272" s="138"/>
    </row>
    <row r="1273" spans="2:56" ht="15.75">
      <c r="B1273" s="121">
        <v>129</v>
      </c>
      <c r="C1273" s="121">
        <v>14</v>
      </c>
      <c r="D1273" s="734">
        <v>138.46608096503422</v>
      </c>
      <c r="E1273" s="733"/>
      <c r="BD1273" s="138"/>
    </row>
    <row r="1274" spans="2:56" ht="15.75">
      <c r="B1274" s="121">
        <v>129</v>
      </c>
      <c r="C1274" s="121">
        <v>15</v>
      </c>
      <c r="D1274" s="734">
        <v>135.68162735781158</v>
      </c>
      <c r="E1274" s="733"/>
      <c r="BD1274" s="138"/>
    </row>
    <row r="1275" spans="2:56" ht="15.75">
      <c r="B1275" s="121">
        <v>129</v>
      </c>
      <c r="C1275" s="121">
        <v>16</v>
      </c>
      <c r="D1275" s="734">
        <v>144.38582919724803</v>
      </c>
      <c r="E1275" s="733"/>
      <c r="BD1275" s="138"/>
    </row>
    <row r="1276" spans="2:56" ht="15.75">
      <c r="B1276" s="121">
        <v>130</v>
      </c>
      <c r="C1276" s="121">
        <v>1</v>
      </c>
      <c r="D1276" s="734">
        <v>5</v>
      </c>
      <c r="E1276" s="733"/>
      <c r="BD1276" s="138"/>
    </row>
    <row r="1277" spans="2:56" ht="15.75">
      <c r="B1277" s="121">
        <v>130</v>
      </c>
      <c r="C1277" s="121">
        <v>2</v>
      </c>
      <c r="D1277" s="734">
        <v>101.12188635919782</v>
      </c>
      <c r="E1277" s="733"/>
      <c r="BD1277" s="138"/>
    </row>
    <row r="1278" spans="2:56" ht="15.75">
      <c r="B1278" s="121">
        <v>130</v>
      </c>
      <c r="C1278" s="121">
        <v>3</v>
      </c>
      <c r="D1278" s="734">
        <v>125.20616214814621</v>
      </c>
      <c r="E1278" s="733"/>
      <c r="BD1278" s="138"/>
    </row>
    <row r="1279" spans="2:56" ht="15.75">
      <c r="B1279" s="121">
        <v>130</v>
      </c>
      <c r="C1279" s="121">
        <v>4</v>
      </c>
      <c r="D1279" s="734">
        <v>134.5187879707733</v>
      </c>
      <c r="E1279" s="733"/>
      <c r="BD1279" s="138"/>
    </row>
    <row r="1280" spans="2:56" ht="15.75">
      <c r="B1280" s="121">
        <v>131</v>
      </c>
      <c r="C1280" s="121">
        <v>1</v>
      </c>
      <c r="D1280" s="734">
        <v>5</v>
      </c>
      <c r="E1280" s="733"/>
      <c r="BD1280" s="138"/>
    </row>
    <row r="1281" spans="2:56" ht="15.75">
      <c r="B1281" s="121">
        <v>131</v>
      </c>
      <c r="C1281" s="121">
        <v>2</v>
      </c>
      <c r="D1281" s="734">
        <v>100.73615969837498</v>
      </c>
      <c r="E1281" s="733"/>
      <c r="BD1281" s="138"/>
    </row>
    <row r="1282" spans="2:56" ht="15.75">
      <c r="B1282" s="121">
        <v>131</v>
      </c>
      <c r="C1282" s="121">
        <v>3</v>
      </c>
      <c r="D1282" s="734">
        <v>124.5493005725864</v>
      </c>
      <c r="E1282" s="733"/>
      <c r="BD1282" s="138"/>
    </row>
    <row r="1283" spans="2:56" ht="15.75">
      <c r="B1283" s="121">
        <v>131</v>
      </c>
      <c r="C1283" s="121">
        <v>4</v>
      </c>
      <c r="D1283" s="734">
        <v>141.50662132572774</v>
      </c>
      <c r="E1283" s="733"/>
      <c r="BD1283" s="138"/>
    </row>
    <row r="1284" spans="2:56" ht="15.75">
      <c r="B1284" s="121">
        <v>131</v>
      </c>
      <c r="C1284" s="121">
        <v>5</v>
      </c>
      <c r="D1284" s="734">
        <v>135.55968624192067</v>
      </c>
      <c r="E1284" s="733"/>
      <c r="BD1284" s="138"/>
    </row>
    <row r="1285" spans="2:56" ht="15.75">
      <c r="B1285" s="121">
        <v>131</v>
      </c>
      <c r="C1285" s="121">
        <v>6</v>
      </c>
      <c r="D1285" s="734">
        <v>134.87023356492256</v>
      </c>
      <c r="E1285" s="733"/>
      <c r="BD1285" s="138"/>
    </row>
    <row r="1286" spans="2:56" ht="15.75">
      <c r="B1286" s="121">
        <v>131</v>
      </c>
      <c r="C1286" s="121">
        <v>7</v>
      </c>
      <c r="D1286" s="734">
        <v>141.28580243964521</v>
      </c>
      <c r="E1286" s="733"/>
      <c r="BD1286" s="138"/>
    </row>
    <row r="1287" spans="2:56" ht="15.75">
      <c r="B1287" s="121">
        <v>131</v>
      </c>
      <c r="C1287" s="121">
        <v>8</v>
      </c>
      <c r="D1287" s="734">
        <v>143.56324221608438</v>
      </c>
      <c r="E1287" s="733"/>
      <c r="BD1287" s="138"/>
    </row>
    <row r="1288" spans="2:56" ht="15.75">
      <c r="B1288" s="121">
        <v>131</v>
      </c>
      <c r="C1288" s="121">
        <v>9</v>
      </c>
      <c r="D1288" s="734">
        <v>141.90926584434263</v>
      </c>
      <c r="E1288" s="733"/>
      <c r="BD1288" s="138"/>
    </row>
    <row r="1289" spans="2:56" ht="15.75">
      <c r="B1289" s="121">
        <v>131</v>
      </c>
      <c r="C1289" s="121">
        <v>10</v>
      </c>
      <c r="D1289" s="734">
        <v>145.02963798532969</v>
      </c>
      <c r="E1289" s="733"/>
      <c r="BD1289" s="138"/>
    </row>
    <row r="1290" spans="2:56" ht="15.75">
      <c r="B1290" s="121">
        <v>131</v>
      </c>
      <c r="C1290" s="121">
        <v>11</v>
      </c>
      <c r="D1290" s="734">
        <v>141.82229035154202</v>
      </c>
      <c r="E1290" s="733"/>
      <c r="BD1290" s="138"/>
    </row>
    <row r="1291" spans="2:56" ht="15.75">
      <c r="B1291" s="121">
        <v>131</v>
      </c>
      <c r="C1291" s="121">
        <v>12</v>
      </c>
      <c r="D1291" s="734">
        <v>142.65261096601293</v>
      </c>
      <c r="E1291" s="733"/>
      <c r="BD1291" s="138"/>
    </row>
    <row r="1292" spans="2:56" ht="15.75">
      <c r="B1292" s="121">
        <v>131</v>
      </c>
      <c r="C1292" s="121">
        <v>13</v>
      </c>
      <c r="D1292" s="734">
        <v>139.53442415541252</v>
      </c>
      <c r="E1292" s="733"/>
      <c r="BD1292" s="138"/>
    </row>
    <row r="1293" spans="2:56" ht="15.75">
      <c r="B1293" s="121">
        <v>131</v>
      </c>
      <c r="C1293" s="121">
        <v>14</v>
      </c>
      <c r="D1293" s="734">
        <v>145.72711780935734</v>
      </c>
      <c r="E1293" s="733"/>
      <c r="BD1293" s="138"/>
    </row>
    <row r="1294" spans="2:56" ht="15.75">
      <c r="B1294" s="121">
        <v>131</v>
      </c>
      <c r="C1294" s="121">
        <v>15</v>
      </c>
      <c r="D1294" s="734">
        <v>144.79547737270602</v>
      </c>
      <c r="E1294" s="733"/>
      <c r="BD1294" s="138"/>
    </row>
    <row r="1295" spans="2:56" ht="15.75">
      <c r="B1295" s="121">
        <v>131</v>
      </c>
      <c r="C1295" s="121">
        <v>16</v>
      </c>
      <c r="D1295" s="734">
        <v>146.07792996219325</v>
      </c>
      <c r="E1295" s="733"/>
      <c r="BD1295" s="138"/>
    </row>
    <row r="1296" spans="2:56" ht="15.75">
      <c r="B1296" s="121">
        <v>131</v>
      </c>
      <c r="C1296" s="121">
        <v>17</v>
      </c>
      <c r="D1296" s="734">
        <v>138.20812767459924</v>
      </c>
      <c r="E1296" s="733"/>
      <c r="BD1296" s="138"/>
    </row>
    <row r="1297" spans="2:56" ht="15.75">
      <c r="B1297" s="121">
        <v>131</v>
      </c>
      <c r="C1297" s="121">
        <v>18</v>
      </c>
      <c r="D1297" s="734">
        <v>143.76864413098875</v>
      </c>
      <c r="E1297" s="733"/>
      <c r="BD1297" s="138"/>
    </row>
    <row r="1298" spans="2:56" ht="15.75">
      <c r="B1298" s="121">
        <v>131</v>
      </c>
      <c r="C1298" s="121">
        <v>19</v>
      </c>
      <c r="D1298" s="734">
        <v>139.78388549397616</v>
      </c>
      <c r="E1298" s="733"/>
      <c r="BD1298" s="138"/>
    </row>
    <row r="1299" spans="2:56" ht="15.75">
      <c r="B1299" s="121">
        <v>131</v>
      </c>
      <c r="C1299" s="121">
        <v>20</v>
      </c>
      <c r="D1299" s="734">
        <v>136.83648079299479</v>
      </c>
      <c r="E1299" s="733"/>
      <c r="BD1299" s="138"/>
    </row>
    <row r="1300" spans="2:56" ht="15.75">
      <c r="B1300" s="121">
        <v>131</v>
      </c>
      <c r="C1300" s="121">
        <v>21</v>
      </c>
      <c r="D1300" s="734">
        <v>135.27782807122213</v>
      </c>
      <c r="E1300" s="733"/>
      <c r="BD1300" s="138"/>
    </row>
    <row r="1301" spans="2:56" ht="15.75">
      <c r="B1301" s="121">
        <v>131</v>
      </c>
      <c r="C1301" s="121">
        <v>22</v>
      </c>
      <c r="D1301" s="734">
        <v>146.79497305161235</v>
      </c>
      <c r="E1301" s="733"/>
      <c r="BD1301" s="138"/>
    </row>
    <row r="1302" spans="2:56" ht="15.75">
      <c r="B1302" s="121">
        <v>131</v>
      </c>
      <c r="C1302" s="121">
        <v>23</v>
      </c>
      <c r="D1302" s="734">
        <v>146.86922745203069</v>
      </c>
      <c r="E1302" s="733"/>
      <c r="BD1302" s="138"/>
    </row>
    <row r="1303" spans="2:56" ht="15.75">
      <c r="B1303" s="121">
        <v>131</v>
      </c>
      <c r="C1303" s="121">
        <v>24</v>
      </c>
      <c r="D1303" s="734">
        <v>141.67849959009399</v>
      </c>
      <c r="E1303" s="733"/>
      <c r="BD1303" s="138"/>
    </row>
    <row r="1304" spans="2:56" ht="15.75">
      <c r="B1304" s="121">
        <v>131</v>
      </c>
      <c r="C1304" s="121">
        <v>25</v>
      </c>
      <c r="D1304" s="734">
        <v>141.92235659320113</v>
      </c>
      <c r="E1304" s="733"/>
      <c r="BD1304" s="138"/>
    </row>
    <row r="1305" spans="2:56" ht="15.75">
      <c r="B1305" s="121">
        <v>131</v>
      </c>
      <c r="C1305" s="121">
        <v>26</v>
      </c>
      <c r="D1305" s="734">
        <v>143.7667635876054</v>
      </c>
      <c r="E1305" s="733"/>
      <c r="BD1305" s="138"/>
    </row>
    <row r="1306" spans="2:56" ht="15.75">
      <c r="B1306" s="121">
        <v>131</v>
      </c>
      <c r="C1306" s="121">
        <v>27</v>
      </c>
      <c r="D1306" s="734">
        <v>144.86595456277402</v>
      </c>
      <c r="E1306" s="733"/>
      <c r="BD1306" s="138"/>
    </row>
    <row r="1307" spans="2:56" ht="15.75">
      <c r="B1307" s="121">
        <v>131</v>
      </c>
      <c r="C1307" s="121">
        <v>28</v>
      </c>
      <c r="D1307" s="734">
        <v>144.80507414704971</v>
      </c>
      <c r="E1307" s="733"/>
      <c r="BD1307" s="138"/>
    </row>
    <row r="1308" spans="2:56" ht="15.75">
      <c r="B1308" s="121">
        <v>131</v>
      </c>
      <c r="C1308" s="121">
        <v>29</v>
      </c>
      <c r="D1308" s="734">
        <v>133.6872528250521</v>
      </c>
      <c r="E1308" s="733"/>
      <c r="BD1308" s="138"/>
    </row>
    <row r="1309" spans="2:56" ht="15.75">
      <c r="B1309" s="121">
        <v>131</v>
      </c>
      <c r="C1309" s="121">
        <v>30</v>
      </c>
      <c r="D1309" s="734">
        <v>138.75405021287324</v>
      </c>
      <c r="E1309" s="733"/>
      <c r="BD1309" s="138"/>
    </row>
    <row r="1310" spans="2:56" ht="15.75">
      <c r="B1310" s="121">
        <v>131</v>
      </c>
      <c r="C1310" s="121">
        <v>31</v>
      </c>
      <c r="D1310" s="734">
        <v>138.38360644939971</v>
      </c>
      <c r="E1310" s="733"/>
      <c r="BD1310" s="138"/>
    </row>
    <row r="1311" spans="2:56" ht="15.75">
      <c r="B1311" s="121">
        <v>131</v>
      </c>
      <c r="C1311" s="121">
        <v>32</v>
      </c>
      <c r="D1311" s="734">
        <v>140.4020180886275</v>
      </c>
      <c r="E1311" s="733"/>
      <c r="BD1311" s="138"/>
    </row>
    <row r="1312" spans="2:56" ht="15.75">
      <c r="B1312" s="121">
        <v>131</v>
      </c>
      <c r="C1312" s="121">
        <v>33</v>
      </c>
      <c r="D1312" s="734">
        <v>146.81139984280162</v>
      </c>
      <c r="E1312" s="733"/>
      <c r="BD1312" s="138"/>
    </row>
    <row r="1313" spans="2:56" ht="15.75">
      <c r="B1313" s="121">
        <v>131</v>
      </c>
      <c r="C1313" s="121">
        <v>34</v>
      </c>
      <c r="D1313" s="734">
        <v>140.55517976863555</v>
      </c>
      <c r="E1313" s="733"/>
      <c r="BD1313" s="138"/>
    </row>
    <row r="1314" spans="2:56" ht="15.75">
      <c r="B1314" s="121">
        <v>131</v>
      </c>
      <c r="C1314" s="121">
        <v>35</v>
      </c>
      <c r="D1314" s="734">
        <v>138.2720160566009</v>
      </c>
      <c r="E1314" s="733"/>
      <c r="BD1314" s="138"/>
    </row>
    <row r="1315" spans="2:56" ht="15.75">
      <c r="B1315" s="121">
        <v>131</v>
      </c>
      <c r="C1315" s="121">
        <v>36</v>
      </c>
      <c r="D1315" s="734">
        <v>145.91272130549589</v>
      </c>
      <c r="E1315" s="733"/>
      <c r="BD1315" s="138"/>
    </row>
    <row r="1316" spans="2:56" ht="15.75">
      <c r="B1316" s="121">
        <v>132</v>
      </c>
      <c r="C1316" s="121">
        <v>1</v>
      </c>
      <c r="D1316" s="734">
        <v>5</v>
      </c>
      <c r="E1316" s="733"/>
      <c r="BD1316" s="138"/>
    </row>
    <row r="1317" spans="2:56" ht="15.75">
      <c r="B1317" s="121">
        <v>133</v>
      </c>
      <c r="C1317" s="121">
        <v>1</v>
      </c>
      <c r="D1317" s="734">
        <v>5</v>
      </c>
      <c r="E1317" s="733"/>
      <c r="BD1317" s="138"/>
    </row>
    <row r="1318" spans="2:56" ht="15.75">
      <c r="B1318" s="121">
        <v>133</v>
      </c>
      <c r="C1318" s="121">
        <v>2</v>
      </c>
      <c r="D1318" s="734">
        <v>102.6235307583089</v>
      </c>
      <c r="E1318" s="733"/>
      <c r="BD1318" s="138"/>
    </row>
    <row r="1319" spans="2:56" ht="15.75">
      <c r="B1319" s="121">
        <v>133</v>
      </c>
      <c r="C1319" s="121">
        <v>3</v>
      </c>
      <c r="D1319" s="734">
        <v>116.16347546175328</v>
      </c>
      <c r="E1319" s="733"/>
      <c r="BD1319" s="138"/>
    </row>
    <row r="1320" spans="2:56" ht="15.75">
      <c r="B1320" s="121">
        <v>133</v>
      </c>
      <c r="C1320" s="121">
        <v>4</v>
      </c>
      <c r="D1320" s="734">
        <v>145.27610038190778</v>
      </c>
      <c r="E1320" s="733"/>
      <c r="BD1320" s="138"/>
    </row>
    <row r="1321" spans="2:56" ht="15.75">
      <c r="B1321" s="121">
        <v>134</v>
      </c>
      <c r="C1321" s="121">
        <v>1</v>
      </c>
      <c r="D1321" s="734">
        <v>5</v>
      </c>
      <c r="E1321" s="733"/>
      <c r="BD1321" s="138"/>
    </row>
    <row r="1322" spans="2:56" ht="15.75">
      <c r="B1322" s="121">
        <v>134</v>
      </c>
      <c r="C1322" s="121">
        <v>2</v>
      </c>
      <c r="D1322" s="734">
        <v>98.742192829805077</v>
      </c>
      <c r="E1322" s="733"/>
      <c r="BD1322" s="138"/>
    </row>
    <row r="1323" spans="2:56" ht="15.75">
      <c r="B1323" s="121">
        <v>134</v>
      </c>
      <c r="C1323" s="121">
        <v>3</v>
      </c>
      <c r="D1323" s="734">
        <v>120.59604067328914</v>
      </c>
      <c r="E1323" s="733"/>
      <c r="BD1323" s="138"/>
    </row>
    <row r="1324" spans="2:56" ht="15.75">
      <c r="B1324" s="121">
        <v>134</v>
      </c>
      <c r="C1324" s="121">
        <v>4</v>
      </c>
      <c r="D1324" s="734">
        <v>139.26051316882513</v>
      </c>
      <c r="E1324" s="733"/>
      <c r="BD1324" s="138"/>
    </row>
    <row r="1325" spans="2:56" ht="15.75">
      <c r="B1325" s="121">
        <v>134</v>
      </c>
      <c r="C1325" s="121">
        <v>5</v>
      </c>
      <c r="D1325" s="734">
        <v>145.71626429704861</v>
      </c>
      <c r="E1325" s="733"/>
      <c r="BD1325" s="138"/>
    </row>
    <row r="1326" spans="2:56" ht="15.75">
      <c r="B1326" s="121">
        <v>134</v>
      </c>
      <c r="C1326" s="121">
        <v>6</v>
      </c>
      <c r="D1326" s="734">
        <v>135.59359972611301</v>
      </c>
      <c r="E1326" s="733"/>
      <c r="BD1326" s="138"/>
    </row>
    <row r="1327" spans="2:56" ht="15.75">
      <c r="B1327" s="121">
        <v>134</v>
      </c>
      <c r="C1327" s="121">
        <v>7</v>
      </c>
      <c r="D1327" s="734">
        <v>135.51369741862857</v>
      </c>
      <c r="E1327" s="733"/>
      <c r="BD1327" s="138"/>
    </row>
    <row r="1328" spans="2:56" ht="15.75">
      <c r="B1328" s="121">
        <v>134</v>
      </c>
      <c r="C1328" s="121">
        <v>8</v>
      </c>
      <c r="D1328" s="734">
        <v>140.66210263529584</v>
      </c>
      <c r="E1328" s="733"/>
      <c r="BD1328" s="138"/>
    </row>
    <row r="1329" spans="2:56" ht="15.75">
      <c r="B1329" s="121">
        <v>134</v>
      </c>
      <c r="C1329" s="121">
        <v>9</v>
      </c>
      <c r="D1329" s="734">
        <v>138.21166646172873</v>
      </c>
      <c r="E1329" s="733"/>
      <c r="BD1329" s="138"/>
    </row>
    <row r="1330" spans="2:56" ht="15.75">
      <c r="B1330" s="121">
        <v>134</v>
      </c>
      <c r="C1330" s="121">
        <v>10</v>
      </c>
      <c r="D1330" s="734">
        <v>143.73731527099278</v>
      </c>
      <c r="E1330" s="733"/>
      <c r="BD1330" s="138"/>
    </row>
    <row r="1331" spans="2:56" ht="15.75">
      <c r="B1331" s="121">
        <v>134</v>
      </c>
      <c r="C1331" s="121">
        <v>11</v>
      </c>
      <c r="D1331" s="734">
        <v>146.02796612145968</v>
      </c>
      <c r="E1331" s="733"/>
      <c r="BD1331" s="138"/>
    </row>
    <row r="1332" spans="2:56" ht="15.75">
      <c r="B1332" s="121">
        <v>134</v>
      </c>
      <c r="C1332" s="121">
        <v>12</v>
      </c>
      <c r="D1332" s="734">
        <v>143.81667490063234</v>
      </c>
      <c r="E1332" s="733"/>
      <c r="BD1332" s="138"/>
    </row>
    <row r="1333" spans="2:56" ht="15.75">
      <c r="B1333" s="121">
        <v>134</v>
      </c>
      <c r="C1333" s="121">
        <v>13</v>
      </c>
      <c r="D1333" s="734">
        <v>138.55122781448756</v>
      </c>
      <c r="E1333" s="733"/>
      <c r="BD1333" s="138"/>
    </row>
    <row r="1334" spans="2:56" ht="15.75">
      <c r="B1334" s="121">
        <v>134</v>
      </c>
      <c r="C1334" s="121">
        <v>14</v>
      </c>
      <c r="D1334" s="734">
        <v>139.7575713693507</v>
      </c>
      <c r="E1334" s="733"/>
      <c r="BD1334" s="138"/>
    </row>
    <row r="1335" spans="2:56" ht="15.75">
      <c r="B1335" s="121">
        <v>134</v>
      </c>
      <c r="C1335" s="121">
        <v>15</v>
      </c>
      <c r="D1335" s="734">
        <v>136.43216612619645</v>
      </c>
      <c r="E1335" s="733"/>
      <c r="BD1335" s="138"/>
    </row>
    <row r="1336" spans="2:56" ht="15.75">
      <c r="B1336" s="121">
        <v>134</v>
      </c>
      <c r="C1336" s="121">
        <v>16</v>
      </c>
      <c r="D1336" s="734">
        <v>135.95152004124466</v>
      </c>
      <c r="E1336" s="733"/>
      <c r="BD1336" s="138"/>
    </row>
    <row r="1337" spans="2:56" ht="15.75">
      <c r="B1337" s="121">
        <v>134</v>
      </c>
      <c r="C1337" s="121">
        <v>17</v>
      </c>
      <c r="D1337" s="734">
        <v>138.87841039430327</v>
      </c>
      <c r="E1337" s="733"/>
      <c r="BD1337" s="138"/>
    </row>
    <row r="1338" spans="2:56" ht="15.75">
      <c r="B1338" s="121">
        <v>134</v>
      </c>
      <c r="C1338" s="121">
        <v>18</v>
      </c>
      <c r="D1338" s="734">
        <v>141.89447090718744</v>
      </c>
      <c r="E1338" s="733"/>
      <c r="BD1338" s="138"/>
    </row>
    <row r="1339" spans="2:56" ht="15.75">
      <c r="B1339" s="121">
        <v>134</v>
      </c>
      <c r="C1339" s="121">
        <v>19</v>
      </c>
      <c r="D1339" s="734">
        <v>142.46309732748392</v>
      </c>
      <c r="E1339" s="733"/>
      <c r="BD1339" s="138"/>
    </row>
    <row r="1340" spans="2:56" ht="15.75">
      <c r="B1340" s="121">
        <v>134</v>
      </c>
      <c r="C1340" s="121">
        <v>20</v>
      </c>
      <c r="D1340" s="734">
        <v>139.48575225728672</v>
      </c>
      <c r="E1340" s="733"/>
      <c r="BD1340" s="138"/>
    </row>
    <row r="1341" spans="2:56" ht="15.75">
      <c r="B1341" s="121">
        <v>134</v>
      </c>
      <c r="C1341" s="121">
        <v>21</v>
      </c>
      <c r="D1341" s="734">
        <v>143.87382765480589</v>
      </c>
      <c r="E1341" s="733"/>
      <c r="BD1341" s="138"/>
    </row>
    <row r="1342" spans="2:56" ht="15.75">
      <c r="B1342" s="121">
        <v>134</v>
      </c>
      <c r="C1342" s="121">
        <v>22</v>
      </c>
      <c r="D1342" s="734">
        <v>142.50831820523706</v>
      </c>
      <c r="E1342" s="733"/>
      <c r="BD1342" s="138"/>
    </row>
    <row r="1343" spans="2:56" ht="15.75">
      <c r="B1343" s="121">
        <v>134</v>
      </c>
      <c r="C1343" s="121">
        <v>23</v>
      </c>
      <c r="D1343" s="734">
        <v>146.46192798516586</v>
      </c>
      <c r="E1343" s="733"/>
      <c r="BD1343" s="138"/>
    </row>
    <row r="1344" spans="2:56" ht="15.75">
      <c r="B1344" s="121">
        <v>134</v>
      </c>
      <c r="C1344" s="121">
        <v>24</v>
      </c>
      <c r="D1344" s="734">
        <v>139.64052724831885</v>
      </c>
      <c r="E1344" s="733"/>
      <c r="BD1344" s="138"/>
    </row>
    <row r="1345" spans="2:56" ht="15.75">
      <c r="B1345" s="121">
        <v>134</v>
      </c>
      <c r="C1345" s="121">
        <v>25</v>
      </c>
      <c r="D1345" s="734">
        <v>146.68670561797202</v>
      </c>
      <c r="E1345" s="733"/>
      <c r="BD1345" s="138"/>
    </row>
    <row r="1346" spans="2:56" ht="15.75">
      <c r="B1346" s="121">
        <v>134</v>
      </c>
      <c r="C1346" s="121">
        <v>26</v>
      </c>
      <c r="D1346" s="734">
        <v>145.73632856117482</v>
      </c>
      <c r="E1346" s="733"/>
      <c r="BD1346" s="138"/>
    </row>
    <row r="1347" spans="2:56" ht="15.75">
      <c r="B1347" s="121">
        <v>134</v>
      </c>
      <c r="C1347" s="121">
        <v>27</v>
      </c>
      <c r="D1347" s="734">
        <v>139.95626924417869</v>
      </c>
      <c r="E1347" s="733"/>
      <c r="BD1347" s="138"/>
    </row>
    <row r="1348" spans="2:56" ht="15.75">
      <c r="B1348" s="121">
        <v>134</v>
      </c>
      <c r="C1348" s="121">
        <v>28</v>
      </c>
      <c r="D1348" s="734">
        <v>135.68760823200668</v>
      </c>
      <c r="E1348" s="733"/>
      <c r="BD1348" s="138"/>
    </row>
    <row r="1349" spans="2:56" ht="15.75">
      <c r="B1349" s="121">
        <v>134</v>
      </c>
      <c r="C1349" s="121">
        <v>29</v>
      </c>
      <c r="D1349" s="734">
        <v>145.07679584836916</v>
      </c>
      <c r="E1349" s="733"/>
      <c r="BD1349" s="138"/>
    </row>
    <row r="1350" spans="2:56" ht="15.75">
      <c r="B1350" s="121">
        <v>134</v>
      </c>
      <c r="C1350" s="121">
        <v>30</v>
      </c>
      <c r="D1350" s="734">
        <v>136.56358972463036</v>
      </c>
      <c r="E1350" s="733"/>
      <c r="BD1350" s="138"/>
    </row>
    <row r="1351" spans="2:56" ht="15.75">
      <c r="B1351" s="121">
        <v>134</v>
      </c>
      <c r="C1351" s="121">
        <v>31</v>
      </c>
      <c r="D1351" s="734">
        <v>139.06245849099363</v>
      </c>
      <c r="E1351" s="733"/>
      <c r="BD1351" s="138"/>
    </row>
    <row r="1352" spans="2:56" ht="15.75">
      <c r="B1352" s="121">
        <v>134</v>
      </c>
      <c r="C1352" s="121">
        <v>32</v>
      </c>
      <c r="D1352" s="734">
        <v>140.7484750721232</v>
      </c>
      <c r="E1352" s="733"/>
      <c r="BD1352" s="138"/>
    </row>
    <row r="1353" spans="2:56" ht="15.75">
      <c r="B1353" s="121">
        <v>134</v>
      </c>
      <c r="C1353" s="121">
        <v>33</v>
      </c>
      <c r="D1353" s="734">
        <v>135.30734862430936</v>
      </c>
      <c r="E1353" s="733"/>
      <c r="BD1353" s="138"/>
    </row>
    <row r="1354" spans="2:56" ht="15.75">
      <c r="B1354" s="121">
        <v>134</v>
      </c>
      <c r="C1354" s="121">
        <v>34</v>
      </c>
      <c r="D1354" s="734">
        <v>144.99094871440002</v>
      </c>
      <c r="E1354" s="733"/>
      <c r="BD1354" s="138"/>
    </row>
    <row r="1355" spans="2:56" ht="15.75">
      <c r="B1355" s="121">
        <v>134</v>
      </c>
      <c r="C1355" s="121">
        <v>35</v>
      </c>
      <c r="D1355" s="734">
        <v>140.99213033233289</v>
      </c>
      <c r="E1355" s="733"/>
      <c r="BD1355" s="138"/>
    </row>
    <row r="1356" spans="2:56" ht="15.75">
      <c r="B1356" s="121">
        <v>134</v>
      </c>
      <c r="C1356" s="121">
        <v>36</v>
      </c>
      <c r="D1356" s="734">
        <v>134.84462223041569</v>
      </c>
      <c r="E1356" s="733"/>
      <c r="BD1356" s="138"/>
    </row>
    <row r="1357" spans="2:56" ht="15.75">
      <c r="B1357" s="121">
        <v>135</v>
      </c>
      <c r="C1357" s="121">
        <v>1</v>
      </c>
      <c r="D1357" s="734">
        <v>5</v>
      </c>
      <c r="E1357" s="733"/>
      <c r="BD1357" s="138"/>
    </row>
    <row r="1358" spans="2:56" ht="15.75">
      <c r="B1358" s="121">
        <v>135</v>
      </c>
      <c r="C1358" s="121">
        <v>2</v>
      </c>
      <c r="D1358" s="734">
        <v>103.55116732213368</v>
      </c>
      <c r="E1358" s="733"/>
      <c r="BD1358" s="138"/>
    </row>
    <row r="1359" spans="2:56" ht="15.75">
      <c r="B1359" s="121">
        <v>136</v>
      </c>
      <c r="C1359" s="121">
        <v>1</v>
      </c>
      <c r="D1359" s="734">
        <v>5</v>
      </c>
      <c r="E1359" s="733"/>
      <c r="BD1359" s="138"/>
    </row>
    <row r="1360" spans="2:56" ht="15.75">
      <c r="B1360" s="121">
        <v>136</v>
      </c>
      <c r="C1360" s="121">
        <v>2</v>
      </c>
      <c r="D1360" s="734">
        <v>99.099439358762538</v>
      </c>
      <c r="E1360" s="733"/>
      <c r="BD1360" s="138"/>
    </row>
    <row r="1361" spans="2:56" ht="15.75">
      <c r="B1361" s="121">
        <v>136</v>
      </c>
      <c r="C1361" s="121">
        <v>3</v>
      </c>
      <c r="D1361" s="734">
        <v>115.97877790587653</v>
      </c>
      <c r="E1361" s="733"/>
      <c r="BD1361" s="138"/>
    </row>
    <row r="1362" spans="2:56" ht="15.75">
      <c r="B1362" s="121">
        <v>136</v>
      </c>
      <c r="C1362" s="121">
        <v>4</v>
      </c>
      <c r="D1362" s="734">
        <v>142.63342837514062</v>
      </c>
      <c r="E1362" s="733"/>
      <c r="BD1362" s="138"/>
    </row>
    <row r="1363" spans="2:56" ht="15.75">
      <c r="B1363" s="121">
        <v>136</v>
      </c>
      <c r="C1363" s="121">
        <v>5</v>
      </c>
      <c r="D1363" s="734">
        <v>134.79945083834022</v>
      </c>
      <c r="E1363" s="733"/>
      <c r="BD1363" s="138"/>
    </row>
    <row r="1364" spans="2:56" ht="15.75">
      <c r="B1364" s="121">
        <v>136</v>
      </c>
      <c r="C1364" s="121">
        <v>6</v>
      </c>
      <c r="D1364" s="734">
        <v>133.92132083790622</v>
      </c>
      <c r="E1364" s="733"/>
      <c r="BD1364" s="138"/>
    </row>
    <row r="1365" spans="2:56" ht="15.75">
      <c r="B1365" s="121">
        <v>136</v>
      </c>
      <c r="C1365" s="121">
        <v>7</v>
      </c>
      <c r="D1365" s="734">
        <v>137.34035129974438</v>
      </c>
      <c r="E1365" s="733"/>
      <c r="BD1365" s="138"/>
    </row>
    <row r="1366" spans="2:56" ht="15.75">
      <c r="B1366" s="121">
        <v>136</v>
      </c>
      <c r="C1366" s="121">
        <v>8</v>
      </c>
      <c r="D1366" s="734">
        <v>134.95652162401689</v>
      </c>
      <c r="E1366" s="733"/>
      <c r="BD1366" s="138"/>
    </row>
    <row r="1367" spans="2:56" ht="15.75">
      <c r="B1367" s="121">
        <v>136</v>
      </c>
      <c r="C1367" s="121">
        <v>9</v>
      </c>
      <c r="D1367" s="734">
        <v>142.90336180119726</v>
      </c>
      <c r="E1367" s="733"/>
      <c r="BD1367" s="138"/>
    </row>
    <row r="1368" spans="2:56" ht="15.75">
      <c r="B1368" s="121">
        <v>136</v>
      </c>
      <c r="C1368" s="121">
        <v>10</v>
      </c>
      <c r="D1368" s="734">
        <v>137.27014519730793</v>
      </c>
      <c r="E1368" s="733"/>
      <c r="BD1368" s="138"/>
    </row>
    <row r="1369" spans="2:56" ht="15.75">
      <c r="B1369" s="121">
        <v>136</v>
      </c>
      <c r="C1369" s="121">
        <v>11</v>
      </c>
      <c r="D1369" s="734">
        <v>145.93941543095843</v>
      </c>
      <c r="E1369" s="733"/>
      <c r="BD1369" s="138"/>
    </row>
    <row r="1370" spans="2:56" ht="15.75">
      <c r="B1370" s="121">
        <v>136</v>
      </c>
      <c r="C1370" s="121">
        <v>12</v>
      </c>
      <c r="D1370" s="734">
        <v>137.3901150041697</v>
      </c>
      <c r="E1370" s="733"/>
      <c r="BD1370" s="138"/>
    </row>
    <row r="1371" spans="2:56" ht="15.75">
      <c r="B1371" s="121">
        <v>136</v>
      </c>
      <c r="C1371" s="121">
        <v>13</v>
      </c>
      <c r="D1371" s="734">
        <v>146.92664346912844</v>
      </c>
      <c r="E1371" s="733"/>
      <c r="BD1371" s="138"/>
    </row>
    <row r="1372" spans="2:56" ht="15.75">
      <c r="B1372" s="121">
        <v>136</v>
      </c>
      <c r="C1372" s="121">
        <v>14</v>
      </c>
      <c r="D1372" s="734">
        <v>143.03985903896498</v>
      </c>
      <c r="E1372" s="733"/>
      <c r="BD1372" s="138"/>
    </row>
    <row r="1373" spans="2:56" ht="15.75">
      <c r="B1373" s="121">
        <v>136</v>
      </c>
      <c r="C1373" s="121">
        <v>15</v>
      </c>
      <c r="D1373" s="734">
        <v>140.66448785214166</v>
      </c>
      <c r="E1373" s="733"/>
      <c r="BD1373" s="138"/>
    </row>
    <row r="1374" spans="2:56" ht="15.75">
      <c r="B1374" s="121">
        <v>136</v>
      </c>
      <c r="C1374" s="121">
        <v>16</v>
      </c>
      <c r="D1374" s="734">
        <v>136.30618287006467</v>
      </c>
      <c r="E1374" s="733"/>
      <c r="BD1374" s="138"/>
    </row>
    <row r="1375" spans="2:56" ht="15.75">
      <c r="B1375" s="121">
        <v>136</v>
      </c>
      <c r="C1375" s="121">
        <v>17</v>
      </c>
      <c r="D1375" s="734">
        <v>137.39107408135112</v>
      </c>
      <c r="E1375" s="733"/>
      <c r="BD1375" s="138"/>
    </row>
    <row r="1376" spans="2:56" ht="15.75">
      <c r="B1376" s="121">
        <v>136</v>
      </c>
      <c r="C1376" s="121">
        <v>18</v>
      </c>
      <c r="D1376" s="734">
        <v>141.76443811248231</v>
      </c>
      <c r="E1376" s="733"/>
      <c r="BD1376" s="138"/>
    </row>
    <row r="1377" spans="2:56" ht="15.75">
      <c r="B1377" s="121">
        <v>136</v>
      </c>
      <c r="C1377" s="121">
        <v>19</v>
      </c>
      <c r="D1377" s="734">
        <v>143.96745320291157</v>
      </c>
      <c r="E1377" s="733"/>
      <c r="BD1377" s="138"/>
    </row>
    <row r="1378" spans="2:56" ht="15.75">
      <c r="B1378" s="121">
        <v>136</v>
      </c>
      <c r="C1378" s="121">
        <v>20</v>
      </c>
      <c r="D1378" s="734">
        <v>140.8985887541732</v>
      </c>
      <c r="E1378" s="733"/>
      <c r="BD1378" s="138"/>
    </row>
    <row r="1379" spans="2:56" ht="15.75">
      <c r="B1379" s="121">
        <v>136</v>
      </c>
      <c r="C1379" s="121">
        <v>21</v>
      </c>
      <c r="D1379" s="734">
        <v>145.92571554098492</v>
      </c>
      <c r="E1379" s="733"/>
      <c r="BD1379" s="138"/>
    </row>
    <row r="1380" spans="2:56" ht="15.75">
      <c r="B1380" s="121">
        <v>136</v>
      </c>
      <c r="C1380" s="121">
        <v>22</v>
      </c>
      <c r="D1380" s="734">
        <v>146.79944734268821</v>
      </c>
      <c r="E1380" s="733"/>
      <c r="BD1380" s="138"/>
    </row>
    <row r="1381" spans="2:56" ht="15.75">
      <c r="B1381" s="121">
        <v>136</v>
      </c>
      <c r="C1381" s="121">
        <v>23</v>
      </c>
      <c r="D1381" s="734">
        <v>146.48344075402977</v>
      </c>
      <c r="E1381" s="733"/>
      <c r="BD1381" s="138"/>
    </row>
    <row r="1382" spans="2:56" ht="15.75">
      <c r="B1382" s="121">
        <v>136</v>
      </c>
      <c r="C1382" s="121">
        <v>24</v>
      </c>
      <c r="D1382" s="734">
        <v>143.64674519431981</v>
      </c>
      <c r="E1382" s="733"/>
      <c r="BD1382" s="138"/>
    </row>
    <row r="1383" spans="2:56" ht="15.75">
      <c r="B1383" s="121">
        <v>136</v>
      </c>
      <c r="C1383" s="121">
        <v>25</v>
      </c>
      <c r="D1383" s="734">
        <v>141.82047235695606</v>
      </c>
      <c r="E1383" s="733"/>
      <c r="BD1383" s="138"/>
    </row>
    <row r="1384" spans="2:56" ht="15.75">
      <c r="B1384" s="121">
        <v>136</v>
      </c>
      <c r="C1384" s="121">
        <v>26</v>
      </c>
      <c r="D1384" s="734">
        <v>145.79522974764078</v>
      </c>
      <c r="E1384" s="733"/>
      <c r="BD1384" s="138"/>
    </row>
    <row r="1385" spans="2:56" ht="15.75">
      <c r="B1385" s="121">
        <v>136</v>
      </c>
      <c r="C1385" s="121">
        <v>27</v>
      </c>
      <c r="D1385" s="734">
        <v>135.69647073154147</v>
      </c>
      <c r="E1385" s="733"/>
      <c r="BD1385" s="138"/>
    </row>
    <row r="1386" spans="2:56" ht="15.75">
      <c r="B1386" s="121">
        <v>136</v>
      </c>
      <c r="C1386" s="121">
        <v>28</v>
      </c>
      <c r="D1386" s="734">
        <v>138.4690522288092</v>
      </c>
      <c r="E1386" s="733"/>
      <c r="BD1386" s="138"/>
    </row>
    <row r="1387" spans="2:56" ht="15.75">
      <c r="B1387" s="121">
        <v>136</v>
      </c>
      <c r="C1387" s="121">
        <v>29</v>
      </c>
      <c r="D1387" s="734">
        <v>140.06939211445234</v>
      </c>
      <c r="E1387" s="733"/>
      <c r="BD1387" s="138"/>
    </row>
    <row r="1388" spans="2:56" ht="15.75">
      <c r="B1388" s="121">
        <v>137</v>
      </c>
      <c r="C1388" s="121">
        <v>1</v>
      </c>
      <c r="D1388" s="734">
        <v>5</v>
      </c>
      <c r="E1388" s="733"/>
      <c r="BD1388" s="138"/>
    </row>
    <row r="1389" spans="2:56" ht="15.75">
      <c r="B1389" s="121">
        <v>137</v>
      </c>
      <c r="C1389" s="121">
        <v>2</v>
      </c>
      <c r="D1389" s="734">
        <v>95.054595139754255</v>
      </c>
      <c r="E1389" s="733"/>
      <c r="BD1389" s="138"/>
    </row>
    <row r="1390" spans="2:56" ht="15.75">
      <c r="B1390" s="121">
        <v>137</v>
      </c>
      <c r="C1390" s="121">
        <v>3</v>
      </c>
      <c r="D1390" s="734">
        <v>114.7031135981328</v>
      </c>
      <c r="E1390" s="733"/>
      <c r="BD1390" s="138"/>
    </row>
    <row r="1391" spans="2:56" ht="15.75">
      <c r="B1391" s="121">
        <v>137</v>
      </c>
      <c r="C1391" s="121">
        <v>4</v>
      </c>
      <c r="D1391" s="734">
        <v>141.45898181917127</v>
      </c>
      <c r="E1391" s="733"/>
      <c r="BD1391" s="138"/>
    </row>
    <row r="1392" spans="2:56" ht="15.75">
      <c r="B1392" s="121">
        <v>137</v>
      </c>
      <c r="C1392" s="121">
        <v>5</v>
      </c>
      <c r="D1392" s="734">
        <v>140.86345226187939</v>
      </c>
      <c r="E1392" s="733"/>
      <c r="BD1392" s="138"/>
    </row>
    <row r="1393" spans="2:56" ht="15.75">
      <c r="B1393" s="121">
        <v>138</v>
      </c>
      <c r="C1393" s="121">
        <v>1</v>
      </c>
      <c r="D1393" s="734">
        <v>5</v>
      </c>
      <c r="E1393" s="733"/>
      <c r="BD1393" s="138"/>
    </row>
    <row r="1394" spans="2:56" ht="15.75">
      <c r="B1394" s="121">
        <v>138</v>
      </c>
      <c r="C1394" s="121">
        <v>2</v>
      </c>
      <c r="D1394" s="734">
        <v>95.32448820038195</v>
      </c>
      <c r="E1394" s="733"/>
      <c r="BD1394" s="138"/>
    </row>
    <row r="1395" spans="2:56" ht="15.75">
      <c r="B1395" s="121">
        <v>138</v>
      </c>
      <c r="C1395" s="121">
        <v>3</v>
      </c>
      <c r="D1395" s="734">
        <v>121.05103936739637</v>
      </c>
      <c r="E1395" s="733"/>
      <c r="BD1395" s="138"/>
    </row>
    <row r="1396" spans="2:56" ht="15.75">
      <c r="B1396" s="121">
        <v>138</v>
      </c>
      <c r="C1396" s="121">
        <v>4</v>
      </c>
      <c r="D1396" s="734">
        <v>136.85524684959785</v>
      </c>
      <c r="E1396" s="733"/>
      <c r="BD1396" s="138"/>
    </row>
    <row r="1397" spans="2:56" ht="15.75">
      <c r="B1397" s="121">
        <v>138</v>
      </c>
      <c r="C1397" s="121">
        <v>5</v>
      </c>
      <c r="D1397" s="734">
        <v>134.38296222355848</v>
      </c>
      <c r="E1397" s="733"/>
      <c r="BD1397" s="138"/>
    </row>
    <row r="1398" spans="2:56" ht="15.75">
      <c r="B1398" s="121">
        <v>138</v>
      </c>
      <c r="C1398" s="121">
        <v>6</v>
      </c>
      <c r="D1398" s="734">
        <v>138.94281973668564</v>
      </c>
      <c r="E1398" s="733"/>
      <c r="BD1398" s="138"/>
    </row>
    <row r="1399" spans="2:56" ht="15.75">
      <c r="B1399" s="121">
        <v>138</v>
      </c>
      <c r="C1399" s="121">
        <v>7</v>
      </c>
      <c r="D1399" s="734">
        <v>141.43046155032258</v>
      </c>
      <c r="E1399" s="733"/>
      <c r="BD1399" s="138"/>
    </row>
    <row r="1400" spans="2:56" ht="15.75">
      <c r="B1400" s="121">
        <v>138</v>
      </c>
      <c r="C1400" s="121">
        <v>8</v>
      </c>
      <c r="D1400" s="734">
        <v>143.86336276426931</v>
      </c>
      <c r="E1400" s="733"/>
      <c r="BD1400" s="138"/>
    </row>
    <row r="1401" spans="2:56" ht="15.75">
      <c r="B1401" s="121">
        <v>138</v>
      </c>
      <c r="C1401" s="121">
        <v>9</v>
      </c>
      <c r="D1401" s="734">
        <v>141.00582392226684</v>
      </c>
      <c r="E1401" s="733"/>
      <c r="BD1401" s="138"/>
    </row>
    <row r="1402" spans="2:56" ht="15.75">
      <c r="B1402" s="121">
        <v>138</v>
      </c>
      <c r="C1402" s="121">
        <v>10</v>
      </c>
      <c r="D1402" s="734">
        <v>146.0248123798431</v>
      </c>
      <c r="E1402" s="733"/>
      <c r="BD1402" s="138"/>
    </row>
    <row r="1403" spans="2:56" ht="15.75">
      <c r="B1403" s="121">
        <v>138</v>
      </c>
      <c r="C1403" s="121">
        <v>11</v>
      </c>
      <c r="D1403" s="734">
        <v>143.96506619582453</v>
      </c>
      <c r="E1403" s="733"/>
      <c r="BD1403" s="138"/>
    </row>
    <row r="1404" spans="2:56" ht="15.75">
      <c r="B1404" s="121">
        <v>138</v>
      </c>
      <c r="C1404" s="121">
        <v>12</v>
      </c>
      <c r="D1404" s="734">
        <v>137.84720844719851</v>
      </c>
      <c r="E1404" s="733"/>
      <c r="BD1404" s="138"/>
    </row>
    <row r="1405" spans="2:56" ht="15.75">
      <c r="B1405" s="121">
        <v>138</v>
      </c>
      <c r="C1405" s="121">
        <v>13</v>
      </c>
      <c r="D1405" s="734">
        <v>143.4266426047015</v>
      </c>
      <c r="E1405" s="733"/>
      <c r="BD1405" s="138"/>
    </row>
    <row r="1406" spans="2:56" ht="15.75">
      <c r="B1406" s="121">
        <v>139</v>
      </c>
      <c r="C1406" s="121">
        <v>1</v>
      </c>
      <c r="D1406" s="734">
        <v>5</v>
      </c>
      <c r="E1406" s="733"/>
      <c r="BD1406" s="138"/>
    </row>
    <row r="1407" spans="2:56" ht="15.75">
      <c r="B1407" s="121">
        <v>140</v>
      </c>
      <c r="C1407" s="121">
        <v>1</v>
      </c>
      <c r="D1407" s="734">
        <v>5</v>
      </c>
      <c r="E1407" s="733"/>
      <c r="BD1407" s="138"/>
    </row>
    <row r="1408" spans="2:56" ht="15.75">
      <c r="B1408" s="121">
        <v>140</v>
      </c>
      <c r="C1408" s="121">
        <v>2</v>
      </c>
      <c r="D1408" s="734">
        <v>101.98954115119632</v>
      </c>
      <c r="E1408" s="733"/>
      <c r="BD1408" s="138"/>
    </row>
    <row r="1409" spans="2:56" ht="15.75">
      <c r="B1409" s="121">
        <v>141</v>
      </c>
      <c r="C1409" s="121">
        <v>1</v>
      </c>
      <c r="D1409" s="734">
        <v>5</v>
      </c>
      <c r="E1409" s="733"/>
      <c r="BD1409" s="138"/>
    </row>
    <row r="1410" spans="2:56" ht="15.75">
      <c r="B1410" s="121">
        <v>142</v>
      </c>
      <c r="C1410" s="121">
        <v>1</v>
      </c>
      <c r="D1410" s="734">
        <v>5</v>
      </c>
      <c r="E1410" s="733"/>
      <c r="BD1410" s="138"/>
    </row>
    <row r="1411" spans="2:56" ht="15.75">
      <c r="B1411" s="121">
        <v>143</v>
      </c>
      <c r="C1411" s="121">
        <v>1</v>
      </c>
      <c r="D1411" s="734">
        <v>5</v>
      </c>
      <c r="E1411" s="733"/>
      <c r="BD1411" s="138"/>
    </row>
    <row r="1412" spans="2:56" ht="15.75">
      <c r="B1412" s="121">
        <v>143</v>
      </c>
      <c r="C1412" s="121">
        <v>2</v>
      </c>
      <c r="D1412" s="734">
        <v>99.874406930049403</v>
      </c>
      <c r="E1412" s="733"/>
      <c r="BD1412" s="138"/>
    </row>
    <row r="1413" spans="2:56" ht="15.75">
      <c r="B1413" s="121">
        <v>143</v>
      </c>
      <c r="C1413" s="121">
        <v>3</v>
      </c>
      <c r="D1413" s="734">
        <v>118.44015454577374</v>
      </c>
      <c r="E1413" s="733"/>
      <c r="BD1413" s="138"/>
    </row>
    <row r="1414" spans="2:56" ht="15.75">
      <c r="B1414" s="121">
        <v>143</v>
      </c>
      <c r="C1414" s="121">
        <v>4</v>
      </c>
      <c r="D1414" s="734">
        <v>144.96541239550416</v>
      </c>
      <c r="E1414" s="733"/>
      <c r="BD1414" s="138"/>
    </row>
    <row r="1415" spans="2:56" ht="15.75">
      <c r="B1415" s="121">
        <v>143</v>
      </c>
      <c r="C1415" s="121">
        <v>5</v>
      </c>
      <c r="D1415" s="734">
        <v>144.03138491904684</v>
      </c>
      <c r="E1415" s="733"/>
      <c r="BD1415" s="138"/>
    </row>
    <row r="1416" spans="2:56" ht="15.75">
      <c r="B1416" s="121">
        <v>143</v>
      </c>
      <c r="C1416" s="121">
        <v>6</v>
      </c>
      <c r="D1416" s="734">
        <v>141.41494547420729</v>
      </c>
      <c r="E1416" s="733"/>
      <c r="BD1416" s="138"/>
    </row>
    <row r="1417" spans="2:56" ht="15.75">
      <c r="B1417" s="121">
        <v>143</v>
      </c>
      <c r="C1417" s="121">
        <v>7</v>
      </c>
      <c r="D1417" s="734">
        <v>140.3229660607191</v>
      </c>
      <c r="E1417" s="733"/>
      <c r="BD1417" s="138"/>
    </row>
    <row r="1418" spans="2:56" ht="15.75">
      <c r="B1418" s="121">
        <v>143</v>
      </c>
      <c r="C1418" s="121">
        <v>8</v>
      </c>
      <c r="D1418" s="734">
        <v>137.64464551412087</v>
      </c>
      <c r="E1418" s="733"/>
      <c r="BD1418" s="138"/>
    </row>
    <row r="1419" spans="2:56" ht="15.75">
      <c r="B1419" s="121">
        <v>143</v>
      </c>
      <c r="C1419" s="121">
        <v>9</v>
      </c>
      <c r="D1419" s="734">
        <v>144.7143734024169</v>
      </c>
      <c r="E1419" s="733"/>
      <c r="BD1419" s="138"/>
    </row>
    <row r="1420" spans="2:56" ht="15.75">
      <c r="B1420" s="121">
        <v>144</v>
      </c>
      <c r="C1420" s="121">
        <v>1</v>
      </c>
      <c r="D1420" s="734">
        <v>5</v>
      </c>
      <c r="E1420" s="733"/>
      <c r="BD1420" s="138"/>
    </row>
    <row r="1421" spans="2:56" ht="15.75">
      <c r="B1421" s="121">
        <v>144</v>
      </c>
      <c r="C1421" s="121">
        <v>2</v>
      </c>
      <c r="D1421" s="734">
        <v>97.030472279975172</v>
      </c>
      <c r="E1421" s="733"/>
      <c r="BD1421" s="138"/>
    </row>
    <row r="1422" spans="2:56" ht="15.75">
      <c r="B1422" s="121">
        <v>144</v>
      </c>
      <c r="C1422" s="121">
        <v>3</v>
      </c>
      <c r="D1422" s="734">
        <v>120.16233002371334</v>
      </c>
      <c r="E1422" s="733"/>
      <c r="BD1422" s="138"/>
    </row>
    <row r="1423" spans="2:56" ht="15.75">
      <c r="B1423" s="121">
        <v>144</v>
      </c>
      <c r="C1423" s="121">
        <v>4</v>
      </c>
      <c r="D1423" s="734">
        <v>142.72726095946257</v>
      </c>
      <c r="E1423" s="733"/>
      <c r="BD1423" s="138"/>
    </row>
    <row r="1424" spans="2:56" ht="15.75">
      <c r="B1424" s="121">
        <v>144</v>
      </c>
      <c r="C1424" s="121">
        <v>5</v>
      </c>
      <c r="D1424" s="734">
        <v>140.94545710602091</v>
      </c>
      <c r="E1424" s="733"/>
      <c r="BD1424" s="138"/>
    </row>
    <row r="1425" spans="2:56" ht="15.75">
      <c r="B1425" s="121">
        <v>144</v>
      </c>
      <c r="C1425" s="121">
        <v>6</v>
      </c>
      <c r="D1425" s="734">
        <v>144.28991963246307</v>
      </c>
      <c r="E1425" s="733"/>
      <c r="BD1425" s="138"/>
    </row>
    <row r="1426" spans="2:56" ht="15.75">
      <c r="B1426" s="121">
        <v>144</v>
      </c>
      <c r="C1426" s="121">
        <v>7</v>
      </c>
      <c r="D1426" s="734">
        <v>135.87860432338422</v>
      </c>
      <c r="E1426" s="733"/>
      <c r="BD1426" s="138"/>
    </row>
    <row r="1427" spans="2:56" ht="15.75">
      <c r="B1427" s="121">
        <v>144</v>
      </c>
      <c r="C1427" s="121">
        <v>8</v>
      </c>
      <c r="D1427" s="734">
        <v>143.59269828272588</v>
      </c>
      <c r="E1427" s="733"/>
      <c r="BD1427" s="138"/>
    </row>
    <row r="1428" spans="2:56" ht="15.75">
      <c r="B1428" s="121">
        <v>144</v>
      </c>
      <c r="C1428" s="121">
        <v>9</v>
      </c>
      <c r="D1428" s="734">
        <v>144.28339750891277</v>
      </c>
      <c r="E1428" s="733"/>
      <c r="BD1428" s="138"/>
    </row>
    <row r="1429" spans="2:56" ht="15.75">
      <c r="B1429" s="121">
        <v>145</v>
      </c>
      <c r="C1429" s="121">
        <v>1</v>
      </c>
      <c r="D1429" s="734">
        <v>5</v>
      </c>
      <c r="E1429" s="733"/>
      <c r="BD1429" s="138"/>
    </row>
    <row r="1430" spans="2:56" ht="15.75">
      <c r="B1430" s="121">
        <v>145</v>
      </c>
      <c r="C1430" s="121">
        <v>2</v>
      </c>
      <c r="D1430" s="734">
        <v>100.2771102991248</v>
      </c>
      <c r="E1430" s="733"/>
      <c r="BD1430" s="138"/>
    </row>
    <row r="1431" spans="2:56" ht="15.75">
      <c r="B1431" s="121">
        <v>145</v>
      </c>
      <c r="C1431" s="121">
        <v>3</v>
      </c>
      <c r="D1431" s="734">
        <v>121.88065650925371</v>
      </c>
      <c r="E1431" s="733"/>
      <c r="BD1431" s="138"/>
    </row>
    <row r="1432" spans="2:56" ht="15.75">
      <c r="B1432" s="121">
        <v>145</v>
      </c>
      <c r="C1432" s="121">
        <v>4</v>
      </c>
      <c r="D1432" s="734">
        <v>138.21727724004401</v>
      </c>
      <c r="E1432" s="733"/>
      <c r="BD1432" s="138"/>
    </row>
    <row r="1433" spans="2:56" ht="15.75">
      <c r="B1433" s="121">
        <v>145</v>
      </c>
      <c r="C1433" s="121">
        <v>5</v>
      </c>
      <c r="D1433" s="734">
        <v>136.89771731654122</v>
      </c>
      <c r="E1433" s="733"/>
      <c r="BD1433" s="138"/>
    </row>
    <row r="1434" spans="2:56" ht="15.75">
      <c r="B1434" s="121">
        <v>145</v>
      </c>
      <c r="C1434" s="121">
        <v>6</v>
      </c>
      <c r="D1434" s="734">
        <v>145.61116983802123</v>
      </c>
      <c r="E1434" s="733"/>
      <c r="BD1434" s="138"/>
    </row>
    <row r="1435" spans="2:56" ht="15.75">
      <c r="B1435" s="121">
        <v>145</v>
      </c>
      <c r="C1435" s="121">
        <v>7</v>
      </c>
      <c r="D1435" s="734">
        <v>142.77429186756609</v>
      </c>
      <c r="E1435" s="733"/>
      <c r="BD1435" s="138"/>
    </row>
    <row r="1436" spans="2:56" ht="15.75">
      <c r="B1436" s="121">
        <v>146</v>
      </c>
      <c r="C1436" s="121">
        <v>1</v>
      </c>
      <c r="D1436" s="734">
        <v>5</v>
      </c>
      <c r="E1436" s="733"/>
      <c r="BD1436" s="138"/>
    </row>
    <row r="1437" spans="2:56" ht="15.75">
      <c r="B1437" s="121">
        <v>147</v>
      </c>
      <c r="C1437" s="121">
        <v>1</v>
      </c>
      <c r="D1437" s="734">
        <v>5</v>
      </c>
      <c r="E1437" s="733"/>
      <c r="BD1437" s="138"/>
    </row>
    <row r="1438" spans="2:56" ht="15.75">
      <c r="B1438" s="121">
        <v>147</v>
      </c>
      <c r="C1438" s="121">
        <v>2</v>
      </c>
      <c r="D1438" s="734">
        <v>95.76843180227452</v>
      </c>
      <c r="E1438" s="733"/>
      <c r="BD1438" s="138"/>
    </row>
    <row r="1439" spans="2:56" ht="15.75">
      <c r="B1439" s="121">
        <v>147</v>
      </c>
      <c r="C1439" s="121">
        <v>3</v>
      </c>
      <c r="D1439" s="734">
        <v>115.55868916031721</v>
      </c>
      <c r="E1439" s="733"/>
      <c r="BD1439" s="138"/>
    </row>
    <row r="1440" spans="2:56" ht="15.75">
      <c r="B1440" s="121">
        <v>148</v>
      </c>
      <c r="C1440" s="121">
        <v>1</v>
      </c>
      <c r="D1440" s="734">
        <v>5</v>
      </c>
      <c r="E1440" s="733"/>
      <c r="BD1440" s="138"/>
    </row>
    <row r="1441" spans="2:56" ht="15.75">
      <c r="B1441" s="121">
        <v>149</v>
      </c>
      <c r="C1441" s="121">
        <v>1</v>
      </c>
      <c r="D1441" s="734">
        <v>5</v>
      </c>
      <c r="E1441" s="733"/>
      <c r="BD1441" s="138"/>
    </row>
    <row r="1442" spans="2:56" ht="15.75">
      <c r="B1442" s="121">
        <v>149</v>
      </c>
      <c r="C1442" s="121">
        <v>2</v>
      </c>
      <c r="D1442" s="734">
        <v>102.45870983955807</v>
      </c>
      <c r="E1442" s="733"/>
      <c r="BD1442" s="138"/>
    </row>
    <row r="1443" spans="2:56" ht="15.75">
      <c r="B1443" s="121">
        <v>149</v>
      </c>
      <c r="C1443" s="121">
        <v>3</v>
      </c>
      <c r="D1443" s="734">
        <v>118.46239666610707</v>
      </c>
      <c r="E1443" s="733"/>
      <c r="BD1443" s="138"/>
    </row>
    <row r="1444" spans="2:56" ht="15.75">
      <c r="B1444" s="121">
        <v>149</v>
      </c>
      <c r="C1444" s="121">
        <v>4</v>
      </c>
      <c r="D1444" s="734">
        <v>137.83491204237262</v>
      </c>
      <c r="E1444" s="733"/>
      <c r="BD1444" s="138"/>
    </row>
    <row r="1445" spans="2:56" ht="15.75">
      <c r="B1445" s="121">
        <v>149</v>
      </c>
      <c r="C1445" s="121">
        <v>5</v>
      </c>
      <c r="D1445" s="734">
        <v>138.77607083887338</v>
      </c>
      <c r="E1445" s="733"/>
      <c r="BD1445" s="138"/>
    </row>
    <row r="1446" spans="2:56" ht="15.75">
      <c r="B1446" s="121">
        <v>149</v>
      </c>
      <c r="C1446" s="121">
        <v>6</v>
      </c>
      <c r="D1446" s="734">
        <v>143.54741626565922</v>
      </c>
      <c r="E1446" s="733"/>
      <c r="BD1446" s="138"/>
    </row>
    <row r="1447" spans="2:56" ht="15.75">
      <c r="B1447" s="121">
        <v>149</v>
      </c>
      <c r="C1447" s="121">
        <v>7</v>
      </c>
      <c r="D1447" s="734">
        <v>146.08903805268977</v>
      </c>
      <c r="E1447" s="733"/>
      <c r="BD1447" s="138"/>
    </row>
    <row r="1448" spans="2:56" ht="15.75">
      <c r="B1448" s="121">
        <v>149</v>
      </c>
      <c r="C1448" s="121">
        <v>8</v>
      </c>
      <c r="D1448" s="734">
        <v>139.74560792207726</v>
      </c>
      <c r="E1448" s="733"/>
      <c r="BD1448" s="138"/>
    </row>
    <row r="1449" spans="2:56" ht="15.75">
      <c r="B1449" s="121">
        <v>149</v>
      </c>
      <c r="C1449" s="121">
        <v>9</v>
      </c>
      <c r="D1449" s="734">
        <v>145.37269635164017</v>
      </c>
      <c r="E1449" s="733"/>
      <c r="BD1449" s="138"/>
    </row>
    <row r="1450" spans="2:56" ht="15.75">
      <c r="B1450" s="121">
        <v>149</v>
      </c>
      <c r="C1450" s="121">
        <v>10</v>
      </c>
      <c r="D1450" s="734">
        <v>139.6552153643824</v>
      </c>
      <c r="E1450" s="733"/>
      <c r="BD1450" s="138"/>
    </row>
    <row r="1451" spans="2:56" ht="15.75">
      <c r="B1451" s="121">
        <v>149</v>
      </c>
      <c r="C1451" s="121">
        <v>11</v>
      </c>
      <c r="D1451" s="734">
        <v>142.56709844011468</v>
      </c>
      <c r="E1451" s="733"/>
      <c r="BD1451" s="138"/>
    </row>
    <row r="1452" spans="2:56" ht="15.75">
      <c r="B1452" s="121">
        <v>149</v>
      </c>
      <c r="C1452" s="121">
        <v>12</v>
      </c>
      <c r="D1452" s="734">
        <v>137.94606063680382</v>
      </c>
      <c r="E1452" s="733"/>
      <c r="BD1452" s="138"/>
    </row>
    <row r="1453" spans="2:56" ht="15.75">
      <c r="B1453" s="121">
        <v>149</v>
      </c>
      <c r="C1453" s="121">
        <v>13</v>
      </c>
      <c r="D1453" s="734">
        <v>135.99133272476351</v>
      </c>
      <c r="E1453" s="733"/>
      <c r="BD1453" s="138"/>
    </row>
    <row r="1454" spans="2:56" ht="15.75">
      <c r="B1454" s="121">
        <v>149</v>
      </c>
      <c r="C1454" s="121">
        <v>14</v>
      </c>
      <c r="D1454" s="734">
        <v>147.22974921958524</v>
      </c>
      <c r="E1454" s="733"/>
      <c r="BD1454" s="138"/>
    </row>
    <row r="1455" spans="2:56" ht="15.75">
      <c r="B1455" s="121">
        <v>149</v>
      </c>
      <c r="C1455" s="121">
        <v>15</v>
      </c>
      <c r="D1455" s="734">
        <v>135.64210896771161</v>
      </c>
      <c r="E1455" s="733"/>
      <c r="BD1455" s="138"/>
    </row>
    <row r="1456" spans="2:56" ht="15.75">
      <c r="B1456" s="121">
        <v>149</v>
      </c>
      <c r="C1456" s="121">
        <v>16</v>
      </c>
      <c r="D1456" s="734">
        <v>141.92547578454912</v>
      </c>
      <c r="E1456" s="733"/>
      <c r="BD1456" s="138"/>
    </row>
    <row r="1457" spans="2:56" ht="15.75">
      <c r="B1457" s="121">
        <v>149</v>
      </c>
      <c r="C1457" s="121">
        <v>17</v>
      </c>
      <c r="D1457" s="734">
        <v>139.69311862529162</v>
      </c>
      <c r="E1457" s="733"/>
      <c r="BD1457" s="138"/>
    </row>
    <row r="1458" spans="2:56" ht="15.75">
      <c r="B1458" s="121">
        <v>149</v>
      </c>
      <c r="C1458" s="121">
        <v>18</v>
      </c>
      <c r="D1458" s="734">
        <v>142.21000134723693</v>
      </c>
      <c r="E1458" s="733"/>
      <c r="BD1458" s="138"/>
    </row>
    <row r="1459" spans="2:56" ht="15.75">
      <c r="B1459" s="121">
        <v>149</v>
      </c>
      <c r="C1459" s="121">
        <v>19</v>
      </c>
      <c r="D1459" s="734">
        <v>137.25017982318164</v>
      </c>
      <c r="E1459" s="733"/>
      <c r="BD1459" s="138"/>
    </row>
    <row r="1460" spans="2:56" ht="15.75">
      <c r="B1460" s="121">
        <v>149</v>
      </c>
      <c r="C1460" s="121">
        <v>20</v>
      </c>
      <c r="D1460" s="734">
        <v>146.50133970323486</v>
      </c>
      <c r="E1460" s="733"/>
      <c r="BD1460" s="138"/>
    </row>
    <row r="1461" spans="2:56" ht="15.75">
      <c r="B1461" s="121">
        <v>149</v>
      </c>
      <c r="C1461" s="121">
        <v>21</v>
      </c>
      <c r="D1461" s="734">
        <v>134.39058011161316</v>
      </c>
      <c r="E1461" s="733"/>
      <c r="BD1461" s="138"/>
    </row>
    <row r="1462" spans="2:56" ht="15.75">
      <c r="B1462" s="121">
        <v>149</v>
      </c>
      <c r="C1462" s="121">
        <v>22</v>
      </c>
      <c r="D1462" s="734">
        <v>145.93796124575954</v>
      </c>
      <c r="E1462" s="733"/>
      <c r="BD1462" s="138"/>
    </row>
    <row r="1463" spans="2:56" ht="15.75">
      <c r="B1463" s="121">
        <v>150</v>
      </c>
      <c r="C1463" s="121">
        <v>1</v>
      </c>
      <c r="D1463" s="734">
        <v>5</v>
      </c>
      <c r="E1463" s="733"/>
      <c r="BD1463" s="138"/>
    </row>
    <row r="1464" spans="2:56" ht="15.75">
      <c r="B1464" s="121">
        <v>150</v>
      </c>
      <c r="C1464" s="121">
        <v>2</v>
      </c>
      <c r="D1464" s="734">
        <v>101.32629965887267</v>
      </c>
      <c r="E1464" s="733"/>
      <c r="BD1464" s="138"/>
    </row>
    <row r="1465" spans="2:56" ht="15.75">
      <c r="B1465" s="121">
        <v>150</v>
      </c>
      <c r="C1465" s="121">
        <v>3</v>
      </c>
      <c r="D1465" s="734">
        <v>122.96938238500297</v>
      </c>
      <c r="E1465" s="733"/>
      <c r="BD1465" s="138"/>
    </row>
    <row r="1466" spans="2:56" ht="15.75">
      <c r="B1466" s="121">
        <v>150</v>
      </c>
      <c r="C1466" s="121">
        <v>4</v>
      </c>
      <c r="D1466" s="734">
        <v>147.10112045852398</v>
      </c>
      <c r="E1466" s="733"/>
      <c r="BD1466" s="138"/>
    </row>
    <row r="1467" spans="2:56" ht="15.75">
      <c r="B1467" s="121">
        <v>150</v>
      </c>
      <c r="C1467" s="121">
        <v>5</v>
      </c>
      <c r="D1467" s="734">
        <v>142.22091924201638</v>
      </c>
      <c r="E1467" s="733"/>
      <c r="BD1467" s="138"/>
    </row>
    <row r="1468" spans="2:56" ht="15.75">
      <c r="B1468" s="121">
        <v>150</v>
      </c>
      <c r="C1468" s="121">
        <v>6</v>
      </c>
      <c r="D1468" s="734">
        <v>143.27996230074885</v>
      </c>
      <c r="E1468" s="733"/>
      <c r="BD1468" s="138"/>
    </row>
    <row r="1469" spans="2:56" ht="15.75">
      <c r="B1469" s="121">
        <v>150</v>
      </c>
      <c r="C1469" s="121">
        <v>7</v>
      </c>
      <c r="D1469" s="734">
        <v>139.59160618823992</v>
      </c>
      <c r="E1469" s="733"/>
      <c r="BD1469" s="138"/>
    </row>
    <row r="1470" spans="2:56" ht="15.75">
      <c r="B1470" s="121">
        <v>150</v>
      </c>
      <c r="C1470" s="121">
        <v>8</v>
      </c>
      <c r="D1470" s="734">
        <v>143.7688226145348</v>
      </c>
      <c r="E1470" s="733"/>
      <c r="BD1470" s="138"/>
    </row>
    <row r="1471" spans="2:56" ht="15.75">
      <c r="B1471" s="121">
        <v>150</v>
      </c>
      <c r="C1471" s="121">
        <v>9</v>
      </c>
      <c r="D1471" s="734">
        <v>144.81203978334676</v>
      </c>
      <c r="E1471" s="733"/>
      <c r="BD1471" s="138"/>
    </row>
    <row r="1472" spans="2:56" ht="15.75">
      <c r="B1472" s="121">
        <v>150</v>
      </c>
      <c r="C1472" s="121">
        <v>10</v>
      </c>
      <c r="D1472" s="734">
        <v>146.88897623623032</v>
      </c>
      <c r="E1472" s="733"/>
      <c r="BD1472" s="138"/>
    </row>
    <row r="1473" spans="2:56" ht="15.75">
      <c r="B1473" s="121">
        <v>150</v>
      </c>
      <c r="C1473" s="121">
        <v>11</v>
      </c>
      <c r="D1473" s="734">
        <v>139.68090940970998</v>
      </c>
      <c r="E1473" s="733"/>
      <c r="BD1473" s="138"/>
    </row>
    <row r="1474" spans="2:56" ht="15.75">
      <c r="B1474" s="121">
        <v>150</v>
      </c>
      <c r="C1474" s="121">
        <v>12</v>
      </c>
      <c r="D1474" s="734">
        <v>145.34149441936106</v>
      </c>
      <c r="E1474" s="733"/>
      <c r="BD1474" s="138"/>
    </row>
    <row r="1475" spans="2:56" ht="15.75">
      <c r="B1475" s="121">
        <v>150</v>
      </c>
      <c r="C1475" s="121">
        <v>13</v>
      </c>
      <c r="D1475" s="734">
        <v>143.73470543367884</v>
      </c>
      <c r="E1475" s="733"/>
      <c r="BD1475" s="138"/>
    </row>
    <row r="1476" spans="2:56" ht="15.75">
      <c r="B1476" s="121">
        <v>150</v>
      </c>
      <c r="C1476" s="121">
        <v>14</v>
      </c>
      <c r="D1476" s="734">
        <v>139.97407620383845</v>
      </c>
      <c r="E1476" s="733"/>
      <c r="BD1476" s="138"/>
    </row>
    <row r="1477" spans="2:56" ht="15.75">
      <c r="B1477" s="121">
        <v>150</v>
      </c>
      <c r="C1477" s="121">
        <v>15</v>
      </c>
      <c r="D1477" s="734">
        <v>143.43339994649261</v>
      </c>
      <c r="E1477" s="733"/>
      <c r="BD1477" s="138"/>
    </row>
    <row r="1478" spans="2:56" ht="15.75">
      <c r="B1478" s="121">
        <v>150</v>
      </c>
      <c r="C1478" s="121">
        <v>16</v>
      </c>
      <c r="D1478" s="734">
        <v>136.77722893054664</v>
      </c>
      <c r="E1478" s="733"/>
      <c r="BD1478" s="138"/>
    </row>
    <row r="1479" spans="2:56" ht="15.75">
      <c r="B1479" s="121">
        <v>150</v>
      </c>
      <c r="C1479" s="121">
        <v>17</v>
      </c>
      <c r="D1479" s="734">
        <v>137.01827579043749</v>
      </c>
      <c r="E1479" s="733"/>
      <c r="BD1479" s="138"/>
    </row>
    <row r="1480" spans="2:56" ht="15.75">
      <c r="B1480" s="121">
        <v>150</v>
      </c>
      <c r="C1480" s="121">
        <v>18</v>
      </c>
      <c r="D1480" s="734">
        <v>146.3038123682432</v>
      </c>
      <c r="E1480" s="733"/>
      <c r="BD1480" s="138"/>
    </row>
    <row r="1481" spans="2:56" ht="15.75">
      <c r="B1481" s="121">
        <v>150</v>
      </c>
      <c r="C1481" s="121">
        <v>19</v>
      </c>
      <c r="D1481" s="734">
        <v>138.7681230215631</v>
      </c>
      <c r="E1481" s="733"/>
      <c r="BD1481" s="138"/>
    </row>
    <row r="1482" spans="2:56" ht="15.75">
      <c r="B1482" s="121">
        <v>150</v>
      </c>
      <c r="C1482" s="121">
        <v>20</v>
      </c>
      <c r="D1482" s="734">
        <v>143.37974953149325</v>
      </c>
      <c r="E1482" s="733"/>
      <c r="BD1482" s="138"/>
    </row>
    <row r="1483" spans="2:56" ht="15.75">
      <c r="B1483" s="121">
        <v>150</v>
      </c>
      <c r="C1483" s="121">
        <v>21</v>
      </c>
      <c r="D1483" s="734">
        <v>143.81706348490241</v>
      </c>
      <c r="E1483" s="733"/>
      <c r="BD1483" s="138"/>
    </row>
    <row r="1484" spans="2:56" ht="15.75">
      <c r="B1484" s="121">
        <v>150</v>
      </c>
      <c r="C1484" s="121">
        <v>22</v>
      </c>
      <c r="D1484" s="734">
        <v>135.77291653407971</v>
      </c>
      <c r="E1484" s="733"/>
      <c r="BD1484" s="138"/>
    </row>
    <row r="1485" spans="2:56" ht="15.75">
      <c r="B1485" s="121">
        <v>150</v>
      </c>
      <c r="C1485" s="121">
        <v>23</v>
      </c>
      <c r="D1485" s="734">
        <v>147.24123195691567</v>
      </c>
      <c r="E1485" s="733"/>
      <c r="BD1485" s="138"/>
    </row>
    <row r="1486" spans="2:56" ht="15.75">
      <c r="B1486" s="121">
        <v>150</v>
      </c>
      <c r="C1486" s="121">
        <v>24</v>
      </c>
      <c r="D1486" s="734">
        <v>138.39507394431524</v>
      </c>
      <c r="E1486" s="733"/>
      <c r="BD1486" s="138"/>
    </row>
    <row r="1487" spans="2:56" ht="15.75">
      <c r="B1487" s="121">
        <v>150</v>
      </c>
      <c r="C1487" s="121">
        <v>25</v>
      </c>
      <c r="D1487" s="734">
        <v>138.86252442063429</v>
      </c>
      <c r="E1487" s="733"/>
      <c r="BD1487" s="138"/>
    </row>
    <row r="1488" spans="2:56" ht="15.75">
      <c r="B1488" s="121">
        <v>150</v>
      </c>
      <c r="C1488" s="121">
        <v>26</v>
      </c>
      <c r="D1488" s="734">
        <v>140.285492128953</v>
      </c>
      <c r="E1488" s="733"/>
      <c r="BD1488" s="138"/>
    </row>
    <row r="1489" spans="2:56" ht="15.75">
      <c r="B1489" s="121">
        <v>150</v>
      </c>
      <c r="C1489" s="121">
        <v>27</v>
      </c>
      <c r="D1489" s="734">
        <v>134.81448428788698</v>
      </c>
      <c r="E1489" s="733"/>
      <c r="BD1489" s="138"/>
    </row>
    <row r="1490" spans="2:56" ht="15.75">
      <c r="B1490" s="121">
        <v>150</v>
      </c>
      <c r="C1490" s="121">
        <v>28</v>
      </c>
      <c r="D1490" s="734">
        <v>134.04240639242678</v>
      </c>
      <c r="E1490" s="733"/>
      <c r="BD1490" s="138"/>
    </row>
    <row r="1491" spans="2:56" ht="15.75">
      <c r="B1491" s="121">
        <v>150</v>
      </c>
      <c r="C1491" s="121">
        <v>29</v>
      </c>
      <c r="D1491" s="734">
        <v>136.62415713748771</v>
      </c>
      <c r="E1491" s="733"/>
      <c r="BD1491" s="138"/>
    </row>
    <row r="1492" spans="2:56" ht="15.75">
      <c r="B1492" s="121">
        <v>150</v>
      </c>
      <c r="C1492" s="121">
        <v>30</v>
      </c>
      <c r="D1492" s="734">
        <v>142.41389894471246</v>
      </c>
      <c r="E1492" s="733"/>
      <c r="BD1492" s="138"/>
    </row>
    <row r="1493" spans="2:56" ht="15.75">
      <c r="B1493" s="121">
        <v>150</v>
      </c>
      <c r="C1493" s="121">
        <v>31</v>
      </c>
      <c r="D1493" s="734">
        <v>142.96017150188851</v>
      </c>
      <c r="E1493" s="733"/>
      <c r="BD1493" s="138"/>
    </row>
    <row r="1494" spans="2:56" ht="15.75">
      <c r="B1494" s="121">
        <v>150</v>
      </c>
      <c r="C1494" s="121">
        <v>32</v>
      </c>
      <c r="D1494" s="734">
        <v>137.68937998463988</v>
      </c>
      <c r="E1494" s="733"/>
      <c r="BD1494" s="138"/>
    </row>
    <row r="1495" spans="2:56" ht="15.75">
      <c r="B1495" s="121">
        <v>151</v>
      </c>
      <c r="C1495" s="121">
        <v>1</v>
      </c>
      <c r="D1495" s="734">
        <v>5</v>
      </c>
      <c r="E1495" s="733"/>
      <c r="BD1495" s="138"/>
    </row>
    <row r="1496" spans="2:56" ht="15.75">
      <c r="B1496" s="121">
        <v>151</v>
      </c>
      <c r="C1496" s="121">
        <v>2</v>
      </c>
      <c r="D1496" s="734">
        <v>103.30916295007897</v>
      </c>
      <c r="E1496" s="733"/>
      <c r="BD1496" s="138"/>
    </row>
    <row r="1497" spans="2:56" ht="15.75">
      <c r="B1497" s="121">
        <v>151</v>
      </c>
      <c r="C1497" s="121">
        <v>3</v>
      </c>
      <c r="D1497" s="734">
        <v>115.01362025483776</v>
      </c>
      <c r="E1497" s="733"/>
      <c r="BD1497" s="138"/>
    </row>
    <row r="1498" spans="2:56" ht="15.75">
      <c r="B1498" s="121">
        <v>151</v>
      </c>
      <c r="C1498" s="121">
        <v>4</v>
      </c>
      <c r="D1498" s="734">
        <v>144.06716446902851</v>
      </c>
      <c r="E1498" s="733"/>
      <c r="BD1498" s="138"/>
    </row>
    <row r="1499" spans="2:56" ht="15.75">
      <c r="B1499" s="121">
        <v>151</v>
      </c>
      <c r="C1499" s="121">
        <v>5</v>
      </c>
      <c r="D1499" s="734">
        <v>136.75029831919636</v>
      </c>
      <c r="E1499" s="733"/>
      <c r="BD1499" s="138"/>
    </row>
    <row r="1500" spans="2:56" ht="15.75">
      <c r="B1500" s="121">
        <v>151</v>
      </c>
      <c r="C1500" s="121">
        <v>6</v>
      </c>
      <c r="D1500" s="734">
        <v>142.29898696859254</v>
      </c>
      <c r="E1500" s="733"/>
      <c r="BD1500" s="138"/>
    </row>
    <row r="1501" spans="2:56" ht="15.75">
      <c r="B1501" s="121">
        <v>151</v>
      </c>
      <c r="C1501" s="121">
        <v>7</v>
      </c>
      <c r="D1501" s="734">
        <v>142.73547707987836</v>
      </c>
      <c r="E1501" s="733"/>
      <c r="BD1501" s="138"/>
    </row>
    <row r="1502" spans="2:56" ht="15.75">
      <c r="B1502" s="121">
        <v>151</v>
      </c>
      <c r="C1502" s="121">
        <v>8</v>
      </c>
      <c r="D1502" s="734">
        <v>147.02703524444854</v>
      </c>
      <c r="E1502" s="733"/>
      <c r="BD1502" s="138"/>
    </row>
    <row r="1503" spans="2:56" ht="15.75">
      <c r="B1503" s="121">
        <v>151</v>
      </c>
      <c r="C1503" s="121">
        <v>9</v>
      </c>
      <c r="D1503" s="734">
        <v>144.41723018908306</v>
      </c>
      <c r="E1503" s="733"/>
      <c r="BD1503" s="138"/>
    </row>
    <row r="1504" spans="2:56" ht="15.75">
      <c r="B1504" s="121">
        <v>151</v>
      </c>
      <c r="C1504" s="121">
        <v>10</v>
      </c>
      <c r="D1504" s="734">
        <v>141.87596529896746</v>
      </c>
      <c r="E1504" s="733"/>
      <c r="BD1504" s="138"/>
    </row>
    <row r="1505" spans="2:56" ht="15.75">
      <c r="B1505" s="121">
        <v>151</v>
      </c>
      <c r="C1505" s="121">
        <v>11</v>
      </c>
      <c r="D1505" s="734">
        <v>144.2370747783703</v>
      </c>
      <c r="E1505" s="733"/>
      <c r="BD1505" s="138"/>
    </row>
    <row r="1506" spans="2:56" ht="15.75">
      <c r="B1506" s="121">
        <v>151</v>
      </c>
      <c r="C1506" s="121">
        <v>12</v>
      </c>
      <c r="D1506" s="734">
        <v>136.86056199853508</v>
      </c>
      <c r="E1506" s="733"/>
      <c r="BD1506" s="138"/>
    </row>
    <row r="1507" spans="2:56" ht="15.75">
      <c r="B1507" s="121">
        <v>151</v>
      </c>
      <c r="C1507" s="121">
        <v>13</v>
      </c>
      <c r="D1507" s="734">
        <v>135.49243996957941</v>
      </c>
      <c r="E1507" s="733"/>
      <c r="BD1507" s="138"/>
    </row>
    <row r="1508" spans="2:56" ht="15.75">
      <c r="B1508" s="121">
        <v>151</v>
      </c>
      <c r="C1508" s="121">
        <v>14</v>
      </c>
      <c r="D1508" s="734">
        <v>142.46639259450924</v>
      </c>
      <c r="E1508" s="733"/>
      <c r="BD1508" s="138"/>
    </row>
    <row r="1509" spans="2:56" ht="15.75">
      <c r="B1509" s="121">
        <v>151</v>
      </c>
      <c r="C1509" s="121">
        <v>15</v>
      </c>
      <c r="D1509" s="734">
        <v>138.52343677161178</v>
      </c>
      <c r="E1509" s="733"/>
      <c r="BD1509" s="138"/>
    </row>
    <row r="1510" spans="2:56" ht="15.75">
      <c r="B1510" s="121">
        <v>151</v>
      </c>
      <c r="C1510" s="121">
        <v>16</v>
      </c>
      <c r="D1510" s="734">
        <v>138.6126964472808</v>
      </c>
      <c r="E1510" s="733"/>
      <c r="BD1510" s="138"/>
    </row>
    <row r="1511" spans="2:56" ht="15.75">
      <c r="B1511" s="121">
        <v>151</v>
      </c>
      <c r="C1511" s="121">
        <v>17</v>
      </c>
      <c r="D1511" s="734">
        <v>135.20971055111045</v>
      </c>
      <c r="E1511" s="733"/>
      <c r="BD1511" s="138"/>
    </row>
    <row r="1512" spans="2:56" ht="15.75">
      <c r="B1512" s="121">
        <v>151</v>
      </c>
      <c r="C1512" s="121">
        <v>18</v>
      </c>
      <c r="D1512" s="734">
        <v>145.05782183487176</v>
      </c>
      <c r="E1512" s="733"/>
      <c r="BD1512" s="138"/>
    </row>
    <row r="1513" spans="2:56" ht="15.75">
      <c r="B1513" s="121">
        <v>151</v>
      </c>
      <c r="C1513" s="121">
        <v>19</v>
      </c>
      <c r="D1513" s="734">
        <v>135.27345133011892</v>
      </c>
      <c r="E1513" s="733"/>
      <c r="BD1513" s="138"/>
    </row>
    <row r="1514" spans="2:56" ht="15.75">
      <c r="B1514" s="121">
        <v>151</v>
      </c>
      <c r="C1514" s="121">
        <v>20</v>
      </c>
      <c r="D1514" s="734">
        <v>147.03214555758058</v>
      </c>
      <c r="E1514" s="733"/>
      <c r="BD1514" s="138"/>
    </row>
    <row r="1515" spans="2:56" ht="15.75">
      <c r="B1515" s="121">
        <v>151</v>
      </c>
      <c r="C1515" s="121">
        <v>21</v>
      </c>
      <c r="D1515" s="734">
        <v>146.6791775780022</v>
      </c>
      <c r="E1515" s="733"/>
      <c r="BD1515" s="138"/>
    </row>
    <row r="1516" spans="2:56" ht="15.75">
      <c r="B1516" s="121">
        <v>151</v>
      </c>
      <c r="C1516" s="121">
        <v>22</v>
      </c>
      <c r="D1516" s="734">
        <v>136.73407990056162</v>
      </c>
      <c r="E1516" s="733"/>
      <c r="BD1516" s="138"/>
    </row>
    <row r="1517" spans="2:56" ht="15.75">
      <c r="B1517" s="121">
        <v>151</v>
      </c>
      <c r="C1517" s="121">
        <v>23</v>
      </c>
      <c r="D1517" s="734">
        <v>146.84338886060533</v>
      </c>
      <c r="E1517" s="733"/>
      <c r="BD1517" s="138"/>
    </row>
    <row r="1518" spans="2:56" ht="15.75">
      <c r="B1518" s="121">
        <v>151</v>
      </c>
      <c r="C1518" s="121">
        <v>24</v>
      </c>
      <c r="D1518" s="734">
        <v>142.7687435816581</v>
      </c>
      <c r="E1518" s="733"/>
      <c r="BD1518" s="138"/>
    </row>
    <row r="1519" spans="2:56" ht="15.75">
      <c r="B1519" s="121">
        <v>151</v>
      </c>
      <c r="C1519" s="121">
        <v>25</v>
      </c>
      <c r="D1519" s="734">
        <v>143.56061563730324</v>
      </c>
      <c r="E1519" s="733"/>
      <c r="BD1519" s="138"/>
    </row>
    <row r="1520" spans="2:56" ht="15.75">
      <c r="B1520" s="121">
        <v>151</v>
      </c>
      <c r="C1520" s="121">
        <v>26</v>
      </c>
      <c r="D1520" s="734">
        <v>142.70129971008711</v>
      </c>
      <c r="E1520" s="733"/>
      <c r="BD1520" s="138"/>
    </row>
    <row r="1521" spans="2:56" ht="15.75">
      <c r="B1521" s="121">
        <v>151</v>
      </c>
      <c r="C1521" s="121">
        <v>27</v>
      </c>
      <c r="D1521" s="734">
        <v>138.99267142941235</v>
      </c>
      <c r="E1521" s="733"/>
      <c r="BD1521" s="138"/>
    </row>
    <row r="1522" spans="2:56" ht="15.75">
      <c r="B1522" s="121">
        <v>151</v>
      </c>
      <c r="C1522" s="121">
        <v>28</v>
      </c>
      <c r="D1522" s="734">
        <v>139.37369340713704</v>
      </c>
      <c r="E1522" s="733"/>
      <c r="BD1522" s="138"/>
    </row>
    <row r="1523" spans="2:56" ht="15.75">
      <c r="B1523" s="121">
        <v>151</v>
      </c>
      <c r="C1523" s="121">
        <v>29</v>
      </c>
      <c r="D1523" s="734">
        <v>138.31442283082112</v>
      </c>
      <c r="E1523" s="733"/>
      <c r="BD1523" s="138"/>
    </row>
    <row r="1524" spans="2:56" ht="15.75">
      <c r="B1524" s="121">
        <v>151</v>
      </c>
      <c r="C1524" s="121">
        <v>30</v>
      </c>
      <c r="D1524" s="734">
        <v>141.69645493699653</v>
      </c>
      <c r="E1524" s="733"/>
      <c r="BD1524" s="138"/>
    </row>
    <row r="1525" spans="2:56" ht="15.75">
      <c r="B1525" s="121">
        <v>151</v>
      </c>
      <c r="C1525" s="121">
        <v>31</v>
      </c>
      <c r="D1525" s="734">
        <v>145.71028623571991</v>
      </c>
      <c r="E1525" s="733"/>
      <c r="BD1525" s="138"/>
    </row>
    <row r="1526" spans="2:56" ht="15.75">
      <c r="B1526" s="121">
        <v>151</v>
      </c>
      <c r="C1526" s="121">
        <v>32</v>
      </c>
      <c r="D1526" s="734">
        <v>142.63836107429822</v>
      </c>
      <c r="E1526" s="733"/>
      <c r="BD1526" s="138"/>
    </row>
    <row r="1527" spans="2:56" ht="15.75">
      <c r="B1527" s="121">
        <v>151</v>
      </c>
      <c r="C1527" s="121">
        <v>33</v>
      </c>
      <c r="D1527" s="734">
        <v>141.6909910917374</v>
      </c>
      <c r="E1527" s="733"/>
      <c r="BD1527" s="138"/>
    </row>
    <row r="1528" spans="2:56" ht="15.75">
      <c r="B1528" s="121">
        <v>151</v>
      </c>
      <c r="C1528" s="121">
        <v>34</v>
      </c>
      <c r="D1528" s="734">
        <v>138.85041822200802</v>
      </c>
      <c r="E1528" s="733"/>
      <c r="BD1528" s="138"/>
    </row>
    <row r="1529" spans="2:56" ht="15.75">
      <c r="B1529" s="121">
        <v>151</v>
      </c>
      <c r="C1529" s="121">
        <v>35</v>
      </c>
      <c r="D1529" s="734">
        <v>141.54677603631879</v>
      </c>
      <c r="E1529" s="733"/>
      <c r="BD1529" s="138"/>
    </row>
    <row r="1530" spans="2:56" ht="15.75">
      <c r="B1530" s="121">
        <v>151</v>
      </c>
      <c r="C1530" s="121">
        <v>36</v>
      </c>
      <c r="D1530" s="734">
        <v>137.39818250548879</v>
      </c>
      <c r="E1530" s="733"/>
      <c r="BD1530" s="138"/>
    </row>
    <row r="1531" spans="2:56" ht="15.75">
      <c r="B1531" s="121">
        <v>152</v>
      </c>
      <c r="C1531" s="121">
        <v>1</v>
      </c>
      <c r="D1531" s="734">
        <v>5</v>
      </c>
      <c r="E1531" s="733"/>
      <c r="BD1531" s="138"/>
    </row>
    <row r="1532" spans="2:56" ht="15.75">
      <c r="B1532" s="121">
        <v>153</v>
      </c>
      <c r="C1532" s="121">
        <v>1</v>
      </c>
      <c r="D1532" s="734">
        <v>5</v>
      </c>
      <c r="E1532" s="733"/>
      <c r="BD1532" s="138"/>
    </row>
    <row r="1533" spans="2:56" ht="15.75">
      <c r="B1533" s="121">
        <v>153</v>
      </c>
      <c r="C1533" s="121">
        <v>2</v>
      </c>
      <c r="D1533" s="734">
        <v>103.48957584663488</v>
      </c>
      <c r="E1533" s="733"/>
      <c r="BD1533" s="138"/>
    </row>
    <row r="1534" spans="2:56" ht="15.75">
      <c r="B1534" s="121">
        <v>153</v>
      </c>
      <c r="C1534" s="121">
        <v>3</v>
      </c>
      <c r="D1534" s="734">
        <v>119.00241677513914</v>
      </c>
      <c r="E1534" s="733"/>
      <c r="BD1534" s="138"/>
    </row>
    <row r="1535" spans="2:56" ht="15.75">
      <c r="B1535" s="121">
        <v>153</v>
      </c>
      <c r="C1535" s="121">
        <v>4</v>
      </c>
      <c r="D1535" s="734">
        <v>142.92039594769358</v>
      </c>
      <c r="E1535" s="733"/>
      <c r="BD1535" s="138"/>
    </row>
    <row r="1536" spans="2:56" ht="15.75">
      <c r="B1536" s="121">
        <v>153</v>
      </c>
      <c r="C1536" s="121">
        <v>5</v>
      </c>
      <c r="D1536" s="734">
        <v>141.78466616107133</v>
      </c>
      <c r="E1536" s="733"/>
      <c r="BD1536" s="138"/>
    </row>
    <row r="1537" spans="2:56" ht="15.75">
      <c r="B1537" s="121">
        <v>153</v>
      </c>
      <c r="C1537" s="121">
        <v>6</v>
      </c>
      <c r="D1537" s="734">
        <v>145.64368740363201</v>
      </c>
      <c r="E1537" s="733"/>
      <c r="BD1537" s="138"/>
    </row>
    <row r="1538" spans="2:56" ht="15.75">
      <c r="B1538" s="121">
        <v>153</v>
      </c>
      <c r="C1538" s="121">
        <v>7</v>
      </c>
      <c r="D1538" s="734">
        <v>141.01218958682713</v>
      </c>
      <c r="E1538" s="733"/>
      <c r="BD1538" s="138"/>
    </row>
    <row r="1539" spans="2:56" ht="15.75">
      <c r="B1539" s="121">
        <v>153</v>
      </c>
      <c r="C1539" s="121">
        <v>8</v>
      </c>
      <c r="D1539" s="734">
        <v>142.66268733557931</v>
      </c>
      <c r="E1539" s="733"/>
      <c r="BD1539" s="138"/>
    </row>
    <row r="1540" spans="2:56" ht="15.75">
      <c r="B1540" s="121">
        <v>153</v>
      </c>
      <c r="C1540" s="121">
        <v>9</v>
      </c>
      <c r="D1540" s="734">
        <v>134.17043426453003</v>
      </c>
      <c r="E1540" s="733"/>
      <c r="BD1540" s="138"/>
    </row>
    <row r="1541" spans="2:56" ht="15.75">
      <c r="B1541" s="121">
        <v>153</v>
      </c>
      <c r="C1541" s="121">
        <v>10</v>
      </c>
      <c r="D1541" s="734">
        <v>137.57782172043187</v>
      </c>
      <c r="E1541" s="733"/>
      <c r="BD1541" s="138"/>
    </row>
    <row r="1542" spans="2:56" ht="15.75">
      <c r="B1542" s="121">
        <v>153</v>
      </c>
      <c r="C1542" s="121">
        <v>11</v>
      </c>
      <c r="D1542" s="734">
        <v>143.06237191877318</v>
      </c>
      <c r="E1542" s="733"/>
      <c r="BD1542" s="138"/>
    </row>
    <row r="1543" spans="2:56" ht="15.75">
      <c r="B1543" s="121">
        <v>153</v>
      </c>
      <c r="C1543" s="121">
        <v>12</v>
      </c>
      <c r="D1543" s="734">
        <v>146.32600747745226</v>
      </c>
      <c r="E1543" s="733"/>
      <c r="BD1543" s="138"/>
    </row>
    <row r="1544" spans="2:56" ht="15.75">
      <c r="B1544" s="121">
        <v>153</v>
      </c>
      <c r="C1544" s="121">
        <v>13</v>
      </c>
      <c r="D1544" s="734">
        <v>133.98733575918362</v>
      </c>
      <c r="E1544" s="733"/>
      <c r="BD1544" s="138"/>
    </row>
    <row r="1545" spans="2:56" ht="15.75">
      <c r="B1545" s="121">
        <v>153</v>
      </c>
      <c r="C1545" s="121">
        <v>14</v>
      </c>
      <c r="D1545" s="734">
        <v>134.70680411610348</v>
      </c>
      <c r="E1545" s="733"/>
      <c r="BD1545" s="138"/>
    </row>
    <row r="1546" spans="2:56" ht="15.75">
      <c r="B1546" s="121">
        <v>153</v>
      </c>
      <c r="C1546" s="121">
        <v>15</v>
      </c>
      <c r="D1546" s="734">
        <v>141.87062516253059</v>
      </c>
      <c r="E1546" s="733"/>
      <c r="BD1546" s="138"/>
    </row>
    <row r="1547" spans="2:56" ht="15.75">
      <c r="B1547" s="121">
        <v>153</v>
      </c>
      <c r="C1547" s="121">
        <v>16</v>
      </c>
      <c r="D1547" s="734">
        <v>140.79529695579504</v>
      </c>
      <c r="E1547" s="733"/>
      <c r="BD1547" s="138"/>
    </row>
    <row r="1548" spans="2:56" ht="15.75">
      <c r="B1548" s="121">
        <v>153</v>
      </c>
      <c r="C1548" s="121">
        <v>17</v>
      </c>
      <c r="D1548" s="734">
        <v>138.73784022820823</v>
      </c>
      <c r="E1548" s="733"/>
      <c r="BD1548" s="138"/>
    </row>
    <row r="1549" spans="2:56" ht="15.75">
      <c r="B1549" s="121">
        <v>153</v>
      </c>
      <c r="C1549" s="121">
        <v>18</v>
      </c>
      <c r="D1549" s="734">
        <v>135.62036949663084</v>
      </c>
      <c r="E1549" s="733"/>
      <c r="BD1549" s="138"/>
    </row>
    <row r="1550" spans="2:56" ht="15.75">
      <c r="B1550" s="121">
        <v>153</v>
      </c>
      <c r="C1550" s="121">
        <v>19</v>
      </c>
      <c r="D1550" s="734">
        <v>143.69930579260216</v>
      </c>
      <c r="E1550" s="733"/>
      <c r="BD1550" s="138"/>
    </row>
    <row r="1551" spans="2:56" ht="15.75">
      <c r="B1551" s="121">
        <v>153</v>
      </c>
      <c r="C1551" s="121">
        <v>20</v>
      </c>
      <c r="D1551" s="734">
        <v>139.72040900624529</v>
      </c>
      <c r="E1551" s="733"/>
      <c r="BD1551" s="138"/>
    </row>
    <row r="1552" spans="2:56" ht="15.75">
      <c r="B1552" s="121">
        <v>153</v>
      </c>
      <c r="C1552" s="121">
        <v>21</v>
      </c>
      <c r="D1552" s="734">
        <v>143.01128000834336</v>
      </c>
      <c r="E1552" s="733"/>
      <c r="BD1552" s="138"/>
    </row>
    <row r="1553" spans="2:56" ht="15.75">
      <c r="B1553" s="121">
        <v>153</v>
      </c>
      <c r="C1553" s="121">
        <v>22</v>
      </c>
      <c r="D1553" s="734">
        <v>140.9946409698918</v>
      </c>
      <c r="E1553" s="733"/>
      <c r="BD1553" s="138"/>
    </row>
    <row r="1554" spans="2:56" ht="15.75">
      <c r="B1554" s="121">
        <v>153</v>
      </c>
      <c r="C1554" s="121">
        <v>23</v>
      </c>
      <c r="D1554" s="734">
        <v>140.85984631711966</v>
      </c>
      <c r="E1554" s="733"/>
      <c r="BD1554" s="138"/>
    </row>
    <row r="1555" spans="2:56" ht="15.75">
      <c r="B1555" s="121">
        <v>153</v>
      </c>
      <c r="C1555" s="121">
        <v>24</v>
      </c>
      <c r="D1555" s="734">
        <v>138.74758352850256</v>
      </c>
      <c r="E1555" s="733"/>
      <c r="BD1555" s="138"/>
    </row>
    <row r="1556" spans="2:56" ht="15.75">
      <c r="B1556" s="121">
        <v>153</v>
      </c>
      <c r="C1556" s="121">
        <v>25</v>
      </c>
      <c r="D1556" s="734">
        <v>135.06385613708537</v>
      </c>
      <c r="E1556" s="733"/>
      <c r="BD1556" s="138"/>
    </row>
    <row r="1557" spans="2:56" ht="15.75">
      <c r="B1557" s="121">
        <v>153</v>
      </c>
      <c r="C1557" s="121">
        <v>26</v>
      </c>
      <c r="D1557" s="734">
        <v>134.62347503827257</v>
      </c>
      <c r="E1557" s="733"/>
      <c r="BD1557" s="138"/>
    </row>
    <row r="1558" spans="2:56" ht="15.75">
      <c r="B1558" s="121">
        <v>153</v>
      </c>
      <c r="C1558" s="121">
        <v>27</v>
      </c>
      <c r="D1558" s="734">
        <v>136.37802713270932</v>
      </c>
      <c r="E1558" s="733"/>
      <c r="BD1558" s="138"/>
    </row>
    <row r="1559" spans="2:56" ht="15.75">
      <c r="B1559" s="121">
        <v>153</v>
      </c>
      <c r="C1559" s="121">
        <v>28</v>
      </c>
      <c r="D1559" s="734">
        <v>141.35754851279484</v>
      </c>
      <c r="E1559" s="733"/>
      <c r="BD1559" s="138"/>
    </row>
    <row r="1560" spans="2:56" ht="15.75">
      <c r="B1560" s="121">
        <v>153</v>
      </c>
      <c r="C1560" s="121">
        <v>29</v>
      </c>
      <c r="D1560" s="734">
        <v>140.35212347915501</v>
      </c>
      <c r="E1560" s="733"/>
      <c r="BD1560" s="138"/>
    </row>
    <row r="1561" spans="2:56" ht="15.75">
      <c r="B1561" s="121">
        <v>154</v>
      </c>
      <c r="C1561" s="121">
        <v>1</v>
      </c>
      <c r="D1561" s="734">
        <v>5</v>
      </c>
      <c r="E1561" s="733"/>
      <c r="BD1561" s="138"/>
    </row>
    <row r="1562" spans="2:56" ht="15.75">
      <c r="B1562" s="121">
        <v>154</v>
      </c>
      <c r="C1562" s="121">
        <v>2</v>
      </c>
      <c r="D1562" s="734">
        <v>96.28955092240659</v>
      </c>
      <c r="E1562" s="733"/>
      <c r="BD1562" s="138"/>
    </row>
    <row r="1563" spans="2:56" ht="15.75">
      <c r="B1563" s="121">
        <v>154</v>
      </c>
      <c r="C1563" s="121">
        <v>3</v>
      </c>
      <c r="D1563" s="734">
        <v>122.15087535184918</v>
      </c>
      <c r="E1563" s="733"/>
      <c r="BD1563" s="138"/>
    </row>
    <row r="1564" spans="2:56" ht="15.75">
      <c r="B1564" s="121">
        <v>154</v>
      </c>
      <c r="C1564" s="121">
        <v>4</v>
      </c>
      <c r="D1564" s="734">
        <v>134.04678338811968</v>
      </c>
      <c r="E1564" s="733"/>
      <c r="BD1564" s="138"/>
    </row>
    <row r="1565" spans="2:56" ht="15.75">
      <c r="B1565" s="121">
        <v>154</v>
      </c>
      <c r="C1565" s="121">
        <v>5</v>
      </c>
      <c r="D1565" s="734">
        <v>146.75200269039556</v>
      </c>
      <c r="E1565" s="733"/>
      <c r="BD1565" s="138"/>
    </row>
    <row r="1566" spans="2:56" ht="15.75">
      <c r="B1566" s="121">
        <v>154</v>
      </c>
      <c r="C1566" s="121">
        <v>6</v>
      </c>
      <c r="D1566" s="734">
        <v>141.30967352158015</v>
      </c>
      <c r="E1566" s="733"/>
      <c r="BD1566" s="138"/>
    </row>
    <row r="1567" spans="2:56" ht="15.75">
      <c r="B1567" s="121">
        <v>154</v>
      </c>
      <c r="C1567" s="121">
        <v>7</v>
      </c>
      <c r="D1567" s="734">
        <v>139.93962810961264</v>
      </c>
      <c r="E1567" s="733"/>
      <c r="BD1567" s="138"/>
    </row>
    <row r="1568" spans="2:56" ht="15.75">
      <c r="B1568" s="121">
        <v>154</v>
      </c>
      <c r="C1568" s="121">
        <v>8</v>
      </c>
      <c r="D1568" s="734">
        <v>143.69511976107722</v>
      </c>
      <c r="E1568" s="733"/>
      <c r="BD1568" s="138"/>
    </row>
    <row r="1569" spans="2:56" ht="15.75">
      <c r="B1569" s="121">
        <v>154</v>
      </c>
      <c r="C1569" s="121">
        <v>9</v>
      </c>
      <c r="D1569" s="734">
        <v>133.69325313531385</v>
      </c>
      <c r="E1569" s="733"/>
      <c r="BD1569" s="138"/>
    </row>
    <row r="1570" spans="2:56" ht="15.75">
      <c r="B1570" s="121">
        <v>154</v>
      </c>
      <c r="C1570" s="121">
        <v>10</v>
      </c>
      <c r="D1570" s="734">
        <v>136.65451779518722</v>
      </c>
      <c r="E1570" s="733"/>
      <c r="BD1570" s="138"/>
    </row>
    <row r="1571" spans="2:56" ht="15.75">
      <c r="B1571" s="121">
        <v>154</v>
      </c>
      <c r="C1571" s="121">
        <v>11</v>
      </c>
      <c r="D1571" s="734">
        <v>134.2918105891159</v>
      </c>
      <c r="E1571" s="733"/>
      <c r="BD1571" s="138"/>
    </row>
    <row r="1572" spans="2:56" ht="15.75">
      <c r="B1572" s="121">
        <v>154</v>
      </c>
      <c r="C1572" s="121">
        <v>12</v>
      </c>
      <c r="D1572" s="734">
        <v>134.68770749642391</v>
      </c>
      <c r="E1572" s="733"/>
      <c r="BD1572" s="138"/>
    </row>
    <row r="1573" spans="2:56" ht="15.75">
      <c r="B1573" s="121">
        <v>154</v>
      </c>
      <c r="C1573" s="121">
        <v>13</v>
      </c>
      <c r="D1573" s="734">
        <v>139.74789135880008</v>
      </c>
      <c r="E1573" s="733"/>
      <c r="BD1573" s="138"/>
    </row>
    <row r="1574" spans="2:56" ht="15.75">
      <c r="B1574" s="121">
        <v>154</v>
      </c>
      <c r="C1574" s="121">
        <v>14</v>
      </c>
      <c r="D1574" s="734">
        <v>146.57637894720386</v>
      </c>
      <c r="E1574" s="733"/>
      <c r="BD1574" s="138"/>
    </row>
    <row r="1575" spans="2:56" ht="15.75">
      <c r="B1575" s="121">
        <v>154</v>
      </c>
      <c r="C1575" s="121">
        <v>15</v>
      </c>
      <c r="D1575" s="734">
        <v>135.34938311808634</v>
      </c>
      <c r="E1575" s="733"/>
      <c r="BD1575" s="138"/>
    </row>
    <row r="1576" spans="2:56" ht="15.75">
      <c r="B1576" s="121">
        <v>154</v>
      </c>
      <c r="C1576" s="121">
        <v>16</v>
      </c>
      <c r="D1576" s="734">
        <v>141.92392466325126</v>
      </c>
      <c r="E1576" s="733"/>
      <c r="BD1576" s="138"/>
    </row>
    <row r="1577" spans="2:56" ht="15.75">
      <c r="B1577" s="121">
        <v>154</v>
      </c>
      <c r="C1577" s="121">
        <v>17</v>
      </c>
      <c r="D1577" s="734">
        <v>145.62950214134671</v>
      </c>
      <c r="E1577" s="733"/>
      <c r="BD1577" s="138"/>
    </row>
    <row r="1578" spans="2:56" ht="15.75">
      <c r="B1578" s="121">
        <v>154</v>
      </c>
      <c r="C1578" s="121">
        <v>18</v>
      </c>
      <c r="D1578" s="734">
        <v>142.59016420860561</v>
      </c>
      <c r="E1578" s="733"/>
      <c r="BD1578" s="138"/>
    </row>
    <row r="1579" spans="2:56" ht="15.75">
      <c r="B1579" s="121">
        <v>154</v>
      </c>
      <c r="C1579" s="121">
        <v>19</v>
      </c>
      <c r="D1579" s="734">
        <v>135.53224769183103</v>
      </c>
      <c r="E1579" s="733"/>
      <c r="BD1579" s="138"/>
    </row>
    <row r="1580" spans="2:56" ht="15.75">
      <c r="B1580" s="121">
        <v>154</v>
      </c>
      <c r="C1580" s="121">
        <v>20</v>
      </c>
      <c r="D1580" s="734">
        <v>143.65461750449595</v>
      </c>
      <c r="E1580" s="733"/>
      <c r="BD1580" s="138"/>
    </row>
    <row r="1581" spans="2:56" ht="15.75">
      <c r="B1581" s="121">
        <v>154</v>
      </c>
      <c r="C1581" s="121">
        <v>21</v>
      </c>
      <c r="D1581" s="734">
        <v>135.25402237797303</v>
      </c>
      <c r="E1581" s="733"/>
      <c r="BD1581" s="138"/>
    </row>
    <row r="1582" spans="2:56" ht="15.75">
      <c r="B1582" s="121">
        <v>154</v>
      </c>
      <c r="C1582" s="121">
        <v>22</v>
      </c>
      <c r="D1582" s="734">
        <v>142.47499890688056</v>
      </c>
      <c r="E1582" s="733"/>
      <c r="BD1582" s="138"/>
    </row>
    <row r="1583" spans="2:56" ht="15.75">
      <c r="B1583" s="121">
        <v>155</v>
      </c>
      <c r="C1583" s="121">
        <v>1</v>
      </c>
      <c r="D1583" s="734">
        <v>5</v>
      </c>
      <c r="E1583" s="733"/>
      <c r="BD1583" s="138"/>
    </row>
    <row r="1584" spans="2:56" ht="15.75">
      <c r="B1584" s="121">
        <v>156</v>
      </c>
      <c r="C1584" s="121">
        <v>1</v>
      </c>
      <c r="D1584" s="734">
        <v>5</v>
      </c>
      <c r="E1584" s="733"/>
      <c r="BD1584" s="138"/>
    </row>
    <row r="1585" spans="2:56" ht="15.75">
      <c r="B1585" s="121">
        <v>156</v>
      </c>
      <c r="C1585" s="121">
        <v>2</v>
      </c>
      <c r="D1585" s="734">
        <v>94.824413183022273</v>
      </c>
      <c r="E1585" s="733"/>
      <c r="BD1585" s="138"/>
    </row>
    <row r="1586" spans="2:56" ht="15.75">
      <c r="B1586" s="121">
        <v>156</v>
      </c>
      <c r="C1586" s="121">
        <v>3</v>
      </c>
      <c r="D1586" s="734">
        <v>119.72988481767712</v>
      </c>
      <c r="E1586" s="733"/>
      <c r="BD1586" s="138"/>
    </row>
    <row r="1587" spans="2:56" ht="15.75">
      <c r="B1587" s="121">
        <v>156</v>
      </c>
      <c r="C1587" s="121">
        <v>4</v>
      </c>
      <c r="D1587" s="734">
        <v>142.82402941091465</v>
      </c>
      <c r="E1587" s="733"/>
      <c r="BD1587" s="138"/>
    </row>
    <row r="1588" spans="2:56" ht="15.75">
      <c r="B1588" s="121">
        <v>156</v>
      </c>
      <c r="C1588" s="121">
        <v>5</v>
      </c>
      <c r="D1588" s="734">
        <v>145.57144886413499</v>
      </c>
      <c r="E1588" s="733"/>
      <c r="BD1588" s="138"/>
    </row>
    <row r="1589" spans="2:56" ht="15.75">
      <c r="B1589" s="121">
        <v>156</v>
      </c>
      <c r="C1589" s="121">
        <v>6</v>
      </c>
      <c r="D1589" s="734">
        <v>145.78710286448506</v>
      </c>
      <c r="E1589" s="733"/>
      <c r="BD1589" s="138"/>
    </row>
    <row r="1590" spans="2:56" ht="15.75">
      <c r="B1590" s="121">
        <v>156</v>
      </c>
      <c r="C1590" s="121">
        <v>7</v>
      </c>
      <c r="D1590" s="734">
        <v>143.21608095575846</v>
      </c>
      <c r="E1590" s="733"/>
      <c r="BD1590" s="138"/>
    </row>
    <row r="1591" spans="2:56" ht="15.75">
      <c r="B1591" s="121">
        <v>156</v>
      </c>
      <c r="C1591" s="121">
        <v>8</v>
      </c>
      <c r="D1591" s="734">
        <v>144.87141448108602</v>
      </c>
      <c r="E1591" s="733"/>
      <c r="BD1591" s="138"/>
    </row>
    <row r="1592" spans="2:56" ht="15.75">
      <c r="B1592" s="121">
        <v>156</v>
      </c>
      <c r="C1592" s="121">
        <v>9</v>
      </c>
      <c r="D1592" s="734">
        <v>145.52497095626686</v>
      </c>
      <c r="E1592" s="733"/>
      <c r="BD1592" s="138"/>
    </row>
    <row r="1593" spans="2:56" ht="15.75">
      <c r="B1593" s="121">
        <v>156</v>
      </c>
      <c r="C1593" s="121">
        <v>10</v>
      </c>
      <c r="D1593" s="734">
        <v>135.06435335242321</v>
      </c>
      <c r="E1593" s="733"/>
      <c r="BD1593" s="138"/>
    </row>
    <row r="1594" spans="2:56" ht="15.75">
      <c r="B1594" s="121">
        <v>156</v>
      </c>
      <c r="C1594" s="121">
        <v>11</v>
      </c>
      <c r="D1594" s="734">
        <v>135.91280913120113</v>
      </c>
      <c r="E1594" s="733"/>
      <c r="BD1594" s="138"/>
    </row>
    <row r="1595" spans="2:56" ht="15.75">
      <c r="B1595" s="121">
        <v>156</v>
      </c>
      <c r="C1595" s="121">
        <v>12</v>
      </c>
      <c r="D1595" s="734">
        <v>135.91671968163524</v>
      </c>
      <c r="E1595" s="733"/>
      <c r="BD1595" s="138"/>
    </row>
    <row r="1596" spans="2:56" ht="15.75">
      <c r="B1596" s="121">
        <v>156</v>
      </c>
      <c r="C1596" s="121">
        <v>13</v>
      </c>
      <c r="D1596" s="734">
        <v>137.74810470341376</v>
      </c>
      <c r="E1596" s="733"/>
      <c r="BD1596" s="138"/>
    </row>
    <row r="1597" spans="2:56" ht="15.75">
      <c r="B1597" s="121">
        <v>156</v>
      </c>
      <c r="C1597" s="121">
        <v>14</v>
      </c>
      <c r="D1597" s="734">
        <v>143.75868676381288</v>
      </c>
      <c r="E1597" s="733"/>
      <c r="BD1597" s="138"/>
    </row>
    <row r="1598" spans="2:56" ht="15.75">
      <c r="B1598" s="121">
        <v>156</v>
      </c>
      <c r="C1598" s="121">
        <v>15</v>
      </c>
      <c r="D1598" s="734">
        <v>142.74010139837077</v>
      </c>
      <c r="E1598" s="733"/>
      <c r="BD1598" s="138"/>
    </row>
    <row r="1599" spans="2:56" ht="15.75">
      <c r="B1599" s="121">
        <v>156</v>
      </c>
      <c r="C1599" s="121">
        <v>16</v>
      </c>
      <c r="D1599" s="734">
        <v>139.50686975939482</v>
      </c>
      <c r="E1599" s="733"/>
      <c r="BD1599" s="138"/>
    </row>
    <row r="1600" spans="2:56" ht="15.75">
      <c r="B1600" s="121">
        <v>156</v>
      </c>
      <c r="C1600" s="121">
        <v>17</v>
      </c>
      <c r="D1600" s="734">
        <v>141.35949844913921</v>
      </c>
      <c r="E1600" s="733"/>
      <c r="BD1600" s="138"/>
    </row>
    <row r="1601" spans="2:56" ht="15.75">
      <c r="B1601" s="121">
        <v>156</v>
      </c>
      <c r="C1601" s="121">
        <v>18</v>
      </c>
      <c r="D1601" s="734">
        <v>136.98837025638758</v>
      </c>
      <c r="E1601" s="733"/>
      <c r="BD1601" s="138"/>
    </row>
    <row r="1602" spans="2:56" ht="15.75">
      <c r="B1602" s="121">
        <v>156</v>
      </c>
      <c r="C1602" s="121">
        <v>19</v>
      </c>
      <c r="D1602" s="734">
        <v>136.97865552527401</v>
      </c>
      <c r="E1602" s="733"/>
      <c r="BD1602" s="138"/>
    </row>
    <row r="1603" spans="2:56" ht="15.75">
      <c r="B1603" s="121">
        <v>156</v>
      </c>
      <c r="C1603" s="121">
        <v>20</v>
      </c>
      <c r="D1603" s="734">
        <v>137.6977794871415</v>
      </c>
      <c r="E1603" s="733"/>
      <c r="BD1603" s="138"/>
    </row>
    <row r="1604" spans="2:56" ht="15.75">
      <c r="B1604" s="121">
        <v>156</v>
      </c>
      <c r="C1604" s="121">
        <v>21</v>
      </c>
      <c r="D1604" s="734">
        <v>139.26858101161662</v>
      </c>
      <c r="E1604" s="733"/>
      <c r="BD1604" s="138"/>
    </row>
    <row r="1605" spans="2:56" ht="15.75">
      <c r="B1605" s="121">
        <v>156</v>
      </c>
      <c r="C1605" s="121">
        <v>22</v>
      </c>
      <c r="D1605" s="734">
        <v>144.50891592281346</v>
      </c>
      <c r="E1605" s="733"/>
      <c r="BD1605" s="138"/>
    </row>
    <row r="1606" spans="2:56" ht="15.75">
      <c r="B1606" s="121">
        <v>156</v>
      </c>
      <c r="C1606" s="121">
        <v>23</v>
      </c>
      <c r="D1606" s="734">
        <v>140.99136655598113</v>
      </c>
      <c r="E1606" s="733"/>
      <c r="BD1606" s="138"/>
    </row>
    <row r="1607" spans="2:56" ht="15.75">
      <c r="B1607" s="121">
        <v>156</v>
      </c>
      <c r="C1607" s="121">
        <v>24</v>
      </c>
      <c r="D1607" s="734">
        <v>146.37214020061458</v>
      </c>
      <c r="E1607" s="733"/>
      <c r="BD1607" s="138"/>
    </row>
    <row r="1608" spans="2:56" ht="15.75">
      <c r="B1608" s="121">
        <v>156</v>
      </c>
      <c r="C1608" s="121">
        <v>25</v>
      </c>
      <c r="D1608" s="734">
        <v>136.35875368103558</v>
      </c>
      <c r="E1608" s="733"/>
      <c r="BD1608" s="138"/>
    </row>
    <row r="1609" spans="2:56" ht="15.75">
      <c r="B1609" s="121">
        <v>156</v>
      </c>
      <c r="C1609" s="121">
        <v>26</v>
      </c>
      <c r="D1609" s="734">
        <v>138.04591652528427</v>
      </c>
      <c r="E1609" s="733"/>
      <c r="BD1609" s="138"/>
    </row>
    <row r="1610" spans="2:56" ht="15.75">
      <c r="B1610" s="121">
        <v>156</v>
      </c>
      <c r="C1610" s="121">
        <v>27</v>
      </c>
      <c r="D1610" s="734">
        <v>147.01351072133397</v>
      </c>
      <c r="E1610" s="733"/>
      <c r="BD1610" s="138"/>
    </row>
    <row r="1611" spans="2:56" ht="15.75">
      <c r="B1611" s="121">
        <v>156</v>
      </c>
      <c r="C1611" s="121">
        <v>28</v>
      </c>
      <c r="D1611" s="734">
        <v>145.35051676485406</v>
      </c>
      <c r="E1611" s="733"/>
      <c r="BD1611" s="138"/>
    </row>
    <row r="1612" spans="2:56" ht="15.75">
      <c r="B1612" s="121">
        <v>156</v>
      </c>
      <c r="C1612" s="121">
        <v>29</v>
      </c>
      <c r="D1612" s="734">
        <v>146.46700508297198</v>
      </c>
      <c r="E1612" s="733"/>
      <c r="BD1612" s="138"/>
    </row>
    <row r="1613" spans="2:56" ht="15.75">
      <c r="B1613" s="121">
        <v>156</v>
      </c>
      <c r="C1613" s="121">
        <v>30</v>
      </c>
      <c r="D1613" s="734">
        <v>135.24628086410982</v>
      </c>
      <c r="E1613" s="733"/>
      <c r="BD1613" s="138"/>
    </row>
    <row r="1614" spans="2:56" ht="15.75">
      <c r="B1614" s="121">
        <v>156</v>
      </c>
      <c r="C1614" s="121">
        <v>31</v>
      </c>
      <c r="D1614" s="734">
        <v>135.8318223647257</v>
      </c>
      <c r="E1614" s="733"/>
      <c r="BD1614" s="138"/>
    </row>
    <row r="1615" spans="2:56" ht="15.75">
      <c r="B1615" s="121">
        <v>156</v>
      </c>
      <c r="C1615" s="121">
        <v>32</v>
      </c>
      <c r="D1615" s="734">
        <v>138.60961833422215</v>
      </c>
      <c r="E1615" s="733"/>
      <c r="BD1615" s="138"/>
    </row>
    <row r="1616" spans="2:56" ht="15.75">
      <c r="B1616" s="121">
        <v>156</v>
      </c>
      <c r="C1616" s="121">
        <v>33</v>
      </c>
      <c r="D1616" s="734">
        <v>141.79016103553815</v>
      </c>
      <c r="E1616" s="733"/>
      <c r="BD1616" s="138"/>
    </row>
    <row r="1617" spans="2:56" ht="15.75">
      <c r="B1617" s="121">
        <v>157</v>
      </c>
      <c r="C1617" s="121">
        <v>1</v>
      </c>
      <c r="D1617" s="734">
        <v>5</v>
      </c>
      <c r="E1617" s="733"/>
      <c r="BD1617" s="138"/>
    </row>
    <row r="1618" spans="2:56" ht="15.75">
      <c r="B1618" s="121">
        <v>157</v>
      </c>
      <c r="C1618" s="121">
        <v>2</v>
      </c>
      <c r="D1618" s="734">
        <v>100.04775501184238</v>
      </c>
      <c r="E1618" s="733"/>
      <c r="BD1618" s="138"/>
    </row>
    <row r="1619" spans="2:56" ht="15.75">
      <c r="B1619" s="121">
        <v>157</v>
      </c>
      <c r="C1619" s="121">
        <v>3</v>
      </c>
      <c r="D1619" s="734">
        <v>118.69635624012456</v>
      </c>
      <c r="E1619" s="733"/>
      <c r="BD1619" s="138"/>
    </row>
    <row r="1620" spans="2:56" ht="15.75">
      <c r="B1620" s="121">
        <v>157</v>
      </c>
      <c r="C1620" s="121">
        <v>4</v>
      </c>
      <c r="D1620" s="734">
        <v>141.80488802970632</v>
      </c>
      <c r="E1620" s="733"/>
      <c r="BD1620" s="138"/>
    </row>
    <row r="1621" spans="2:56" ht="15.75">
      <c r="B1621" s="121">
        <v>157</v>
      </c>
      <c r="C1621" s="121">
        <v>5</v>
      </c>
      <c r="D1621" s="734">
        <v>140.27875044605207</v>
      </c>
      <c r="E1621" s="733"/>
      <c r="BD1621" s="138"/>
    </row>
    <row r="1622" spans="2:56" ht="15.75">
      <c r="B1622" s="121">
        <v>157</v>
      </c>
      <c r="C1622" s="121">
        <v>6</v>
      </c>
      <c r="D1622" s="734">
        <v>145.30613491389576</v>
      </c>
      <c r="E1622" s="733"/>
      <c r="BD1622" s="138"/>
    </row>
    <row r="1623" spans="2:56">
      <c r="B1623" s="121">
        <v>157</v>
      </c>
      <c r="C1623" s="121">
        <v>7</v>
      </c>
      <c r="D1623" s="734">
        <v>143.0003899684456</v>
      </c>
      <c r="E1623" s="733"/>
    </row>
    <row r="1624" spans="2:56">
      <c r="B1624" s="121">
        <v>157</v>
      </c>
      <c r="C1624" s="121">
        <v>8</v>
      </c>
      <c r="D1624" s="734">
        <v>139.68999483451853</v>
      </c>
      <c r="E1624" s="733"/>
    </row>
    <row r="1625" spans="2:56">
      <c r="B1625" s="121">
        <v>157</v>
      </c>
      <c r="C1625" s="121">
        <v>9</v>
      </c>
      <c r="D1625" s="734">
        <v>137.91170822178611</v>
      </c>
      <c r="E1625" s="733"/>
    </row>
    <row r="1626" spans="2:56">
      <c r="B1626" s="121">
        <v>157</v>
      </c>
      <c r="C1626" s="121">
        <v>10</v>
      </c>
      <c r="D1626" s="734">
        <v>146.98637072997022</v>
      </c>
      <c r="E1626" s="733"/>
    </row>
    <row r="1627" spans="2:56">
      <c r="B1627" s="121">
        <v>157</v>
      </c>
      <c r="C1627" s="121">
        <v>11</v>
      </c>
      <c r="D1627" s="734">
        <v>133.96085735807529</v>
      </c>
      <c r="E1627" s="733"/>
    </row>
    <row r="1628" spans="2:56">
      <c r="B1628" s="121">
        <v>157</v>
      </c>
      <c r="C1628" s="121">
        <v>12</v>
      </c>
      <c r="D1628" s="734">
        <v>135.51748484946066</v>
      </c>
      <c r="E1628" s="733"/>
    </row>
    <row r="1629" spans="2:56">
      <c r="B1629" s="121">
        <v>157</v>
      </c>
      <c r="C1629" s="121">
        <v>13</v>
      </c>
      <c r="D1629" s="734">
        <v>141.79971824075389</v>
      </c>
      <c r="E1629" s="733"/>
    </row>
    <row r="1630" spans="2:56">
      <c r="B1630" s="121">
        <v>157</v>
      </c>
      <c r="C1630" s="121">
        <v>14</v>
      </c>
      <c r="D1630" s="734">
        <v>143.74387857354753</v>
      </c>
      <c r="E1630" s="733"/>
    </row>
    <row r="1631" spans="2:56">
      <c r="B1631" s="121">
        <v>157</v>
      </c>
      <c r="C1631" s="121">
        <v>15</v>
      </c>
      <c r="D1631" s="734">
        <v>138.45813070873933</v>
      </c>
      <c r="E1631" s="733"/>
    </row>
    <row r="1632" spans="2:56">
      <c r="B1632" s="121">
        <v>157</v>
      </c>
      <c r="C1632" s="121">
        <v>16</v>
      </c>
      <c r="D1632" s="734">
        <v>136.25572032540941</v>
      </c>
      <c r="E1632" s="733"/>
    </row>
    <row r="1633" spans="2:5">
      <c r="B1633" s="121">
        <v>157</v>
      </c>
      <c r="C1633" s="121">
        <v>17</v>
      </c>
      <c r="D1633" s="734">
        <v>146.62081570790454</v>
      </c>
      <c r="E1633" s="733"/>
    </row>
    <row r="1634" spans="2:5">
      <c r="B1634" s="121">
        <v>157</v>
      </c>
      <c r="C1634" s="121">
        <v>18</v>
      </c>
      <c r="D1634" s="734">
        <v>137.74602938692249</v>
      </c>
      <c r="E1634" s="733"/>
    </row>
    <row r="1635" spans="2:5">
      <c r="B1635" s="121">
        <v>157</v>
      </c>
      <c r="C1635" s="121">
        <v>19</v>
      </c>
      <c r="D1635" s="734">
        <v>143.78983051018292</v>
      </c>
      <c r="E1635" s="733"/>
    </row>
    <row r="1636" spans="2:5">
      <c r="B1636" s="121">
        <v>157</v>
      </c>
      <c r="C1636" s="121">
        <v>20</v>
      </c>
      <c r="D1636" s="734">
        <v>135.40208611295753</v>
      </c>
      <c r="E1636" s="733"/>
    </row>
    <row r="1637" spans="2:5">
      <c r="B1637" s="121">
        <v>157</v>
      </c>
      <c r="C1637" s="121">
        <v>21</v>
      </c>
      <c r="D1637" s="734">
        <v>137.28417431691409</v>
      </c>
      <c r="E1637" s="733"/>
    </row>
    <row r="1638" spans="2:5">
      <c r="B1638" s="121">
        <v>157</v>
      </c>
      <c r="C1638" s="121">
        <v>22</v>
      </c>
      <c r="D1638" s="734">
        <v>139.81709951568146</v>
      </c>
      <c r="E1638" s="733"/>
    </row>
    <row r="1639" spans="2:5">
      <c r="B1639" s="121">
        <v>157</v>
      </c>
      <c r="C1639" s="121">
        <v>23</v>
      </c>
      <c r="D1639" s="734">
        <v>146.36553288593043</v>
      </c>
      <c r="E1639" s="733"/>
    </row>
    <row r="1640" spans="2:5">
      <c r="B1640" s="121">
        <v>157</v>
      </c>
      <c r="C1640" s="121">
        <v>24</v>
      </c>
      <c r="D1640" s="734">
        <v>135.59247331076389</v>
      </c>
      <c r="E1640" s="733"/>
    </row>
    <row r="1641" spans="2:5">
      <c r="B1641" s="121">
        <v>157</v>
      </c>
      <c r="C1641" s="121">
        <v>25</v>
      </c>
      <c r="D1641" s="734">
        <v>145.64216416747271</v>
      </c>
      <c r="E1641" s="733"/>
    </row>
    <row r="1642" spans="2:5">
      <c r="B1642" s="121">
        <v>157</v>
      </c>
      <c r="C1642" s="121">
        <v>26</v>
      </c>
      <c r="D1642" s="734">
        <v>147.04186033945228</v>
      </c>
      <c r="E1642" s="733"/>
    </row>
    <row r="1643" spans="2:5">
      <c r="B1643" s="121">
        <v>157</v>
      </c>
      <c r="C1643" s="121">
        <v>27</v>
      </c>
      <c r="D1643" s="734">
        <v>138.76361455979719</v>
      </c>
      <c r="E1643" s="733"/>
    </row>
    <row r="1644" spans="2:5">
      <c r="B1644" s="121">
        <v>157</v>
      </c>
      <c r="C1644" s="121">
        <v>28</v>
      </c>
      <c r="D1644" s="734">
        <v>142.83089968103303</v>
      </c>
      <c r="E1644" s="733"/>
    </row>
    <row r="1645" spans="2:5">
      <c r="B1645" s="121">
        <v>157</v>
      </c>
      <c r="C1645" s="121">
        <v>29</v>
      </c>
      <c r="D1645" s="734">
        <v>143.36936279189175</v>
      </c>
      <c r="E1645" s="733"/>
    </row>
    <row r="1646" spans="2:5">
      <c r="B1646" s="121">
        <v>157</v>
      </c>
      <c r="C1646" s="121">
        <v>30</v>
      </c>
      <c r="D1646" s="734">
        <v>146.70677661425481</v>
      </c>
      <c r="E1646" s="733"/>
    </row>
    <row r="1647" spans="2:5">
      <c r="B1647" s="121">
        <v>157</v>
      </c>
      <c r="C1647" s="121">
        <v>31</v>
      </c>
      <c r="D1647" s="734">
        <v>147.25085870455058</v>
      </c>
      <c r="E1647" s="733"/>
    </row>
    <row r="1648" spans="2:5">
      <c r="B1648" s="121">
        <v>157</v>
      </c>
      <c r="C1648" s="121">
        <v>32</v>
      </c>
      <c r="D1648" s="734">
        <v>136.00190081975032</v>
      </c>
      <c r="E1648" s="733"/>
    </row>
    <row r="1649" spans="2:5">
      <c r="B1649" s="121">
        <v>157</v>
      </c>
      <c r="C1649" s="121">
        <v>33</v>
      </c>
      <c r="D1649" s="734">
        <v>142.59748912675789</v>
      </c>
      <c r="E1649" s="733"/>
    </row>
    <row r="1650" spans="2:5">
      <c r="B1650" s="121">
        <v>157</v>
      </c>
      <c r="C1650" s="121">
        <v>34</v>
      </c>
      <c r="D1650" s="734">
        <v>146.38206274938298</v>
      </c>
      <c r="E1650" s="733"/>
    </row>
    <row r="1651" spans="2:5">
      <c r="B1651" s="121">
        <v>157</v>
      </c>
      <c r="C1651" s="121">
        <v>35</v>
      </c>
      <c r="D1651" s="734">
        <v>144.28279869544892</v>
      </c>
      <c r="E1651" s="733"/>
    </row>
    <row r="1652" spans="2:5">
      <c r="B1652" s="121">
        <v>157</v>
      </c>
      <c r="C1652" s="121">
        <v>36</v>
      </c>
      <c r="D1652" s="734">
        <v>140.04236281490125</v>
      </c>
      <c r="E1652" s="733"/>
    </row>
    <row r="1653" spans="2:5">
      <c r="B1653" s="121">
        <v>158</v>
      </c>
      <c r="C1653" s="121">
        <v>1</v>
      </c>
      <c r="D1653" s="734">
        <v>5</v>
      </c>
      <c r="E1653" s="733"/>
    </row>
    <row r="1654" spans="2:5">
      <c r="B1654" s="121">
        <v>158</v>
      </c>
      <c r="C1654" s="121">
        <v>2</v>
      </c>
      <c r="D1654" s="734">
        <v>100.18071054035784</v>
      </c>
      <c r="E1654" s="733"/>
    </row>
    <row r="1655" spans="2:5">
      <c r="B1655" s="121">
        <v>158</v>
      </c>
      <c r="C1655" s="121">
        <v>3</v>
      </c>
      <c r="D1655" s="734">
        <v>119.24126435189142</v>
      </c>
      <c r="E1655" s="733"/>
    </row>
    <row r="1656" spans="2:5">
      <c r="B1656" s="121">
        <v>158</v>
      </c>
      <c r="C1656" s="121">
        <v>4</v>
      </c>
      <c r="D1656" s="734">
        <v>142.97104441309477</v>
      </c>
      <c r="E1656" s="733"/>
    </row>
    <row r="1657" spans="2:5">
      <c r="B1657" s="121">
        <v>158</v>
      </c>
      <c r="C1657" s="121">
        <v>5</v>
      </c>
      <c r="D1657" s="734">
        <v>135.54261598189385</v>
      </c>
      <c r="E1657" s="733"/>
    </row>
    <row r="1658" spans="2:5">
      <c r="B1658" s="121">
        <v>158</v>
      </c>
      <c r="C1658" s="121">
        <v>6</v>
      </c>
      <c r="D1658" s="734">
        <v>139.19365022421786</v>
      </c>
      <c r="E1658" s="733"/>
    </row>
    <row r="1659" spans="2:5">
      <c r="B1659" s="121">
        <v>159</v>
      </c>
      <c r="C1659" s="121">
        <v>1</v>
      </c>
      <c r="D1659" s="734">
        <v>5</v>
      </c>
      <c r="E1659" s="733"/>
    </row>
    <row r="1660" spans="2:5">
      <c r="B1660" s="121">
        <v>159</v>
      </c>
      <c r="C1660" s="121">
        <v>2</v>
      </c>
      <c r="D1660" s="734">
        <v>94.823871734447849</v>
      </c>
      <c r="E1660" s="733"/>
    </row>
    <row r="1661" spans="2:5">
      <c r="B1661" s="121">
        <v>159</v>
      </c>
      <c r="C1661" s="121">
        <v>3</v>
      </c>
      <c r="D1661" s="734">
        <v>121.90994899316199</v>
      </c>
      <c r="E1661" s="733"/>
    </row>
    <row r="1662" spans="2:5">
      <c r="B1662" s="121">
        <v>159</v>
      </c>
      <c r="C1662" s="121">
        <v>4</v>
      </c>
      <c r="D1662" s="734">
        <v>134.75612266870453</v>
      </c>
      <c r="E1662" s="733"/>
    </row>
    <row r="1663" spans="2:5">
      <c r="B1663" s="121">
        <v>159</v>
      </c>
      <c r="C1663" s="121">
        <v>5</v>
      </c>
      <c r="D1663" s="734">
        <v>135.98538803043988</v>
      </c>
      <c r="E1663" s="733"/>
    </row>
    <row r="1664" spans="2:5">
      <c r="B1664" s="121">
        <v>159</v>
      </c>
      <c r="C1664" s="121">
        <v>6</v>
      </c>
      <c r="D1664" s="734">
        <v>141.3898188348646</v>
      </c>
      <c r="E1664" s="733"/>
    </row>
    <row r="1665" spans="2:5">
      <c r="B1665" s="121">
        <v>159</v>
      </c>
      <c r="C1665" s="121">
        <v>7</v>
      </c>
      <c r="D1665" s="734">
        <v>143.53843730448204</v>
      </c>
      <c r="E1665" s="733"/>
    </row>
    <row r="1666" spans="2:5">
      <c r="B1666" s="121">
        <v>159</v>
      </c>
      <c r="C1666" s="121">
        <v>8</v>
      </c>
      <c r="D1666" s="734">
        <v>136.71621400766668</v>
      </c>
      <c r="E1666" s="733"/>
    </row>
    <row r="1667" spans="2:5">
      <c r="B1667" s="121">
        <v>159</v>
      </c>
      <c r="C1667" s="121">
        <v>9</v>
      </c>
      <c r="D1667" s="734">
        <v>134.44396989654109</v>
      </c>
      <c r="E1667" s="733"/>
    </row>
    <row r="1668" spans="2:5">
      <c r="B1668" s="121">
        <v>159</v>
      </c>
      <c r="C1668" s="121">
        <v>10</v>
      </c>
      <c r="D1668" s="734">
        <v>135.37130123308168</v>
      </c>
      <c r="E1668" s="733"/>
    </row>
    <row r="1669" spans="2:5">
      <c r="B1669" s="121">
        <v>159</v>
      </c>
      <c r="C1669" s="121">
        <v>11</v>
      </c>
      <c r="D1669" s="734">
        <v>145.01744646717617</v>
      </c>
      <c r="E1669" s="733"/>
    </row>
    <row r="1670" spans="2:5">
      <c r="B1670" s="121">
        <v>159</v>
      </c>
      <c r="C1670" s="121">
        <v>12</v>
      </c>
      <c r="D1670" s="734">
        <v>138.72644927908132</v>
      </c>
      <c r="E1670" s="733"/>
    </row>
    <row r="1671" spans="2:5">
      <c r="B1671" s="121">
        <v>159</v>
      </c>
      <c r="C1671" s="121">
        <v>13</v>
      </c>
      <c r="D1671" s="734">
        <v>138.23639077538098</v>
      </c>
      <c r="E1671" s="733"/>
    </row>
    <row r="1672" spans="2:5">
      <c r="B1672" s="121">
        <v>159</v>
      </c>
      <c r="C1672" s="121">
        <v>14</v>
      </c>
      <c r="D1672" s="734">
        <v>143.42136151646872</v>
      </c>
      <c r="E1672" s="733"/>
    </row>
    <row r="1673" spans="2:5">
      <c r="B1673" s="121">
        <v>159</v>
      </c>
      <c r="C1673" s="121">
        <v>15</v>
      </c>
      <c r="D1673" s="734">
        <v>143.51367491444594</v>
      </c>
      <c r="E1673" s="733"/>
    </row>
    <row r="1674" spans="2:5">
      <c r="B1674" s="121">
        <v>159</v>
      </c>
      <c r="C1674" s="121">
        <v>16</v>
      </c>
      <c r="D1674" s="734">
        <v>141.50768298234519</v>
      </c>
      <c r="E1674" s="733"/>
    </row>
    <row r="1675" spans="2:5">
      <c r="B1675" s="121">
        <v>159</v>
      </c>
      <c r="C1675" s="121">
        <v>17</v>
      </c>
      <c r="D1675" s="734">
        <v>144.78528039642202</v>
      </c>
      <c r="E1675" s="733"/>
    </row>
    <row r="1676" spans="2:5">
      <c r="B1676" s="121">
        <v>159</v>
      </c>
      <c r="C1676" s="121">
        <v>18</v>
      </c>
      <c r="D1676" s="734">
        <v>136.00537062299367</v>
      </c>
      <c r="E1676" s="733"/>
    </row>
    <row r="1677" spans="2:5">
      <c r="B1677" s="121">
        <v>159</v>
      </c>
      <c r="C1677" s="121">
        <v>19</v>
      </c>
      <c r="D1677" s="734">
        <v>143.95157646518922</v>
      </c>
      <c r="E1677" s="733"/>
    </row>
    <row r="1678" spans="2:5">
      <c r="B1678" s="121">
        <v>159</v>
      </c>
      <c r="C1678" s="121">
        <v>20</v>
      </c>
      <c r="D1678" s="734">
        <v>141.44432491052791</v>
      </c>
      <c r="E1678" s="733"/>
    </row>
    <row r="1679" spans="2:5">
      <c r="B1679" s="121">
        <v>159</v>
      </c>
      <c r="C1679" s="121">
        <v>21</v>
      </c>
      <c r="D1679" s="734">
        <v>141.75407743546717</v>
      </c>
      <c r="E1679" s="733"/>
    </row>
    <row r="1680" spans="2:5">
      <c r="B1680" s="121">
        <v>159</v>
      </c>
      <c r="C1680" s="121">
        <v>22</v>
      </c>
      <c r="D1680" s="734">
        <v>141.20861456058446</v>
      </c>
      <c r="E1680" s="733"/>
    </row>
    <row r="1681" spans="2:5">
      <c r="B1681" s="121">
        <v>159</v>
      </c>
      <c r="C1681" s="121">
        <v>23</v>
      </c>
      <c r="D1681" s="734">
        <v>145.23686701343968</v>
      </c>
      <c r="E1681" s="733"/>
    </row>
    <row r="1682" spans="2:5">
      <c r="B1682" s="121">
        <v>159</v>
      </c>
      <c r="C1682" s="121">
        <v>24</v>
      </c>
      <c r="D1682" s="734">
        <v>145.61979041910371</v>
      </c>
      <c r="E1682" s="733"/>
    </row>
    <row r="1683" spans="2:5">
      <c r="B1683" s="121">
        <v>159</v>
      </c>
      <c r="C1683" s="121">
        <v>25</v>
      </c>
      <c r="D1683" s="734">
        <v>140.53469761741874</v>
      </c>
      <c r="E1683" s="733"/>
    </row>
    <row r="1684" spans="2:5">
      <c r="B1684" s="121">
        <v>159</v>
      </c>
      <c r="C1684" s="121">
        <v>26</v>
      </c>
      <c r="D1684" s="734">
        <v>143.9157449733564</v>
      </c>
      <c r="E1684" s="733"/>
    </row>
    <row r="1685" spans="2:5">
      <c r="B1685" s="121">
        <v>159</v>
      </c>
      <c r="C1685" s="121">
        <v>27</v>
      </c>
      <c r="D1685" s="734">
        <v>144.68489990673712</v>
      </c>
      <c r="E1685" s="733"/>
    </row>
    <row r="1686" spans="2:5">
      <c r="B1686" s="121">
        <v>159</v>
      </c>
      <c r="C1686" s="121">
        <v>28</v>
      </c>
      <c r="D1686" s="734">
        <v>142.59708511579905</v>
      </c>
      <c r="E1686" s="733"/>
    </row>
    <row r="1687" spans="2:5">
      <c r="B1687" s="121">
        <v>159</v>
      </c>
      <c r="C1687" s="121">
        <v>29</v>
      </c>
      <c r="D1687" s="734">
        <v>146.03331487007807</v>
      </c>
      <c r="E1687" s="733"/>
    </row>
    <row r="1688" spans="2:5">
      <c r="B1688" s="121">
        <v>159</v>
      </c>
      <c r="C1688" s="121">
        <v>30</v>
      </c>
      <c r="D1688" s="734">
        <v>135.58955646181553</v>
      </c>
      <c r="E1688" s="733"/>
    </row>
    <row r="1689" spans="2:5">
      <c r="B1689" s="121">
        <v>159</v>
      </c>
      <c r="C1689" s="121">
        <v>31</v>
      </c>
      <c r="D1689" s="734">
        <v>138.84658760954142</v>
      </c>
      <c r="E1689" s="733"/>
    </row>
    <row r="1690" spans="2:5">
      <c r="B1690" s="121">
        <v>159</v>
      </c>
      <c r="C1690" s="121">
        <v>32</v>
      </c>
      <c r="D1690" s="734">
        <v>134.53360140007734</v>
      </c>
      <c r="E1690" s="733"/>
    </row>
    <row r="1691" spans="2:5">
      <c r="B1691" s="121">
        <v>159</v>
      </c>
      <c r="C1691" s="121">
        <v>33</v>
      </c>
      <c r="D1691" s="734">
        <v>139.39202016698127</v>
      </c>
      <c r="E1691" s="733"/>
    </row>
    <row r="1692" spans="2:5">
      <c r="B1692" s="121">
        <v>159</v>
      </c>
      <c r="C1692" s="121">
        <v>34</v>
      </c>
      <c r="D1692" s="734">
        <v>134.43352544265537</v>
      </c>
      <c r="E1692" s="733"/>
    </row>
    <row r="1693" spans="2:5">
      <c r="B1693" s="121">
        <v>159</v>
      </c>
      <c r="C1693" s="121">
        <v>35</v>
      </c>
      <c r="D1693" s="734">
        <v>138.22052370153935</v>
      </c>
      <c r="E1693" s="733"/>
    </row>
    <row r="1694" spans="2:5">
      <c r="B1694" s="121">
        <v>159</v>
      </c>
      <c r="C1694" s="121">
        <v>36</v>
      </c>
      <c r="D1694" s="734">
        <v>140.55469258829106</v>
      </c>
      <c r="E1694" s="733"/>
    </row>
    <row r="1695" spans="2:5">
      <c r="B1695" s="121">
        <v>160</v>
      </c>
      <c r="C1695" s="121">
        <v>1</v>
      </c>
      <c r="D1695" s="734">
        <v>5</v>
      </c>
      <c r="E1695" s="733"/>
    </row>
    <row r="1696" spans="2:5">
      <c r="B1696" s="121">
        <v>160</v>
      </c>
      <c r="C1696" s="121">
        <v>2</v>
      </c>
      <c r="D1696" s="734">
        <v>96.090188903531242</v>
      </c>
      <c r="E1696" s="733"/>
    </row>
    <row r="1697" spans="2:5">
      <c r="B1697" s="121">
        <v>160</v>
      </c>
      <c r="C1697" s="121">
        <v>3</v>
      </c>
      <c r="D1697" s="734">
        <v>118.60729712197445</v>
      </c>
      <c r="E1697" s="733"/>
    </row>
    <row r="1698" spans="2:5">
      <c r="B1698" s="121">
        <v>160</v>
      </c>
      <c r="C1698" s="121">
        <v>4</v>
      </c>
      <c r="D1698" s="734">
        <v>142.44563000224886</v>
      </c>
      <c r="E1698" s="733"/>
    </row>
    <row r="1699" spans="2:5">
      <c r="B1699" s="121">
        <v>160</v>
      </c>
      <c r="C1699" s="121">
        <v>5</v>
      </c>
      <c r="D1699" s="734">
        <v>142.20860645565921</v>
      </c>
      <c r="E1699" s="733"/>
    </row>
    <row r="1700" spans="2:5">
      <c r="B1700" s="121">
        <v>161</v>
      </c>
      <c r="C1700" s="121">
        <v>1</v>
      </c>
      <c r="D1700" s="734">
        <v>5</v>
      </c>
      <c r="E1700" s="733"/>
    </row>
    <row r="1701" spans="2:5">
      <c r="B1701" s="121">
        <v>162</v>
      </c>
      <c r="C1701" s="121">
        <v>1</v>
      </c>
      <c r="D1701" s="734">
        <v>5</v>
      </c>
      <c r="E1701" s="733"/>
    </row>
    <row r="1702" spans="2:5">
      <c r="B1702" s="121">
        <v>162</v>
      </c>
      <c r="C1702" s="121">
        <v>2</v>
      </c>
      <c r="D1702" s="734">
        <v>101.24759942011102</v>
      </c>
      <c r="E1702" s="733"/>
    </row>
    <row r="1703" spans="2:5">
      <c r="B1703" s="121">
        <v>163</v>
      </c>
      <c r="C1703" s="121">
        <v>1</v>
      </c>
      <c r="D1703" s="734">
        <v>5</v>
      </c>
      <c r="E1703" s="733"/>
    </row>
    <row r="1704" spans="2:5">
      <c r="B1704" s="121">
        <v>164</v>
      </c>
      <c r="C1704" s="121">
        <v>1</v>
      </c>
      <c r="D1704" s="734">
        <v>5</v>
      </c>
      <c r="E1704" s="733"/>
    </row>
    <row r="1705" spans="2:5">
      <c r="B1705" s="121">
        <v>164</v>
      </c>
      <c r="C1705" s="121">
        <v>2</v>
      </c>
      <c r="D1705" s="734">
        <v>94.388163352691919</v>
      </c>
      <c r="E1705" s="733"/>
    </row>
    <row r="1706" spans="2:5">
      <c r="B1706" s="121">
        <v>164</v>
      </c>
      <c r="C1706" s="121">
        <v>3</v>
      </c>
      <c r="D1706" s="734">
        <v>124.0174937368982</v>
      </c>
      <c r="E1706" s="733"/>
    </row>
    <row r="1707" spans="2:5">
      <c r="B1707" s="121">
        <v>164</v>
      </c>
      <c r="C1707" s="121">
        <v>4</v>
      </c>
      <c r="D1707" s="734">
        <v>145.04185904392952</v>
      </c>
      <c r="E1707" s="733"/>
    </row>
    <row r="1708" spans="2:5">
      <c r="B1708" s="121">
        <v>164</v>
      </c>
      <c r="C1708" s="121">
        <v>5</v>
      </c>
      <c r="D1708" s="734">
        <v>136.91061028592733</v>
      </c>
      <c r="E1708" s="733"/>
    </row>
    <row r="1709" spans="2:5">
      <c r="B1709" s="121">
        <v>164</v>
      </c>
      <c r="C1709" s="121">
        <v>6</v>
      </c>
      <c r="D1709" s="734">
        <v>144.44235811316224</v>
      </c>
      <c r="E1709" s="733"/>
    </row>
    <row r="1710" spans="2:5">
      <c r="B1710" s="121">
        <v>164</v>
      </c>
      <c r="C1710" s="121">
        <v>7</v>
      </c>
      <c r="D1710" s="734">
        <v>142.02347827485815</v>
      </c>
      <c r="E1710" s="733"/>
    </row>
    <row r="1711" spans="2:5">
      <c r="B1711" s="121">
        <v>165</v>
      </c>
      <c r="C1711" s="121">
        <v>1</v>
      </c>
      <c r="D1711" s="734">
        <v>5</v>
      </c>
      <c r="E1711" s="733"/>
    </row>
    <row r="1712" spans="2:5">
      <c r="B1712" s="121">
        <v>165</v>
      </c>
      <c r="C1712" s="121">
        <v>2</v>
      </c>
      <c r="D1712" s="734">
        <v>94.577219738531241</v>
      </c>
      <c r="E1712" s="733"/>
    </row>
    <row r="1713" spans="2:5">
      <c r="B1713" s="121">
        <v>165</v>
      </c>
      <c r="C1713" s="121">
        <v>3</v>
      </c>
      <c r="D1713" s="734">
        <v>122.94781682574965</v>
      </c>
      <c r="E1713" s="733"/>
    </row>
    <row r="1714" spans="2:5">
      <c r="B1714" s="121">
        <v>165</v>
      </c>
      <c r="C1714" s="121">
        <v>4</v>
      </c>
      <c r="D1714" s="734">
        <v>145.49643512930501</v>
      </c>
      <c r="E1714" s="733"/>
    </row>
    <row r="1715" spans="2:5">
      <c r="B1715" s="121">
        <v>165</v>
      </c>
      <c r="C1715" s="121">
        <v>5</v>
      </c>
      <c r="D1715" s="734">
        <v>146.05643691661808</v>
      </c>
      <c r="E1715" s="733"/>
    </row>
    <row r="1716" spans="2:5">
      <c r="B1716" s="121">
        <v>165</v>
      </c>
      <c r="C1716" s="121">
        <v>6</v>
      </c>
      <c r="D1716" s="734">
        <v>142.73786687083589</v>
      </c>
      <c r="E1716" s="733"/>
    </row>
    <row r="1717" spans="2:5">
      <c r="B1717" s="121">
        <v>165</v>
      </c>
      <c r="C1717" s="121">
        <v>7</v>
      </c>
      <c r="D1717" s="734">
        <v>145.31552374318787</v>
      </c>
      <c r="E1717" s="733"/>
    </row>
    <row r="1718" spans="2:5">
      <c r="B1718" s="121">
        <v>165</v>
      </c>
      <c r="C1718" s="121">
        <v>8</v>
      </c>
      <c r="D1718" s="734">
        <v>146.09516762991962</v>
      </c>
      <c r="E1718" s="733"/>
    </row>
    <row r="1719" spans="2:5">
      <c r="B1719" s="121">
        <v>166</v>
      </c>
      <c r="C1719" s="121">
        <v>1</v>
      </c>
      <c r="D1719" s="734">
        <v>5</v>
      </c>
      <c r="E1719" s="733"/>
    </row>
    <row r="1720" spans="2:5">
      <c r="B1720" s="121">
        <v>166</v>
      </c>
      <c r="C1720" s="121">
        <v>2</v>
      </c>
      <c r="D1720" s="734">
        <v>99.752322279958335</v>
      </c>
      <c r="E1720" s="733"/>
    </row>
    <row r="1721" spans="2:5">
      <c r="B1721" s="121">
        <v>166</v>
      </c>
      <c r="C1721" s="121">
        <v>3</v>
      </c>
      <c r="D1721" s="734">
        <v>114.16308045557248</v>
      </c>
      <c r="E1721" s="733"/>
    </row>
    <row r="1722" spans="2:5">
      <c r="B1722" s="121">
        <v>166</v>
      </c>
      <c r="C1722" s="121">
        <v>4</v>
      </c>
      <c r="D1722" s="734">
        <v>134.94105220959</v>
      </c>
      <c r="E1722" s="733"/>
    </row>
    <row r="1723" spans="2:5">
      <c r="B1723" s="121">
        <v>166</v>
      </c>
      <c r="C1723" s="121">
        <v>5</v>
      </c>
      <c r="D1723" s="734">
        <v>138.42509188497215</v>
      </c>
      <c r="E1723" s="733"/>
    </row>
    <row r="1724" spans="2:5">
      <c r="B1724" s="121">
        <v>166</v>
      </c>
      <c r="C1724" s="121">
        <v>6</v>
      </c>
      <c r="D1724" s="734">
        <v>134.8380469445832</v>
      </c>
      <c r="E1724" s="733"/>
    </row>
    <row r="1725" spans="2:5">
      <c r="B1725" s="121">
        <v>166</v>
      </c>
      <c r="C1725" s="121">
        <v>7</v>
      </c>
      <c r="D1725" s="734">
        <v>146.79224097822583</v>
      </c>
      <c r="E1725" s="733"/>
    </row>
    <row r="1726" spans="2:5">
      <c r="B1726" s="121">
        <v>166</v>
      </c>
      <c r="C1726" s="121">
        <v>8</v>
      </c>
      <c r="D1726" s="734">
        <v>144.7883816358102</v>
      </c>
      <c r="E1726" s="733"/>
    </row>
    <row r="1727" spans="2:5">
      <c r="B1727" s="121">
        <v>166</v>
      </c>
      <c r="C1727" s="121">
        <v>9</v>
      </c>
      <c r="D1727" s="734">
        <v>136.32890563968317</v>
      </c>
      <c r="E1727" s="733"/>
    </row>
    <row r="1728" spans="2:5">
      <c r="B1728" s="121">
        <v>166</v>
      </c>
      <c r="C1728" s="121">
        <v>10</v>
      </c>
      <c r="D1728" s="734">
        <v>144.42454064885169</v>
      </c>
      <c r="E1728" s="733"/>
    </row>
    <row r="1729" spans="2:5">
      <c r="B1729" s="121">
        <v>166</v>
      </c>
      <c r="C1729" s="121">
        <v>11</v>
      </c>
      <c r="D1729" s="734">
        <v>135.64026177871378</v>
      </c>
      <c r="E1729" s="733"/>
    </row>
    <row r="1730" spans="2:5">
      <c r="B1730" s="121">
        <v>166</v>
      </c>
      <c r="C1730" s="121">
        <v>12</v>
      </c>
      <c r="D1730" s="734">
        <v>142.64771138972466</v>
      </c>
      <c r="E1730" s="733"/>
    </row>
    <row r="1731" spans="2:5">
      <c r="B1731" s="121">
        <v>166</v>
      </c>
      <c r="C1731" s="121">
        <v>13</v>
      </c>
      <c r="D1731" s="734">
        <v>138.34986452039823</v>
      </c>
      <c r="E1731" s="733"/>
    </row>
    <row r="1732" spans="2:5">
      <c r="B1732" s="121">
        <v>166</v>
      </c>
      <c r="C1732" s="121">
        <v>14</v>
      </c>
      <c r="D1732" s="734">
        <v>141.69157040271136</v>
      </c>
      <c r="E1732" s="733"/>
    </row>
    <row r="1733" spans="2:5">
      <c r="B1733" s="121">
        <v>166</v>
      </c>
      <c r="C1733" s="121">
        <v>15</v>
      </c>
      <c r="D1733" s="734">
        <v>146.62934104935292</v>
      </c>
      <c r="E1733" s="733"/>
    </row>
    <row r="1734" spans="2:5">
      <c r="B1734" s="121">
        <v>166</v>
      </c>
      <c r="C1734" s="121">
        <v>16</v>
      </c>
      <c r="D1734" s="734">
        <v>141.3510478112735</v>
      </c>
      <c r="E1734" s="733"/>
    </row>
    <row r="1735" spans="2:5">
      <c r="B1735" s="121">
        <v>166</v>
      </c>
      <c r="C1735" s="121">
        <v>17</v>
      </c>
      <c r="D1735" s="734">
        <v>136.01666028414061</v>
      </c>
      <c r="E1735" s="733"/>
    </row>
    <row r="1736" spans="2:5">
      <c r="B1736" s="121">
        <v>166</v>
      </c>
      <c r="C1736" s="121">
        <v>18</v>
      </c>
      <c r="D1736" s="734">
        <v>134.7288723630505</v>
      </c>
      <c r="E1736" s="733"/>
    </row>
    <row r="1737" spans="2:5">
      <c r="B1737" s="121">
        <v>166</v>
      </c>
      <c r="C1737" s="121">
        <v>19</v>
      </c>
      <c r="D1737" s="734">
        <v>143.36571359902584</v>
      </c>
      <c r="E1737" s="733"/>
    </row>
    <row r="1738" spans="2:5">
      <c r="B1738" s="121">
        <v>166</v>
      </c>
      <c r="C1738" s="121">
        <v>20</v>
      </c>
      <c r="D1738" s="734">
        <v>139.21865885009171</v>
      </c>
      <c r="E1738" s="733"/>
    </row>
    <row r="1739" spans="2:5">
      <c r="B1739" s="121">
        <v>166</v>
      </c>
      <c r="C1739" s="121">
        <v>21</v>
      </c>
      <c r="D1739" s="734">
        <v>139.97405346978746</v>
      </c>
      <c r="E1739" s="733"/>
    </row>
    <row r="1740" spans="2:5">
      <c r="B1740" s="121">
        <v>166</v>
      </c>
      <c r="C1740" s="121">
        <v>22</v>
      </c>
      <c r="D1740" s="734">
        <v>141.40582449872028</v>
      </c>
      <c r="E1740" s="733"/>
    </row>
    <row r="1741" spans="2:5">
      <c r="B1741" s="121">
        <v>166</v>
      </c>
      <c r="C1741" s="121">
        <v>23</v>
      </c>
      <c r="D1741" s="734">
        <v>139.38694428179505</v>
      </c>
      <c r="E1741" s="733"/>
    </row>
    <row r="1742" spans="2:5">
      <c r="B1742" s="121">
        <v>166</v>
      </c>
      <c r="C1742" s="121">
        <v>24</v>
      </c>
      <c r="D1742" s="734">
        <v>142.75620433349542</v>
      </c>
      <c r="E1742" s="733"/>
    </row>
    <row r="1743" spans="2:5">
      <c r="B1743" s="121">
        <v>166</v>
      </c>
      <c r="C1743" s="121">
        <v>25</v>
      </c>
      <c r="D1743" s="734">
        <v>136.22375806893672</v>
      </c>
      <c r="E1743" s="733"/>
    </row>
    <row r="1744" spans="2:5">
      <c r="B1744" s="121">
        <v>166</v>
      </c>
      <c r="C1744" s="121">
        <v>26</v>
      </c>
      <c r="D1744" s="734">
        <v>135.69671946322742</v>
      </c>
      <c r="E1744" s="733"/>
    </row>
    <row r="1745" spans="2:5">
      <c r="B1745" s="121">
        <v>166</v>
      </c>
      <c r="C1745" s="121">
        <v>27</v>
      </c>
      <c r="D1745" s="734">
        <v>134.54512337174197</v>
      </c>
      <c r="E1745" s="733"/>
    </row>
    <row r="1746" spans="2:5">
      <c r="B1746" s="121">
        <v>166</v>
      </c>
      <c r="C1746" s="121">
        <v>28</v>
      </c>
      <c r="D1746" s="734">
        <v>139.71363482492214</v>
      </c>
      <c r="E1746" s="733"/>
    </row>
    <row r="1747" spans="2:5">
      <c r="B1747" s="121">
        <v>166</v>
      </c>
      <c r="C1747" s="121">
        <v>29</v>
      </c>
      <c r="D1747" s="734">
        <v>139.52546222972208</v>
      </c>
      <c r="E1747" s="733"/>
    </row>
    <row r="1748" spans="2:5">
      <c r="B1748" s="121">
        <v>166</v>
      </c>
      <c r="C1748" s="121">
        <v>30</v>
      </c>
      <c r="D1748" s="734">
        <v>144.26780925333139</v>
      </c>
      <c r="E1748" s="733"/>
    </row>
    <row r="1749" spans="2:5">
      <c r="B1749" s="121">
        <v>166</v>
      </c>
      <c r="C1749" s="121">
        <v>31</v>
      </c>
      <c r="D1749" s="734">
        <v>146.0680242485661</v>
      </c>
      <c r="E1749" s="733"/>
    </row>
    <row r="1750" spans="2:5">
      <c r="B1750" s="121">
        <v>166</v>
      </c>
      <c r="C1750" s="121">
        <v>32</v>
      </c>
      <c r="D1750" s="734">
        <v>134.61030506016345</v>
      </c>
      <c r="E1750" s="733"/>
    </row>
    <row r="1751" spans="2:5">
      <c r="B1751" s="121">
        <v>166</v>
      </c>
      <c r="C1751" s="121">
        <v>33</v>
      </c>
      <c r="D1751" s="734">
        <v>134.63596172808502</v>
      </c>
      <c r="E1751" s="733"/>
    </row>
    <row r="1752" spans="2:5">
      <c r="B1752" s="121">
        <v>166</v>
      </c>
      <c r="C1752" s="121">
        <v>34</v>
      </c>
      <c r="D1752" s="734">
        <v>137.50911664394866</v>
      </c>
      <c r="E1752" s="733"/>
    </row>
    <row r="1753" spans="2:5">
      <c r="B1753" s="121">
        <v>166</v>
      </c>
      <c r="C1753" s="121">
        <v>35</v>
      </c>
      <c r="D1753" s="734">
        <v>142.24471274387673</v>
      </c>
      <c r="E1753" s="733"/>
    </row>
    <row r="1754" spans="2:5">
      <c r="B1754" s="121">
        <v>166</v>
      </c>
      <c r="C1754" s="121">
        <v>36</v>
      </c>
      <c r="D1754" s="734">
        <v>139.52951892105176</v>
      </c>
      <c r="E1754" s="733"/>
    </row>
    <row r="1755" spans="2:5">
      <c r="B1755" s="121">
        <v>167</v>
      </c>
      <c r="C1755" s="121">
        <v>1</v>
      </c>
      <c r="D1755" s="734">
        <v>5</v>
      </c>
      <c r="E1755" s="733"/>
    </row>
    <row r="1756" spans="2:5">
      <c r="B1756" s="121">
        <v>168</v>
      </c>
      <c r="C1756" s="121">
        <v>1</v>
      </c>
      <c r="D1756" s="734">
        <v>5</v>
      </c>
      <c r="E1756" s="733"/>
    </row>
    <row r="1757" spans="2:5">
      <c r="B1757" s="121">
        <v>168</v>
      </c>
      <c r="C1757" s="121">
        <v>2</v>
      </c>
      <c r="D1757" s="734">
        <v>102.47667079786262</v>
      </c>
      <c r="E1757" s="733"/>
    </row>
    <row r="1758" spans="2:5">
      <c r="B1758" s="121">
        <v>168</v>
      </c>
      <c r="C1758" s="121">
        <v>3</v>
      </c>
      <c r="D1758" s="734">
        <v>122.85849942679505</v>
      </c>
      <c r="E1758" s="733"/>
    </row>
    <row r="1759" spans="2:5">
      <c r="B1759" s="121">
        <v>168</v>
      </c>
      <c r="C1759" s="121">
        <v>4</v>
      </c>
      <c r="D1759" s="734">
        <v>146.35356519750806</v>
      </c>
      <c r="E1759" s="733"/>
    </row>
    <row r="1760" spans="2:5">
      <c r="B1760" s="121">
        <v>168</v>
      </c>
      <c r="C1760" s="121">
        <v>5</v>
      </c>
      <c r="D1760" s="734">
        <v>135.31952584811444</v>
      </c>
      <c r="E1760" s="733"/>
    </row>
    <row r="1761" spans="2:5">
      <c r="B1761" s="121">
        <v>168</v>
      </c>
      <c r="C1761" s="121">
        <v>6</v>
      </c>
      <c r="D1761" s="734">
        <v>135.03237500180612</v>
      </c>
      <c r="E1761" s="733"/>
    </row>
    <row r="1762" spans="2:5">
      <c r="B1762" s="121">
        <v>168</v>
      </c>
      <c r="C1762" s="121">
        <v>7</v>
      </c>
      <c r="D1762" s="734">
        <v>134.31402307189157</v>
      </c>
      <c r="E1762" s="733"/>
    </row>
    <row r="1763" spans="2:5">
      <c r="B1763" s="121">
        <v>168</v>
      </c>
      <c r="C1763" s="121">
        <v>8</v>
      </c>
      <c r="D1763" s="734">
        <v>136.89088935419269</v>
      </c>
      <c r="E1763" s="733"/>
    </row>
    <row r="1764" spans="2:5">
      <c r="B1764" s="121">
        <v>168</v>
      </c>
      <c r="C1764" s="121">
        <v>9</v>
      </c>
      <c r="D1764" s="734">
        <v>137.41218944281673</v>
      </c>
      <c r="E1764" s="733"/>
    </row>
    <row r="1765" spans="2:5">
      <c r="B1765" s="121">
        <v>168</v>
      </c>
      <c r="C1765" s="121">
        <v>10</v>
      </c>
      <c r="D1765" s="734">
        <v>146.79727150023243</v>
      </c>
      <c r="E1765" s="733"/>
    </row>
    <row r="1766" spans="2:5">
      <c r="B1766" s="121">
        <v>168</v>
      </c>
      <c r="C1766" s="121">
        <v>11</v>
      </c>
      <c r="D1766" s="734">
        <v>138.1925832045097</v>
      </c>
      <c r="E1766" s="733"/>
    </row>
    <row r="1767" spans="2:5">
      <c r="B1767" s="121">
        <v>168</v>
      </c>
      <c r="C1767" s="121">
        <v>12</v>
      </c>
      <c r="D1767" s="734">
        <v>135.84796733489685</v>
      </c>
      <c r="E1767" s="733"/>
    </row>
    <row r="1768" spans="2:5">
      <c r="B1768" s="121">
        <v>168</v>
      </c>
      <c r="C1768" s="121">
        <v>13</v>
      </c>
      <c r="D1768" s="734">
        <v>138.89196367676328</v>
      </c>
      <c r="E1768" s="733"/>
    </row>
    <row r="1769" spans="2:5">
      <c r="B1769" s="121">
        <v>168</v>
      </c>
      <c r="C1769" s="121">
        <v>14</v>
      </c>
      <c r="D1769" s="734">
        <v>136.49922825309844</v>
      </c>
      <c r="E1769" s="733"/>
    </row>
    <row r="1770" spans="2:5">
      <c r="B1770" s="121">
        <v>168</v>
      </c>
      <c r="C1770" s="121">
        <v>15</v>
      </c>
      <c r="D1770" s="734">
        <v>146.75024884473007</v>
      </c>
      <c r="E1770" s="733"/>
    </row>
    <row r="1771" spans="2:5">
      <c r="B1771" s="121">
        <v>168</v>
      </c>
      <c r="C1771" s="121">
        <v>16</v>
      </c>
      <c r="D1771" s="734">
        <v>140.84365677307741</v>
      </c>
      <c r="E1771" s="733"/>
    </row>
    <row r="1772" spans="2:5">
      <c r="B1772" s="121">
        <v>168</v>
      </c>
      <c r="C1772" s="121">
        <v>17</v>
      </c>
      <c r="D1772" s="734">
        <v>145.94782212336693</v>
      </c>
      <c r="E1772" s="733"/>
    </row>
    <row r="1773" spans="2:5">
      <c r="B1773" s="121">
        <v>168</v>
      </c>
      <c r="C1773" s="121">
        <v>18</v>
      </c>
      <c r="D1773" s="734">
        <v>136.86106011388185</v>
      </c>
      <c r="E1773" s="733"/>
    </row>
    <row r="1774" spans="2:5">
      <c r="B1774" s="121">
        <v>168</v>
      </c>
      <c r="C1774" s="121">
        <v>19</v>
      </c>
      <c r="D1774" s="734">
        <v>146.73884890012974</v>
      </c>
      <c r="E1774" s="733"/>
    </row>
    <row r="1775" spans="2:5">
      <c r="B1775" s="121">
        <v>168</v>
      </c>
      <c r="C1775" s="121">
        <v>20</v>
      </c>
      <c r="D1775" s="734">
        <v>144.71806554666094</v>
      </c>
      <c r="E1775" s="733"/>
    </row>
    <row r="1776" spans="2:5">
      <c r="B1776" s="121">
        <v>168</v>
      </c>
      <c r="C1776" s="121">
        <v>21</v>
      </c>
      <c r="D1776" s="734">
        <v>139.73146881804192</v>
      </c>
      <c r="E1776" s="733"/>
    </row>
    <row r="1777" spans="2:5">
      <c r="B1777" s="121">
        <v>168</v>
      </c>
      <c r="C1777" s="121">
        <v>22</v>
      </c>
      <c r="D1777" s="734">
        <v>142.88215614966029</v>
      </c>
      <c r="E1777" s="733"/>
    </row>
    <row r="1778" spans="2:5">
      <c r="B1778" s="121">
        <v>168</v>
      </c>
      <c r="C1778" s="121">
        <v>23</v>
      </c>
      <c r="D1778" s="734">
        <v>135.26142196648823</v>
      </c>
      <c r="E1778" s="733"/>
    </row>
    <row r="1779" spans="2:5">
      <c r="B1779" s="121">
        <v>168</v>
      </c>
      <c r="C1779" s="121">
        <v>24</v>
      </c>
      <c r="D1779" s="734">
        <v>134.73974031201482</v>
      </c>
      <c r="E1779" s="733"/>
    </row>
    <row r="1780" spans="2:5">
      <c r="B1780" s="121">
        <v>168</v>
      </c>
      <c r="C1780" s="121">
        <v>25</v>
      </c>
      <c r="D1780" s="734">
        <v>138.85260272067805</v>
      </c>
      <c r="E1780" s="733"/>
    </row>
    <row r="1781" spans="2:5">
      <c r="B1781" s="121">
        <v>168</v>
      </c>
      <c r="C1781" s="121">
        <v>26</v>
      </c>
      <c r="D1781" s="734">
        <v>144.93597879449288</v>
      </c>
      <c r="E1781" s="733"/>
    </row>
    <row r="1782" spans="2:5">
      <c r="B1782" s="121">
        <v>168</v>
      </c>
      <c r="C1782" s="121">
        <v>27</v>
      </c>
      <c r="D1782" s="734">
        <v>142.22416828983629</v>
      </c>
      <c r="E1782" s="733"/>
    </row>
    <row r="1783" spans="2:5">
      <c r="B1783" s="121">
        <v>168</v>
      </c>
      <c r="C1783" s="121">
        <v>28</v>
      </c>
      <c r="D1783" s="734">
        <v>144.62893816351601</v>
      </c>
      <c r="E1783" s="733"/>
    </row>
    <row r="1784" spans="2:5">
      <c r="B1784" s="121">
        <v>168</v>
      </c>
      <c r="C1784" s="121">
        <v>29</v>
      </c>
      <c r="D1784" s="734">
        <v>143.87836365884857</v>
      </c>
      <c r="E1784" s="733"/>
    </row>
    <row r="1785" spans="2:5">
      <c r="B1785" s="121">
        <v>168</v>
      </c>
      <c r="C1785" s="121">
        <v>30</v>
      </c>
      <c r="D1785" s="734">
        <v>134.71861497980385</v>
      </c>
      <c r="E1785" s="733"/>
    </row>
    <row r="1786" spans="2:5">
      <c r="B1786" s="121">
        <v>168</v>
      </c>
      <c r="C1786" s="121">
        <v>31</v>
      </c>
      <c r="D1786" s="734">
        <v>140.95431604617224</v>
      </c>
      <c r="E1786" s="733"/>
    </row>
    <row r="1787" spans="2:5">
      <c r="B1787" s="121">
        <v>168</v>
      </c>
      <c r="C1787" s="121">
        <v>32</v>
      </c>
      <c r="D1787" s="734">
        <v>143.97761885596682</v>
      </c>
      <c r="E1787" s="733"/>
    </row>
    <row r="1788" spans="2:5">
      <c r="B1788" s="121">
        <v>169</v>
      </c>
      <c r="C1788" s="121">
        <v>1</v>
      </c>
      <c r="D1788" s="734">
        <v>5</v>
      </c>
      <c r="E1788" s="733"/>
    </row>
    <row r="1789" spans="2:5">
      <c r="B1789" s="121">
        <v>169</v>
      </c>
      <c r="C1789" s="121">
        <v>2</v>
      </c>
      <c r="D1789" s="734">
        <v>99.831225358434025</v>
      </c>
      <c r="E1789" s="733"/>
    </row>
    <row r="1790" spans="2:5">
      <c r="B1790" s="121">
        <v>169</v>
      </c>
      <c r="C1790" s="121">
        <v>3</v>
      </c>
      <c r="D1790" s="734">
        <v>114.7400492402799</v>
      </c>
      <c r="E1790" s="733"/>
    </row>
    <row r="1791" spans="2:5">
      <c r="B1791" s="121">
        <v>169</v>
      </c>
      <c r="C1791" s="121">
        <v>4</v>
      </c>
      <c r="D1791" s="734">
        <v>142.28094056106605</v>
      </c>
      <c r="E1791" s="733"/>
    </row>
    <row r="1792" spans="2:5">
      <c r="B1792" s="121">
        <v>169</v>
      </c>
      <c r="C1792" s="121">
        <v>5</v>
      </c>
      <c r="D1792" s="734">
        <v>137.84401009823966</v>
      </c>
      <c r="E1792" s="733"/>
    </row>
    <row r="1793" spans="2:5">
      <c r="B1793" s="121">
        <v>169</v>
      </c>
      <c r="C1793" s="121">
        <v>6</v>
      </c>
      <c r="D1793" s="734">
        <v>145.44046110261769</v>
      </c>
      <c r="E1793" s="733"/>
    </row>
    <row r="1794" spans="2:5">
      <c r="B1794" s="121">
        <v>169</v>
      </c>
      <c r="C1794" s="121">
        <v>7</v>
      </c>
      <c r="D1794" s="734">
        <v>139.73974730839927</v>
      </c>
      <c r="E1794" s="733"/>
    </row>
    <row r="1795" spans="2:5">
      <c r="B1795" s="121">
        <v>169</v>
      </c>
      <c r="C1795" s="121">
        <v>8</v>
      </c>
      <c r="D1795" s="734">
        <v>141.91506784153037</v>
      </c>
      <c r="E1795" s="733"/>
    </row>
    <row r="1796" spans="2:5">
      <c r="B1796" s="121">
        <v>169</v>
      </c>
      <c r="C1796" s="121">
        <v>9</v>
      </c>
      <c r="D1796" s="734">
        <v>145.04754828944928</v>
      </c>
      <c r="E1796" s="733"/>
    </row>
    <row r="1797" spans="2:5">
      <c r="B1797" s="121">
        <v>169</v>
      </c>
      <c r="C1797" s="121">
        <v>10</v>
      </c>
      <c r="D1797" s="734">
        <v>134.60820561432016</v>
      </c>
      <c r="E1797" s="733"/>
    </row>
    <row r="1798" spans="2:5">
      <c r="B1798" s="121">
        <v>169</v>
      </c>
      <c r="C1798" s="121">
        <v>11</v>
      </c>
      <c r="D1798" s="734">
        <v>145.82326771843213</v>
      </c>
      <c r="E1798" s="733"/>
    </row>
    <row r="1799" spans="2:5">
      <c r="B1799" s="121">
        <v>169</v>
      </c>
      <c r="C1799" s="121">
        <v>12</v>
      </c>
      <c r="D1799" s="734">
        <v>134.73176462728819</v>
      </c>
      <c r="E1799" s="733"/>
    </row>
    <row r="1800" spans="2:5">
      <c r="B1800" s="121">
        <v>169</v>
      </c>
      <c r="C1800" s="121">
        <v>13</v>
      </c>
      <c r="D1800" s="734">
        <v>141.70662483471799</v>
      </c>
      <c r="E1800" s="733"/>
    </row>
    <row r="1801" spans="2:5">
      <c r="B1801" s="121">
        <v>169</v>
      </c>
      <c r="C1801" s="121">
        <v>14</v>
      </c>
      <c r="D1801" s="734">
        <v>141.86671326024788</v>
      </c>
      <c r="E1801" s="733"/>
    </row>
    <row r="1802" spans="2:5">
      <c r="B1802" s="121">
        <v>169</v>
      </c>
      <c r="C1802" s="121">
        <v>15</v>
      </c>
      <c r="D1802" s="734">
        <v>137.66195142399116</v>
      </c>
      <c r="E1802" s="733"/>
    </row>
    <row r="1803" spans="2:5">
      <c r="B1803" s="121">
        <v>169</v>
      </c>
      <c r="C1803" s="121">
        <v>16</v>
      </c>
      <c r="D1803" s="734">
        <v>134.82181936265741</v>
      </c>
      <c r="E1803" s="733"/>
    </row>
    <row r="1804" spans="2:5">
      <c r="B1804" s="121">
        <v>169</v>
      </c>
      <c r="C1804" s="121">
        <v>17</v>
      </c>
      <c r="D1804" s="734">
        <v>139.73513806572507</v>
      </c>
      <c r="E1804" s="733"/>
    </row>
    <row r="1805" spans="2:5">
      <c r="B1805" s="121">
        <v>169</v>
      </c>
      <c r="C1805" s="121">
        <v>18</v>
      </c>
      <c r="D1805" s="734">
        <v>138.77416715032163</v>
      </c>
      <c r="E1805" s="733"/>
    </row>
    <row r="1806" spans="2:5">
      <c r="B1806" s="121">
        <v>169</v>
      </c>
      <c r="C1806" s="121">
        <v>19</v>
      </c>
      <c r="D1806" s="734">
        <v>142.77621656757401</v>
      </c>
      <c r="E1806" s="733"/>
    </row>
    <row r="1807" spans="2:5">
      <c r="B1807" s="121">
        <v>169</v>
      </c>
      <c r="C1807" s="121">
        <v>20</v>
      </c>
      <c r="D1807" s="734">
        <v>137.94816951082424</v>
      </c>
      <c r="E1807" s="733"/>
    </row>
    <row r="1808" spans="2:5">
      <c r="B1808" s="121">
        <v>169</v>
      </c>
      <c r="C1808" s="121">
        <v>21</v>
      </c>
      <c r="D1808" s="734">
        <v>146.54830580934291</v>
      </c>
      <c r="E1808" s="733"/>
    </row>
    <row r="1809" spans="2:5">
      <c r="B1809" s="121">
        <v>169</v>
      </c>
      <c r="C1809" s="121">
        <v>22</v>
      </c>
      <c r="D1809" s="734">
        <v>141.9355589207357</v>
      </c>
      <c r="E1809" s="733"/>
    </row>
    <row r="1810" spans="2:5">
      <c r="B1810" s="121">
        <v>169</v>
      </c>
      <c r="C1810" s="121">
        <v>23</v>
      </c>
      <c r="D1810" s="734">
        <v>143.06433260690895</v>
      </c>
      <c r="E1810" s="733"/>
    </row>
    <row r="1811" spans="2:5">
      <c r="B1811" s="121">
        <v>169</v>
      </c>
      <c r="C1811" s="121">
        <v>24</v>
      </c>
      <c r="D1811" s="734">
        <v>138.67953697004731</v>
      </c>
      <c r="E1811" s="733"/>
    </row>
    <row r="1812" spans="2:5">
      <c r="B1812" s="121">
        <v>169</v>
      </c>
      <c r="C1812" s="121">
        <v>25</v>
      </c>
      <c r="D1812" s="734">
        <v>144.94332943015579</v>
      </c>
      <c r="E1812" s="733"/>
    </row>
    <row r="1813" spans="2:5">
      <c r="B1813" s="121">
        <v>169</v>
      </c>
      <c r="C1813" s="121">
        <v>26</v>
      </c>
      <c r="D1813" s="734">
        <v>135.27890796282276</v>
      </c>
      <c r="E1813" s="733"/>
    </row>
    <row r="1814" spans="2:5">
      <c r="B1814" s="121">
        <v>169</v>
      </c>
      <c r="C1814" s="121">
        <v>27</v>
      </c>
      <c r="D1814" s="734">
        <v>146.57932579849739</v>
      </c>
      <c r="E1814" s="733"/>
    </row>
    <row r="1815" spans="2:5">
      <c r="B1815" s="121">
        <v>169</v>
      </c>
      <c r="C1815" s="121">
        <v>28</v>
      </c>
      <c r="D1815" s="734">
        <v>144.66567607030552</v>
      </c>
      <c r="E1815" s="733"/>
    </row>
    <row r="1816" spans="2:5">
      <c r="B1816" s="121">
        <v>169</v>
      </c>
      <c r="C1816" s="121">
        <v>29</v>
      </c>
      <c r="D1816" s="734">
        <v>140.02590743915735</v>
      </c>
      <c r="E1816" s="733"/>
    </row>
    <row r="1817" spans="2:5">
      <c r="B1817" s="121">
        <v>169</v>
      </c>
      <c r="C1817" s="121">
        <v>30</v>
      </c>
      <c r="D1817" s="734">
        <v>145.72910633450311</v>
      </c>
      <c r="E1817" s="733"/>
    </row>
    <row r="1818" spans="2:5">
      <c r="B1818" s="121">
        <v>169</v>
      </c>
      <c r="C1818" s="121">
        <v>31</v>
      </c>
      <c r="D1818" s="734">
        <v>135.63196801114279</v>
      </c>
      <c r="E1818" s="733"/>
    </row>
    <row r="1819" spans="2:5">
      <c r="B1819" s="121">
        <v>169</v>
      </c>
      <c r="C1819" s="121">
        <v>32</v>
      </c>
      <c r="D1819" s="734">
        <v>136.63400117266042</v>
      </c>
      <c r="E1819" s="733"/>
    </row>
    <row r="1820" spans="2:5">
      <c r="B1820" s="121">
        <v>169</v>
      </c>
      <c r="C1820" s="121">
        <v>33</v>
      </c>
      <c r="D1820" s="734">
        <v>134.03681873959579</v>
      </c>
      <c r="E1820" s="733"/>
    </row>
    <row r="1821" spans="2:5">
      <c r="B1821" s="121">
        <v>169</v>
      </c>
      <c r="C1821" s="121">
        <v>34</v>
      </c>
      <c r="D1821" s="734">
        <v>140.41491236925074</v>
      </c>
      <c r="E1821" s="733"/>
    </row>
    <row r="1822" spans="2:5">
      <c r="B1822" s="121">
        <v>169</v>
      </c>
      <c r="C1822" s="121">
        <v>35</v>
      </c>
      <c r="D1822" s="734">
        <v>146.80511390716634</v>
      </c>
      <c r="E1822" s="733"/>
    </row>
    <row r="1823" spans="2:5">
      <c r="B1823" s="121">
        <v>169</v>
      </c>
      <c r="C1823" s="121">
        <v>36</v>
      </c>
      <c r="D1823" s="734">
        <v>143.6321330171229</v>
      </c>
      <c r="E1823" s="733"/>
    </row>
    <row r="1824" spans="2:5">
      <c r="B1824" s="121">
        <v>170</v>
      </c>
      <c r="C1824" s="121">
        <v>1</v>
      </c>
      <c r="D1824" s="734">
        <v>5</v>
      </c>
      <c r="E1824" s="733"/>
    </row>
    <row r="1825" spans="2:5">
      <c r="B1825" s="121">
        <v>170</v>
      </c>
      <c r="C1825" s="121">
        <v>2</v>
      </c>
      <c r="D1825" s="734">
        <v>94.737913264198909</v>
      </c>
      <c r="E1825" s="733"/>
    </row>
    <row r="1826" spans="2:5">
      <c r="B1826" s="121">
        <v>170</v>
      </c>
      <c r="C1826" s="121">
        <v>3</v>
      </c>
      <c r="D1826" s="734">
        <v>115.18174512280174</v>
      </c>
      <c r="E1826" s="733"/>
    </row>
    <row r="1827" spans="2:5">
      <c r="B1827" s="121">
        <v>170</v>
      </c>
      <c r="C1827" s="121">
        <v>4</v>
      </c>
      <c r="D1827" s="734">
        <v>136.48463567861148</v>
      </c>
      <c r="E1827" s="733"/>
    </row>
    <row r="1828" spans="2:5">
      <c r="B1828" s="121">
        <v>170</v>
      </c>
      <c r="C1828" s="121">
        <v>5</v>
      </c>
      <c r="D1828" s="734">
        <v>142.86505585935305</v>
      </c>
      <c r="E1828" s="733"/>
    </row>
    <row r="1829" spans="2:5">
      <c r="B1829" s="121">
        <v>170</v>
      </c>
      <c r="C1829" s="121">
        <v>6</v>
      </c>
      <c r="D1829" s="734">
        <v>135.41345135317513</v>
      </c>
      <c r="E1829" s="733"/>
    </row>
    <row r="1830" spans="2:5">
      <c r="B1830" s="121">
        <v>170</v>
      </c>
      <c r="C1830" s="121">
        <v>7</v>
      </c>
      <c r="D1830" s="734">
        <v>145.78263953599756</v>
      </c>
      <c r="E1830" s="733"/>
    </row>
    <row r="1831" spans="2:5">
      <c r="B1831" s="121">
        <v>170</v>
      </c>
      <c r="C1831" s="121">
        <v>8</v>
      </c>
      <c r="D1831" s="734">
        <v>138.40598879918602</v>
      </c>
      <c r="E1831" s="733"/>
    </row>
    <row r="1832" spans="2:5">
      <c r="B1832" s="121">
        <v>170</v>
      </c>
      <c r="C1832" s="121">
        <v>9</v>
      </c>
      <c r="D1832" s="734">
        <v>138.73881182399109</v>
      </c>
      <c r="E1832" s="733"/>
    </row>
    <row r="1833" spans="2:5">
      <c r="B1833" s="121">
        <v>170</v>
      </c>
      <c r="C1833" s="121">
        <v>10</v>
      </c>
      <c r="D1833" s="734">
        <v>137.71643145410997</v>
      </c>
      <c r="E1833" s="733"/>
    </row>
    <row r="1834" spans="2:5">
      <c r="B1834" s="121">
        <v>170</v>
      </c>
      <c r="C1834" s="121">
        <v>11</v>
      </c>
      <c r="D1834" s="734">
        <v>135.29155539535319</v>
      </c>
      <c r="E1834" s="733"/>
    </row>
    <row r="1835" spans="2:5">
      <c r="B1835" s="121">
        <v>170</v>
      </c>
      <c r="C1835" s="121">
        <v>12</v>
      </c>
      <c r="D1835" s="734">
        <v>139.82366844838666</v>
      </c>
      <c r="E1835" s="733"/>
    </row>
    <row r="1836" spans="2:5">
      <c r="B1836" s="121">
        <v>170</v>
      </c>
      <c r="C1836" s="121">
        <v>13</v>
      </c>
      <c r="D1836" s="734">
        <v>142.87284285692277</v>
      </c>
      <c r="E1836" s="733"/>
    </row>
    <row r="1837" spans="2:5">
      <c r="B1837" s="121">
        <v>170</v>
      </c>
      <c r="C1837" s="121">
        <v>14</v>
      </c>
      <c r="D1837" s="734">
        <v>134.52978265813971</v>
      </c>
      <c r="E1837" s="733"/>
    </row>
    <row r="1838" spans="2:5">
      <c r="B1838" s="121">
        <v>170</v>
      </c>
      <c r="C1838" s="121">
        <v>15</v>
      </c>
      <c r="D1838" s="734">
        <v>138.7218490055244</v>
      </c>
      <c r="E1838" s="733"/>
    </row>
    <row r="1839" spans="2:5">
      <c r="B1839" s="121">
        <v>170</v>
      </c>
      <c r="C1839" s="121">
        <v>16</v>
      </c>
      <c r="D1839" s="734">
        <v>142.84834543965036</v>
      </c>
      <c r="E1839" s="733"/>
    </row>
    <row r="1840" spans="2:5">
      <c r="B1840" s="121">
        <v>171</v>
      </c>
      <c r="C1840" s="121">
        <v>1</v>
      </c>
      <c r="D1840" s="734">
        <v>5</v>
      </c>
      <c r="E1840" s="733"/>
    </row>
    <row r="1841" spans="2:5">
      <c r="B1841" s="121">
        <v>171</v>
      </c>
      <c r="C1841" s="121">
        <v>2</v>
      </c>
      <c r="D1841" s="734">
        <v>99.986909994245437</v>
      </c>
      <c r="E1841" s="733"/>
    </row>
    <row r="1842" spans="2:5">
      <c r="B1842" s="121">
        <v>171</v>
      </c>
      <c r="C1842" s="121">
        <v>3</v>
      </c>
      <c r="D1842" s="734">
        <v>120.79041993295593</v>
      </c>
      <c r="E1842" s="733"/>
    </row>
    <row r="1843" spans="2:5">
      <c r="B1843" s="121">
        <v>171</v>
      </c>
      <c r="C1843" s="121">
        <v>4</v>
      </c>
      <c r="D1843" s="734">
        <v>138.32902882182856</v>
      </c>
      <c r="E1843" s="733"/>
    </row>
    <row r="1844" spans="2:5">
      <c r="B1844" s="121">
        <v>171</v>
      </c>
      <c r="C1844" s="121">
        <v>5</v>
      </c>
      <c r="D1844" s="734">
        <v>135.69927277821762</v>
      </c>
      <c r="E1844" s="733"/>
    </row>
    <row r="1845" spans="2:5">
      <c r="B1845" s="121">
        <v>171</v>
      </c>
      <c r="C1845" s="121">
        <v>6</v>
      </c>
      <c r="D1845" s="734">
        <v>145.55167531522403</v>
      </c>
      <c r="E1845" s="733"/>
    </row>
    <row r="1846" spans="2:5">
      <c r="B1846" s="121">
        <v>171</v>
      </c>
      <c r="C1846" s="121">
        <v>7</v>
      </c>
      <c r="D1846" s="734">
        <v>137.32129333309285</v>
      </c>
      <c r="E1846" s="733"/>
    </row>
    <row r="1847" spans="2:5">
      <c r="B1847" s="121">
        <v>171</v>
      </c>
      <c r="C1847" s="121">
        <v>8</v>
      </c>
      <c r="D1847" s="734">
        <v>138.96156918495134</v>
      </c>
      <c r="E1847" s="733"/>
    </row>
    <row r="1848" spans="2:5">
      <c r="B1848" s="121">
        <v>171</v>
      </c>
      <c r="C1848" s="121">
        <v>9</v>
      </c>
      <c r="D1848" s="734">
        <v>142.82783861821622</v>
      </c>
      <c r="E1848" s="733"/>
    </row>
    <row r="1849" spans="2:5">
      <c r="B1849" s="121">
        <v>172</v>
      </c>
      <c r="C1849" s="121">
        <v>1</v>
      </c>
      <c r="D1849" s="734">
        <v>5</v>
      </c>
      <c r="E1849" s="733"/>
    </row>
    <row r="1850" spans="2:5">
      <c r="B1850" s="121">
        <v>172</v>
      </c>
      <c r="C1850" s="121">
        <v>2</v>
      </c>
      <c r="D1850" s="734">
        <v>97.174567614572737</v>
      </c>
      <c r="E1850" s="733"/>
    </row>
    <row r="1851" spans="2:5">
      <c r="B1851" s="121">
        <v>173</v>
      </c>
      <c r="C1851" s="121">
        <v>1</v>
      </c>
      <c r="D1851" s="734">
        <v>5</v>
      </c>
      <c r="E1851" s="733"/>
    </row>
    <row r="1852" spans="2:5">
      <c r="B1852" s="121">
        <v>173</v>
      </c>
      <c r="C1852" s="121">
        <v>2</v>
      </c>
      <c r="D1852" s="734">
        <v>101.09193422473697</v>
      </c>
      <c r="E1852" s="733"/>
    </row>
    <row r="1853" spans="2:5">
      <c r="B1853" s="121">
        <v>173</v>
      </c>
      <c r="C1853" s="121">
        <v>3</v>
      </c>
      <c r="D1853" s="734">
        <v>118.0092807449961</v>
      </c>
      <c r="E1853" s="733"/>
    </row>
    <row r="1854" spans="2:5">
      <c r="B1854" s="121">
        <v>173</v>
      </c>
      <c r="C1854" s="121">
        <v>4</v>
      </c>
      <c r="D1854" s="734">
        <v>139.59042946319462</v>
      </c>
      <c r="E1854" s="733"/>
    </row>
    <row r="1855" spans="2:5">
      <c r="B1855" s="121">
        <v>173</v>
      </c>
      <c r="C1855" s="121">
        <v>5</v>
      </c>
      <c r="D1855" s="734">
        <v>135.0308152566202</v>
      </c>
      <c r="E1855" s="733"/>
    </row>
    <row r="1856" spans="2:5">
      <c r="B1856" s="121">
        <v>173</v>
      </c>
      <c r="C1856" s="121">
        <v>6</v>
      </c>
      <c r="D1856" s="734">
        <v>140.35588948347907</v>
      </c>
      <c r="E1856" s="733"/>
    </row>
    <row r="1857" spans="2:5">
      <c r="B1857" s="121">
        <v>173</v>
      </c>
      <c r="C1857" s="121">
        <v>7</v>
      </c>
      <c r="D1857" s="734">
        <v>134.85848612416848</v>
      </c>
      <c r="E1857" s="733"/>
    </row>
    <row r="1858" spans="2:5">
      <c r="B1858" s="121">
        <v>174</v>
      </c>
      <c r="C1858" s="121">
        <v>1</v>
      </c>
      <c r="D1858" s="734">
        <v>5</v>
      </c>
      <c r="E1858" s="733"/>
    </row>
    <row r="1859" spans="2:5">
      <c r="B1859" s="121">
        <v>174</v>
      </c>
      <c r="C1859" s="121">
        <v>2</v>
      </c>
      <c r="D1859" s="734">
        <v>98.563862936800518</v>
      </c>
      <c r="E1859" s="733"/>
    </row>
    <row r="1860" spans="2:5">
      <c r="B1860" s="121">
        <v>174</v>
      </c>
      <c r="C1860" s="121">
        <v>3</v>
      </c>
      <c r="D1860" s="734">
        <v>121.54818775396009</v>
      </c>
      <c r="E1860" s="733"/>
    </row>
    <row r="1861" spans="2:5">
      <c r="B1861" s="121">
        <v>174</v>
      </c>
      <c r="C1861" s="121">
        <v>4</v>
      </c>
      <c r="D1861" s="734">
        <v>135.36600306229124</v>
      </c>
      <c r="E1861" s="733"/>
    </row>
    <row r="1862" spans="2:5">
      <c r="B1862" s="121">
        <v>174</v>
      </c>
      <c r="C1862" s="121">
        <v>5</v>
      </c>
      <c r="D1862" s="734">
        <v>144.80685476754607</v>
      </c>
      <c r="E1862" s="733"/>
    </row>
    <row r="1863" spans="2:5">
      <c r="B1863" s="121">
        <v>174</v>
      </c>
      <c r="C1863" s="121">
        <v>6</v>
      </c>
      <c r="D1863" s="734">
        <v>146.77066387485704</v>
      </c>
      <c r="E1863" s="733"/>
    </row>
    <row r="1864" spans="2:5">
      <c r="B1864" s="121">
        <v>174</v>
      </c>
      <c r="C1864" s="121">
        <v>7</v>
      </c>
      <c r="D1864" s="734">
        <v>135.97183716457261</v>
      </c>
      <c r="E1864" s="733"/>
    </row>
    <row r="1865" spans="2:5">
      <c r="B1865" s="121">
        <v>174</v>
      </c>
      <c r="C1865" s="121">
        <v>8</v>
      </c>
      <c r="D1865" s="734">
        <v>135.02600600304834</v>
      </c>
      <c r="E1865" s="733"/>
    </row>
    <row r="1866" spans="2:5">
      <c r="B1866" s="121">
        <v>174</v>
      </c>
      <c r="C1866" s="121">
        <v>9</v>
      </c>
      <c r="D1866" s="734">
        <v>141.00355318267125</v>
      </c>
      <c r="E1866" s="733"/>
    </row>
    <row r="1867" spans="2:5">
      <c r="B1867" s="121">
        <v>174</v>
      </c>
      <c r="C1867" s="121">
        <v>10</v>
      </c>
      <c r="D1867" s="734">
        <v>141.90699920742034</v>
      </c>
      <c r="E1867" s="733"/>
    </row>
    <row r="1868" spans="2:5">
      <c r="B1868" s="121">
        <v>174</v>
      </c>
      <c r="C1868" s="121">
        <v>11</v>
      </c>
      <c r="D1868" s="734">
        <v>144.02245040285499</v>
      </c>
      <c r="E1868" s="733"/>
    </row>
    <row r="1869" spans="2:5">
      <c r="B1869" s="121">
        <v>174</v>
      </c>
      <c r="C1869" s="121">
        <v>12</v>
      </c>
      <c r="D1869" s="734">
        <v>137.55390550634783</v>
      </c>
      <c r="E1869" s="733"/>
    </row>
    <row r="1870" spans="2:5">
      <c r="B1870" s="121">
        <v>174</v>
      </c>
      <c r="C1870" s="121">
        <v>13</v>
      </c>
      <c r="D1870" s="734">
        <v>137.18388997636779</v>
      </c>
      <c r="E1870" s="733"/>
    </row>
    <row r="1871" spans="2:5">
      <c r="B1871" s="121">
        <v>174</v>
      </c>
      <c r="C1871" s="121">
        <v>14</v>
      </c>
      <c r="D1871" s="734">
        <v>142.52476795980243</v>
      </c>
      <c r="E1871" s="733"/>
    </row>
    <row r="1872" spans="2:5">
      <c r="B1872" s="121">
        <v>174</v>
      </c>
      <c r="C1872" s="121">
        <v>15</v>
      </c>
      <c r="D1872" s="734">
        <v>142.49227386373468</v>
      </c>
      <c r="E1872" s="733"/>
    </row>
    <row r="1873" spans="2:5">
      <c r="B1873" s="121">
        <v>174</v>
      </c>
      <c r="C1873" s="121">
        <v>16</v>
      </c>
      <c r="D1873" s="734">
        <v>142.52345824154645</v>
      </c>
      <c r="E1873" s="733"/>
    </row>
    <row r="1874" spans="2:5">
      <c r="B1874" s="121">
        <v>174</v>
      </c>
      <c r="C1874" s="121">
        <v>17</v>
      </c>
      <c r="D1874" s="734">
        <v>141.9284832597663</v>
      </c>
      <c r="E1874" s="733"/>
    </row>
    <row r="1875" spans="2:5">
      <c r="B1875" s="121">
        <v>174</v>
      </c>
      <c r="C1875" s="121">
        <v>18</v>
      </c>
      <c r="D1875" s="734">
        <v>135.57146868113256</v>
      </c>
      <c r="E1875" s="733"/>
    </row>
    <row r="1876" spans="2:5">
      <c r="B1876" s="121">
        <v>174</v>
      </c>
      <c r="C1876" s="121">
        <v>19</v>
      </c>
      <c r="D1876" s="734">
        <v>139.99843702406923</v>
      </c>
      <c r="E1876" s="733"/>
    </row>
    <row r="1877" spans="2:5">
      <c r="B1877" s="121">
        <v>174</v>
      </c>
      <c r="C1877" s="121">
        <v>20</v>
      </c>
      <c r="D1877" s="734">
        <v>144.38666700317924</v>
      </c>
      <c r="E1877" s="733"/>
    </row>
    <row r="1878" spans="2:5">
      <c r="B1878" s="121">
        <v>174</v>
      </c>
      <c r="C1878" s="121">
        <v>21</v>
      </c>
      <c r="D1878" s="734">
        <v>144.84708657322878</v>
      </c>
      <c r="E1878" s="733"/>
    </row>
    <row r="1879" spans="2:5">
      <c r="B1879" s="121">
        <v>174</v>
      </c>
      <c r="C1879" s="121">
        <v>22</v>
      </c>
      <c r="D1879" s="734">
        <v>136.039469069148</v>
      </c>
      <c r="E1879" s="733"/>
    </row>
    <row r="1880" spans="2:5">
      <c r="B1880" s="121">
        <v>174</v>
      </c>
      <c r="C1880" s="121">
        <v>23</v>
      </c>
      <c r="D1880" s="734">
        <v>143.88115034428421</v>
      </c>
      <c r="E1880" s="733"/>
    </row>
    <row r="1881" spans="2:5">
      <c r="B1881" s="121">
        <v>174</v>
      </c>
      <c r="C1881" s="121">
        <v>24</v>
      </c>
      <c r="D1881" s="734">
        <v>134.81732888643506</v>
      </c>
      <c r="E1881" s="733"/>
    </row>
    <row r="1882" spans="2:5">
      <c r="B1882" s="121">
        <v>174</v>
      </c>
      <c r="C1882" s="121">
        <v>25</v>
      </c>
      <c r="D1882" s="734">
        <v>136.48158058962346</v>
      </c>
      <c r="E1882" s="733"/>
    </row>
    <row r="1883" spans="2:5">
      <c r="B1883" s="121">
        <v>174</v>
      </c>
      <c r="C1883" s="121">
        <v>26</v>
      </c>
      <c r="D1883" s="734">
        <v>140.75293256447844</v>
      </c>
      <c r="E1883" s="733"/>
    </row>
    <row r="1884" spans="2:5">
      <c r="B1884" s="121">
        <v>174</v>
      </c>
      <c r="C1884" s="121">
        <v>27</v>
      </c>
      <c r="D1884" s="734">
        <v>138.45570327411585</v>
      </c>
      <c r="E1884" s="733"/>
    </row>
    <row r="1885" spans="2:5">
      <c r="B1885" s="121">
        <v>174</v>
      </c>
      <c r="C1885" s="121">
        <v>28</v>
      </c>
      <c r="D1885" s="734">
        <v>136.35596515071768</v>
      </c>
      <c r="E1885" s="733"/>
    </row>
    <row r="1886" spans="2:5">
      <c r="B1886" s="121">
        <v>174</v>
      </c>
      <c r="C1886" s="121">
        <v>29</v>
      </c>
      <c r="D1886" s="734">
        <v>135.79855037174283</v>
      </c>
      <c r="E1886" s="733"/>
    </row>
    <row r="1887" spans="2:5">
      <c r="B1887" s="121">
        <v>174</v>
      </c>
      <c r="C1887" s="121">
        <v>30</v>
      </c>
      <c r="D1887" s="734">
        <v>139.92802683741607</v>
      </c>
      <c r="E1887" s="733"/>
    </row>
    <row r="1888" spans="2:5">
      <c r="B1888" s="121">
        <v>174</v>
      </c>
      <c r="C1888" s="121">
        <v>31</v>
      </c>
      <c r="D1888" s="734">
        <v>142.96429178329598</v>
      </c>
      <c r="E1888" s="733"/>
    </row>
    <row r="1889" spans="2:5">
      <c r="B1889" s="121">
        <v>174</v>
      </c>
      <c r="C1889" s="121">
        <v>32</v>
      </c>
      <c r="D1889" s="734">
        <v>144.81552804325185</v>
      </c>
      <c r="E1889" s="733"/>
    </row>
    <row r="1890" spans="2:5">
      <c r="B1890" s="121">
        <v>174</v>
      </c>
      <c r="C1890" s="121">
        <v>33</v>
      </c>
      <c r="D1890" s="734">
        <v>145.21367590026344</v>
      </c>
      <c r="E1890" s="733"/>
    </row>
    <row r="1891" spans="2:5">
      <c r="B1891" s="121">
        <v>174</v>
      </c>
      <c r="C1891" s="121">
        <v>34</v>
      </c>
      <c r="D1891" s="734">
        <v>143.60931031971893</v>
      </c>
      <c r="E1891" s="733"/>
    </row>
    <row r="1892" spans="2:5">
      <c r="B1892" s="121">
        <v>174</v>
      </c>
      <c r="C1892" s="121">
        <v>35</v>
      </c>
      <c r="D1892" s="734">
        <v>141.71796235790347</v>
      </c>
      <c r="E1892" s="733"/>
    </row>
    <row r="1893" spans="2:5">
      <c r="B1893" s="121">
        <v>174</v>
      </c>
      <c r="C1893" s="121">
        <v>36</v>
      </c>
      <c r="D1893" s="734">
        <v>134.64304534920171</v>
      </c>
      <c r="E1893" s="733"/>
    </row>
    <row r="1894" spans="2:5">
      <c r="B1894" s="121">
        <v>175</v>
      </c>
      <c r="C1894" s="121">
        <v>1</v>
      </c>
      <c r="D1894" s="734">
        <v>5</v>
      </c>
      <c r="E1894" s="733"/>
    </row>
    <row r="1895" spans="2:5">
      <c r="B1895" s="121">
        <v>175</v>
      </c>
      <c r="C1895" s="121">
        <v>2</v>
      </c>
      <c r="D1895" s="734">
        <v>95.788003034533517</v>
      </c>
      <c r="E1895" s="733"/>
    </row>
    <row r="1896" spans="2:5">
      <c r="B1896" s="121">
        <v>175</v>
      </c>
      <c r="C1896" s="121">
        <v>3</v>
      </c>
      <c r="D1896" s="734">
        <v>123.68804503670259</v>
      </c>
      <c r="E1896" s="733"/>
    </row>
    <row r="1897" spans="2:5">
      <c r="B1897" s="121">
        <v>175</v>
      </c>
      <c r="C1897" s="121">
        <v>4</v>
      </c>
      <c r="D1897" s="734">
        <v>140.34877389283523</v>
      </c>
      <c r="E1897" s="733"/>
    </row>
    <row r="1898" spans="2:5">
      <c r="B1898" s="121">
        <v>175</v>
      </c>
      <c r="C1898" s="121">
        <v>5</v>
      </c>
      <c r="D1898" s="734">
        <v>138.03497438082195</v>
      </c>
      <c r="E1898" s="733"/>
    </row>
    <row r="1899" spans="2:5">
      <c r="B1899" s="121">
        <v>175</v>
      </c>
      <c r="C1899" s="121">
        <v>6</v>
      </c>
      <c r="D1899" s="734">
        <v>141.68623472782417</v>
      </c>
      <c r="E1899" s="733"/>
    </row>
    <row r="1900" spans="2:5">
      <c r="B1900" s="121">
        <v>175</v>
      </c>
      <c r="C1900" s="121">
        <v>7</v>
      </c>
      <c r="D1900" s="734">
        <v>142.84370259467693</v>
      </c>
      <c r="E1900" s="733"/>
    </row>
    <row r="1901" spans="2:5">
      <c r="B1901" s="121">
        <v>175</v>
      </c>
      <c r="C1901" s="121">
        <v>8</v>
      </c>
      <c r="D1901" s="734">
        <v>146.4148210596951</v>
      </c>
      <c r="E1901" s="733"/>
    </row>
    <row r="1902" spans="2:5">
      <c r="B1902" s="121">
        <v>175</v>
      </c>
      <c r="C1902" s="121">
        <v>9</v>
      </c>
      <c r="D1902" s="734">
        <v>142.59504423299194</v>
      </c>
      <c r="E1902" s="733"/>
    </row>
    <row r="1903" spans="2:5">
      <c r="B1903" s="121">
        <v>175</v>
      </c>
      <c r="C1903" s="121">
        <v>10</v>
      </c>
      <c r="D1903" s="734">
        <v>134.85427965123387</v>
      </c>
      <c r="E1903" s="733"/>
    </row>
    <row r="1904" spans="2:5">
      <c r="B1904" s="121">
        <v>175</v>
      </c>
      <c r="C1904" s="121">
        <v>11</v>
      </c>
      <c r="D1904" s="734">
        <v>142.57733414907909</v>
      </c>
      <c r="E1904" s="733"/>
    </row>
    <row r="1905" spans="2:5">
      <c r="B1905" s="121">
        <v>175</v>
      </c>
      <c r="C1905" s="121">
        <v>12</v>
      </c>
      <c r="D1905" s="734">
        <v>142.70636487869453</v>
      </c>
      <c r="E1905" s="733"/>
    </row>
    <row r="1906" spans="2:5">
      <c r="B1906" s="121">
        <v>175</v>
      </c>
      <c r="C1906" s="121">
        <v>13</v>
      </c>
      <c r="D1906" s="734">
        <v>143.5232500882077</v>
      </c>
      <c r="E1906" s="733"/>
    </row>
    <row r="1907" spans="2:5">
      <c r="B1907" s="121">
        <v>175</v>
      </c>
      <c r="C1907" s="121">
        <v>14</v>
      </c>
      <c r="D1907" s="734">
        <v>145.75716378595561</v>
      </c>
      <c r="E1907" s="733"/>
    </row>
    <row r="1908" spans="2:5">
      <c r="B1908" s="121">
        <v>175</v>
      </c>
      <c r="C1908" s="121">
        <v>15</v>
      </c>
      <c r="D1908" s="734">
        <v>143.09228544662042</v>
      </c>
      <c r="E1908" s="733"/>
    </row>
    <row r="1909" spans="2:5">
      <c r="B1909" s="121">
        <v>175</v>
      </c>
      <c r="C1909" s="121">
        <v>16</v>
      </c>
      <c r="D1909" s="734">
        <v>143.72339768482428</v>
      </c>
      <c r="E1909" s="733"/>
    </row>
    <row r="1910" spans="2:5">
      <c r="B1910" s="121">
        <v>175</v>
      </c>
      <c r="C1910" s="121">
        <v>17</v>
      </c>
      <c r="D1910" s="734">
        <v>137.77575357557336</v>
      </c>
      <c r="E1910" s="733"/>
    </row>
    <row r="1911" spans="2:5">
      <c r="B1911" s="121">
        <v>175</v>
      </c>
      <c r="C1911" s="121">
        <v>18</v>
      </c>
      <c r="D1911" s="734">
        <v>135.23208138142761</v>
      </c>
      <c r="E1911" s="733"/>
    </row>
    <row r="1912" spans="2:5">
      <c r="B1912" s="121">
        <v>175</v>
      </c>
      <c r="C1912" s="121">
        <v>19</v>
      </c>
      <c r="D1912" s="734">
        <v>140.20269667822643</v>
      </c>
      <c r="E1912" s="733"/>
    </row>
    <row r="1913" spans="2:5">
      <c r="B1913" s="121">
        <v>175</v>
      </c>
      <c r="C1913" s="121">
        <v>20</v>
      </c>
      <c r="D1913" s="734">
        <v>136.53578075420057</v>
      </c>
      <c r="E1913" s="733"/>
    </row>
    <row r="1914" spans="2:5">
      <c r="B1914" s="121">
        <v>175</v>
      </c>
      <c r="C1914" s="121">
        <v>21</v>
      </c>
      <c r="D1914" s="734">
        <v>146.39502962984767</v>
      </c>
      <c r="E1914" s="733"/>
    </row>
    <row r="1915" spans="2:5">
      <c r="B1915" s="121">
        <v>175</v>
      </c>
      <c r="C1915" s="121">
        <v>22</v>
      </c>
      <c r="D1915" s="734">
        <v>133.94338220691236</v>
      </c>
      <c r="E1915" s="733"/>
    </row>
    <row r="1916" spans="2:5">
      <c r="B1916" s="121">
        <v>175</v>
      </c>
      <c r="C1916" s="121">
        <v>23</v>
      </c>
      <c r="D1916" s="734">
        <v>135.57582403128976</v>
      </c>
      <c r="E1916" s="733"/>
    </row>
    <row r="1917" spans="2:5">
      <c r="B1917" s="121">
        <v>175</v>
      </c>
      <c r="C1917" s="121">
        <v>24</v>
      </c>
      <c r="D1917" s="734">
        <v>143.53624573201515</v>
      </c>
      <c r="E1917" s="733"/>
    </row>
    <row r="1918" spans="2:5">
      <c r="B1918" s="121">
        <v>175</v>
      </c>
      <c r="C1918" s="121">
        <v>25</v>
      </c>
      <c r="D1918" s="734">
        <v>145.71878287500925</v>
      </c>
      <c r="E1918" s="733"/>
    </row>
    <row r="1919" spans="2:5">
      <c r="B1919" s="121">
        <v>175</v>
      </c>
      <c r="C1919" s="121">
        <v>26</v>
      </c>
      <c r="D1919" s="734">
        <v>139.78268608263147</v>
      </c>
      <c r="E1919" s="733"/>
    </row>
    <row r="1920" spans="2:5">
      <c r="B1920" s="121">
        <v>175</v>
      </c>
      <c r="C1920" s="121">
        <v>27</v>
      </c>
      <c r="D1920" s="734">
        <v>138.07690407026575</v>
      </c>
      <c r="E1920" s="733"/>
    </row>
    <row r="1921" spans="2:5">
      <c r="B1921" s="121">
        <v>175</v>
      </c>
      <c r="C1921" s="121">
        <v>28</v>
      </c>
      <c r="D1921" s="734">
        <v>139.18638525898831</v>
      </c>
      <c r="E1921" s="733"/>
    </row>
    <row r="1922" spans="2:5">
      <c r="B1922" s="121">
        <v>175</v>
      </c>
      <c r="C1922" s="121">
        <v>29</v>
      </c>
      <c r="D1922" s="734">
        <v>144.72689537328429</v>
      </c>
      <c r="E1922" s="733"/>
    </row>
    <row r="1923" spans="2:5">
      <c r="B1923" s="121">
        <v>175</v>
      </c>
      <c r="C1923" s="121">
        <v>30</v>
      </c>
      <c r="D1923" s="734">
        <v>145.72802397873275</v>
      </c>
      <c r="E1923" s="733"/>
    </row>
    <row r="1924" spans="2:5">
      <c r="B1924" s="121">
        <v>175</v>
      </c>
      <c r="C1924" s="121">
        <v>31</v>
      </c>
      <c r="D1924" s="734">
        <v>146.09082117438578</v>
      </c>
      <c r="E1924" s="733"/>
    </row>
    <row r="1925" spans="2:5">
      <c r="B1925" s="121">
        <v>175</v>
      </c>
      <c r="C1925" s="121">
        <v>32</v>
      </c>
      <c r="D1925" s="734">
        <v>141.67316994402785</v>
      </c>
      <c r="E1925" s="733"/>
    </row>
    <row r="1926" spans="2:5">
      <c r="B1926" s="121">
        <v>175</v>
      </c>
      <c r="C1926" s="121">
        <v>33</v>
      </c>
      <c r="D1926" s="734">
        <v>143.03934851853032</v>
      </c>
      <c r="E1926" s="733"/>
    </row>
    <row r="1927" spans="2:5">
      <c r="B1927" s="121">
        <v>175</v>
      </c>
      <c r="C1927" s="121">
        <v>34</v>
      </c>
      <c r="D1927" s="734">
        <v>146.91102129604909</v>
      </c>
      <c r="E1927" s="733"/>
    </row>
    <row r="1928" spans="2:5">
      <c r="B1928" s="121">
        <v>175</v>
      </c>
      <c r="C1928" s="121">
        <v>35</v>
      </c>
      <c r="D1928" s="734">
        <v>142.28538788465056</v>
      </c>
      <c r="E1928" s="733"/>
    </row>
    <row r="1929" spans="2:5">
      <c r="B1929" s="121">
        <v>175</v>
      </c>
      <c r="C1929" s="121">
        <v>36</v>
      </c>
      <c r="D1929" s="734">
        <v>141.82831950898651</v>
      </c>
      <c r="E1929" s="733"/>
    </row>
    <row r="1930" spans="2:5">
      <c r="B1930" s="121">
        <v>176</v>
      </c>
      <c r="C1930" s="121">
        <v>1</v>
      </c>
      <c r="D1930" s="734">
        <v>5</v>
      </c>
      <c r="E1930" s="733"/>
    </row>
    <row r="1931" spans="2:5">
      <c r="B1931" s="121">
        <v>176</v>
      </c>
      <c r="C1931" s="121">
        <v>2</v>
      </c>
      <c r="D1931" s="734">
        <v>94.558206726851424</v>
      </c>
      <c r="E1931" s="733"/>
    </row>
    <row r="1932" spans="2:5">
      <c r="B1932" s="121">
        <v>176</v>
      </c>
      <c r="C1932" s="121">
        <v>3</v>
      </c>
      <c r="D1932" s="734">
        <v>123.80437869329577</v>
      </c>
      <c r="E1932" s="733"/>
    </row>
    <row r="1933" spans="2:5">
      <c r="B1933" s="121">
        <v>176</v>
      </c>
      <c r="C1933" s="121">
        <v>4</v>
      </c>
      <c r="D1933" s="734">
        <v>146.53233762510314</v>
      </c>
      <c r="E1933" s="733"/>
    </row>
    <row r="1934" spans="2:5">
      <c r="B1934" s="121">
        <v>176</v>
      </c>
      <c r="C1934" s="121">
        <v>5</v>
      </c>
      <c r="D1934" s="734">
        <v>138.7046942851822</v>
      </c>
      <c r="E1934" s="733"/>
    </row>
    <row r="1935" spans="2:5">
      <c r="B1935" s="121">
        <v>176</v>
      </c>
      <c r="C1935" s="121">
        <v>6</v>
      </c>
      <c r="D1935" s="734">
        <v>139.56102812787404</v>
      </c>
      <c r="E1935" s="733"/>
    </row>
    <row r="1936" spans="2:5">
      <c r="B1936" s="121">
        <v>176</v>
      </c>
      <c r="C1936" s="121">
        <v>7</v>
      </c>
      <c r="D1936" s="734">
        <v>141.36639846014864</v>
      </c>
      <c r="E1936" s="733"/>
    </row>
    <row r="1937" spans="2:5">
      <c r="B1937" s="121">
        <v>176</v>
      </c>
      <c r="C1937" s="121">
        <v>8</v>
      </c>
      <c r="D1937" s="734">
        <v>140.26337414107027</v>
      </c>
      <c r="E1937" s="733"/>
    </row>
    <row r="1938" spans="2:5">
      <c r="B1938" s="121">
        <v>176</v>
      </c>
      <c r="C1938" s="121">
        <v>9</v>
      </c>
      <c r="D1938" s="734">
        <v>142.79301457435696</v>
      </c>
      <c r="E1938" s="733"/>
    </row>
    <row r="1939" spans="2:5">
      <c r="B1939" s="121">
        <v>176</v>
      </c>
      <c r="C1939" s="121">
        <v>10</v>
      </c>
      <c r="D1939" s="734">
        <v>136.40468111409825</v>
      </c>
      <c r="E1939" s="733"/>
    </row>
    <row r="1940" spans="2:5">
      <c r="B1940" s="121">
        <v>176</v>
      </c>
      <c r="C1940" s="121">
        <v>11</v>
      </c>
      <c r="D1940" s="734">
        <v>137.35319395487272</v>
      </c>
      <c r="E1940" s="733"/>
    </row>
    <row r="1941" spans="2:5">
      <c r="B1941" s="121">
        <v>176</v>
      </c>
      <c r="C1941" s="121">
        <v>12</v>
      </c>
      <c r="D1941" s="734">
        <v>135.46819175571142</v>
      </c>
      <c r="E1941" s="733"/>
    </row>
    <row r="1942" spans="2:5">
      <c r="B1942" s="121">
        <v>176</v>
      </c>
      <c r="C1942" s="121">
        <v>13</v>
      </c>
      <c r="D1942" s="734">
        <v>140.86627091452323</v>
      </c>
      <c r="E1942" s="733"/>
    </row>
    <row r="1943" spans="2:5">
      <c r="B1943" s="121">
        <v>176</v>
      </c>
      <c r="C1943" s="121">
        <v>14</v>
      </c>
      <c r="D1943" s="734">
        <v>135.58772990280707</v>
      </c>
      <c r="E1943" s="733"/>
    </row>
    <row r="1944" spans="2:5">
      <c r="B1944" s="121">
        <v>176</v>
      </c>
      <c r="C1944" s="121">
        <v>15</v>
      </c>
      <c r="D1944" s="734">
        <v>140.46930432173809</v>
      </c>
      <c r="E1944" s="733"/>
    </row>
    <row r="1945" spans="2:5">
      <c r="B1945" s="121">
        <v>176</v>
      </c>
      <c r="C1945" s="121">
        <v>16</v>
      </c>
      <c r="D1945" s="734">
        <v>136.77547547891419</v>
      </c>
      <c r="E1945" s="733"/>
    </row>
    <row r="1946" spans="2:5">
      <c r="B1946" s="121">
        <v>176</v>
      </c>
      <c r="C1946" s="121">
        <v>17</v>
      </c>
      <c r="D1946" s="734">
        <v>142.97800392608499</v>
      </c>
      <c r="E1946" s="733"/>
    </row>
    <row r="1947" spans="2:5">
      <c r="B1947" s="121">
        <v>176</v>
      </c>
      <c r="C1947" s="121">
        <v>18</v>
      </c>
      <c r="D1947" s="734">
        <v>141.74538011329204</v>
      </c>
      <c r="E1947" s="733"/>
    </row>
    <row r="1948" spans="2:5">
      <c r="B1948" s="121">
        <v>176</v>
      </c>
      <c r="C1948" s="121">
        <v>19</v>
      </c>
      <c r="D1948" s="734">
        <v>141.95713656703862</v>
      </c>
      <c r="E1948" s="733"/>
    </row>
    <row r="1949" spans="2:5">
      <c r="B1949" s="121">
        <v>176</v>
      </c>
      <c r="C1949" s="121">
        <v>20</v>
      </c>
      <c r="D1949" s="734">
        <v>143.92516020284822</v>
      </c>
      <c r="E1949" s="733"/>
    </row>
    <row r="1950" spans="2:5">
      <c r="B1950" s="121">
        <v>176</v>
      </c>
      <c r="C1950" s="121">
        <v>21</v>
      </c>
      <c r="D1950" s="734">
        <v>142.93022916451511</v>
      </c>
      <c r="E1950" s="733"/>
    </row>
    <row r="1951" spans="2:5">
      <c r="B1951" s="121">
        <v>176</v>
      </c>
      <c r="C1951" s="121">
        <v>22</v>
      </c>
      <c r="D1951" s="734">
        <v>145.03053764249623</v>
      </c>
      <c r="E1951" s="733"/>
    </row>
    <row r="1952" spans="2:5">
      <c r="B1952" s="121">
        <v>176</v>
      </c>
      <c r="C1952" s="121">
        <v>23</v>
      </c>
      <c r="D1952" s="734">
        <v>145.44051014986547</v>
      </c>
      <c r="E1952" s="733"/>
    </row>
    <row r="1953" spans="2:5">
      <c r="B1953" s="121">
        <v>176</v>
      </c>
      <c r="C1953" s="121">
        <v>24</v>
      </c>
      <c r="D1953" s="734">
        <v>143.23390306198255</v>
      </c>
      <c r="E1953" s="733"/>
    </row>
    <row r="1954" spans="2:5">
      <c r="B1954" s="121">
        <v>176</v>
      </c>
      <c r="C1954" s="121">
        <v>25</v>
      </c>
      <c r="D1954" s="734">
        <v>143.74935217454689</v>
      </c>
      <c r="E1954" s="733"/>
    </row>
    <row r="1955" spans="2:5">
      <c r="B1955" s="121">
        <v>176</v>
      </c>
      <c r="C1955" s="121">
        <v>26</v>
      </c>
      <c r="D1955" s="734">
        <v>139.35174010895321</v>
      </c>
      <c r="E1955" s="733"/>
    </row>
    <row r="1956" spans="2:5">
      <c r="B1956" s="121">
        <v>176</v>
      </c>
      <c r="C1956" s="121">
        <v>27</v>
      </c>
      <c r="D1956" s="734">
        <v>145.45193924383409</v>
      </c>
      <c r="E1956" s="733"/>
    </row>
    <row r="1957" spans="2:5">
      <c r="B1957" s="121">
        <v>176</v>
      </c>
      <c r="C1957" s="121">
        <v>28</v>
      </c>
      <c r="D1957" s="734">
        <v>139.45844404257778</v>
      </c>
      <c r="E1957" s="733"/>
    </row>
    <row r="1958" spans="2:5">
      <c r="B1958" s="121">
        <v>176</v>
      </c>
      <c r="C1958" s="121">
        <v>29</v>
      </c>
      <c r="D1958" s="734">
        <v>134.34972739477706</v>
      </c>
      <c r="E1958" s="733"/>
    </row>
    <row r="1959" spans="2:5">
      <c r="B1959" s="121">
        <v>176</v>
      </c>
      <c r="C1959" s="121">
        <v>30</v>
      </c>
      <c r="D1959" s="734">
        <v>136.20009463704261</v>
      </c>
      <c r="E1959" s="733"/>
    </row>
    <row r="1960" spans="2:5">
      <c r="B1960" s="121">
        <v>176</v>
      </c>
      <c r="C1960" s="121">
        <v>31</v>
      </c>
      <c r="D1960" s="734">
        <v>145.86448601343031</v>
      </c>
      <c r="E1960" s="733"/>
    </row>
    <row r="1961" spans="2:5">
      <c r="B1961" s="121">
        <v>176</v>
      </c>
      <c r="C1961" s="121">
        <v>32</v>
      </c>
      <c r="D1961" s="734">
        <v>137.20876271975862</v>
      </c>
      <c r="E1961" s="733"/>
    </row>
    <row r="1962" spans="2:5">
      <c r="B1962" s="121">
        <v>176</v>
      </c>
      <c r="C1962" s="121">
        <v>33</v>
      </c>
      <c r="D1962" s="734">
        <v>138.85003395813885</v>
      </c>
      <c r="E1962" s="733"/>
    </row>
    <row r="1963" spans="2:5">
      <c r="B1963" s="121">
        <v>176</v>
      </c>
      <c r="C1963" s="121">
        <v>34</v>
      </c>
      <c r="D1963" s="734">
        <v>145.89190694881182</v>
      </c>
      <c r="E1963" s="733"/>
    </row>
    <row r="1964" spans="2:5">
      <c r="B1964" s="121">
        <v>176</v>
      </c>
      <c r="C1964" s="121">
        <v>35</v>
      </c>
      <c r="D1964" s="734">
        <v>138.76661939710999</v>
      </c>
      <c r="E1964" s="733"/>
    </row>
    <row r="1965" spans="2:5">
      <c r="B1965" s="121">
        <v>176</v>
      </c>
      <c r="C1965" s="121">
        <v>36</v>
      </c>
      <c r="D1965" s="734">
        <v>134.75017981360176</v>
      </c>
      <c r="E1965" s="733"/>
    </row>
    <row r="1966" spans="2:5">
      <c r="B1966" s="121">
        <v>177</v>
      </c>
      <c r="C1966" s="121">
        <v>1</v>
      </c>
      <c r="D1966" s="734">
        <v>5</v>
      </c>
      <c r="E1966" s="733"/>
    </row>
    <row r="1967" spans="2:5">
      <c r="B1967" s="121">
        <v>177</v>
      </c>
      <c r="C1967" s="121">
        <v>2</v>
      </c>
      <c r="D1967" s="734">
        <v>97.837616103099691</v>
      </c>
      <c r="E1967" s="733"/>
    </row>
    <row r="1968" spans="2:5">
      <c r="B1968" s="121">
        <v>178</v>
      </c>
      <c r="C1968" s="121">
        <v>1</v>
      </c>
      <c r="D1968" s="734">
        <v>5</v>
      </c>
      <c r="E1968" s="733"/>
    </row>
    <row r="1969" spans="2:5">
      <c r="B1969" s="121">
        <v>179</v>
      </c>
      <c r="C1969" s="121">
        <v>1</v>
      </c>
      <c r="D1969" s="734">
        <v>5</v>
      </c>
      <c r="E1969" s="733"/>
    </row>
    <row r="1970" spans="2:5">
      <c r="B1970" s="121">
        <v>179</v>
      </c>
      <c r="C1970" s="121">
        <v>2</v>
      </c>
      <c r="D1970" s="734">
        <v>95.239963161634705</v>
      </c>
      <c r="E1970" s="733"/>
    </row>
    <row r="1971" spans="2:5">
      <c r="B1971" s="121">
        <v>179</v>
      </c>
      <c r="C1971" s="121">
        <v>3</v>
      </c>
      <c r="D1971" s="734">
        <v>121.48888957197993</v>
      </c>
      <c r="E1971" s="733"/>
    </row>
    <row r="1972" spans="2:5">
      <c r="B1972" s="121">
        <v>179</v>
      </c>
      <c r="C1972" s="121">
        <v>4</v>
      </c>
      <c r="D1972" s="734">
        <v>139.74634813254255</v>
      </c>
      <c r="E1972" s="733"/>
    </row>
    <row r="1973" spans="2:5">
      <c r="B1973" s="121">
        <v>179</v>
      </c>
      <c r="C1973" s="121">
        <v>5</v>
      </c>
      <c r="D1973" s="734">
        <v>137.29707255136032</v>
      </c>
      <c r="E1973" s="733"/>
    </row>
    <row r="1974" spans="2:5">
      <c r="B1974" s="121">
        <v>179</v>
      </c>
      <c r="C1974" s="121">
        <v>6</v>
      </c>
      <c r="D1974" s="734">
        <v>147.23260733932739</v>
      </c>
      <c r="E1974" s="733"/>
    </row>
    <row r="1975" spans="2:5">
      <c r="B1975" s="121">
        <v>179</v>
      </c>
      <c r="C1975" s="121">
        <v>7</v>
      </c>
      <c r="D1975" s="734">
        <v>140.78138810666408</v>
      </c>
      <c r="E1975" s="733"/>
    </row>
    <row r="1976" spans="2:5">
      <c r="B1976" s="121">
        <v>179</v>
      </c>
      <c r="C1976" s="121">
        <v>8</v>
      </c>
      <c r="D1976" s="734">
        <v>135.47916216346081</v>
      </c>
      <c r="E1976" s="733"/>
    </row>
    <row r="1977" spans="2:5">
      <c r="B1977" s="121">
        <v>179</v>
      </c>
      <c r="C1977" s="121">
        <v>9</v>
      </c>
      <c r="D1977" s="734">
        <v>135.68223237506191</v>
      </c>
      <c r="E1977" s="733"/>
    </row>
    <row r="1978" spans="2:5">
      <c r="B1978" s="121">
        <v>179</v>
      </c>
      <c r="C1978" s="121">
        <v>10</v>
      </c>
      <c r="D1978" s="734">
        <v>137.77405997147855</v>
      </c>
      <c r="E1978" s="733"/>
    </row>
    <row r="1979" spans="2:5">
      <c r="B1979" s="121">
        <v>180</v>
      </c>
      <c r="C1979" s="121">
        <v>1</v>
      </c>
      <c r="D1979" s="734">
        <v>5</v>
      </c>
      <c r="E1979" s="733"/>
    </row>
    <row r="1980" spans="2:5">
      <c r="B1980" s="121">
        <v>180</v>
      </c>
      <c r="C1980" s="121">
        <v>2</v>
      </c>
      <c r="D1980" s="734">
        <v>97.956396057394514</v>
      </c>
      <c r="E1980" s="733"/>
    </row>
    <row r="1981" spans="2:5">
      <c r="B1981" s="121">
        <v>180</v>
      </c>
      <c r="C1981" s="121">
        <v>3</v>
      </c>
      <c r="D1981" s="734">
        <v>122.55876794063008</v>
      </c>
      <c r="E1981" s="733"/>
    </row>
    <row r="1982" spans="2:5">
      <c r="B1982" s="121">
        <v>180</v>
      </c>
      <c r="C1982" s="121">
        <v>4</v>
      </c>
      <c r="D1982" s="734">
        <v>139.63638062502176</v>
      </c>
      <c r="E1982" s="733"/>
    </row>
    <row r="1983" spans="2:5">
      <c r="B1983" s="121">
        <v>180</v>
      </c>
      <c r="C1983" s="121">
        <v>5</v>
      </c>
      <c r="D1983" s="734">
        <v>144.68609402186519</v>
      </c>
      <c r="E1983" s="733"/>
    </row>
    <row r="1984" spans="2:5">
      <c r="B1984" s="121">
        <v>180</v>
      </c>
      <c r="C1984" s="121">
        <v>6</v>
      </c>
      <c r="D1984" s="734">
        <v>141.78815561052082</v>
      </c>
      <c r="E1984" s="733"/>
    </row>
    <row r="1985" spans="2:5">
      <c r="B1985" s="121">
        <v>180</v>
      </c>
      <c r="C1985" s="121">
        <v>7</v>
      </c>
      <c r="D1985" s="734">
        <v>136.40761550988768</v>
      </c>
      <c r="E1985" s="733"/>
    </row>
    <row r="1986" spans="2:5">
      <c r="B1986" s="121">
        <v>180</v>
      </c>
      <c r="C1986" s="121">
        <v>8</v>
      </c>
      <c r="D1986" s="734">
        <v>141.55342229326388</v>
      </c>
      <c r="E1986" s="733"/>
    </row>
    <row r="1987" spans="2:5">
      <c r="B1987" s="121">
        <v>180</v>
      </c>
      <c r="C1987" s="121">
        <v>9</v>
      </c>
      <c r="D1987" s="734">
        <v>135.39288764996743</v>
      </c>
      <c r="E1987" s="733"/>
    </row>
    <row r="1988" spans="2:5">
      <c r="B1988" s="121">
        <v>180</v>
      </c>
      <c r="C1988" s="121">
        <v>10</v>
      </c>
      <c r="D1988" s="734">
        <v>137.38889999456666</v>
      </c>
      <c r="E1988" s="733"/>
    </row>
    <row r="1989" spans="2:5">
      <c r="B1989" s="121">
        <v>180</v>
      </c>
      <c r="C1989" s="121">
        <v>11</v>
      </c>
      <c r="D1989" s="734">
        <v>134.72738231201569</v>
      </c>
      <c r="E1989" s="733"/>
    </row>
    <row r="1990" spans="2:5">
      <c r="B1990" s="121">
        <v>180</v>
      </c>
      <c r="C1990" s="121">
        <v>12</v>
      </c>
      <c r="D1990" s="734">
        <v>143.56678349154089</v>
      </c>
      <c r="E1990" s="733"/>
    </row>
    <row r="1991" spans="2:5">
      <c r="B1991" s="121">
        <v>180</v>
      </c>
      <c r="C1991" s="121">
        <v>13</v>
      </c>
      <c r="D1991" s="734">
        <v>146.39357788323574</v>
      </c>
      <c r="E1991" s="733"/>
    </row>
    <row r="1992" spans="2:5">
      <c r="B1992" s="121">
        <v>181</v>
      </c>
      <c r="C1992" s="121">
        <v>1</v>
      </c>
      <c r="D1992" s="734">
        <v>5</v>
      </c>
      <c r="E1992" s="733"/>
    </row>
    <row r="1993" spans="2:5">
      <c r="B1993" s="121">
        <v>181</v>
      </c>
      <c r="C1993" s="121">
        <v>2</v>
      </c>
      <c r="D1993" s="734">
        <v>103.22894063690653</v>
      </c>
      <c r="E1993" s="733"/>
    </row>
    <row r="1994" spans="2:5">
      <c r="B1994" s="121">
        <v>181</v>
      </c>
      <c r="C1994" s="121">
        <v>3</v>
      </c>
      <c r="D1994" s="734">
        <v>124.83519310131845</v>
      </c>
      <c r="E1994" s="733"/>
    </row>
    <row r="1995" spans="2:5">
      <c r="B1995" s="121">
        <v>181</v>
      </c>
      <c r="C1995" s="121">
        <v>4</v>
      </c>
      <c r="D1995" s="734">
        <v>146.67749039031088</v>
      </c>
      <c r="E1995" s="733"/>
    </row>
    <row r="1996" spans="2:5">
      <c r="B1996" s="121">
        <v>181</v>
      </c>
      <c r="C1996" s="121">
        <v>5</v>
      </c>
      <c r="D1996" s="734">
        <v>140.6743362183108</v>
      </c>
      <c r="E1996" s="733"/>
    </row>
    <row r="1997" spans="2:5">
      <c r="B1997" s="121">
        <v>181</v>
      </c>
      <c r="C1997" s="121">
        <v>6</v>
      </c>
      <c r="D1997" s="734">
        <v>143.96767536914408</v>
      </c>
      <c r="E1997" s="733"/>
    </row>
    <row r="1998" spans="2:5">
      <c r="B1998" s="121">
        <v>181</v>
      </c>
      <c r="C1998" s="121">
        <v>7</v>
      </c>
      <c r="D1998" s="734">
        <v>137.55444505906394</v>
      </c>
      <c r="E1998" s="733"/>
    </row>
    <row r="1999" spans="2:5">
      <c r="B1999" s="121">
        <v>181</v>
      </c>
      <c r="C1999" s="121">
        <v>8</v>
      </c>
      <c r="D1999" s="734">
        <v>138.56866869694301</v>
      </c>
      <c r="E1999" s="733"/>
    </row>
    <row r="2000" spans="2:5">
      <c r="B2000" s="121">
        <v>181</v>
      </c>
      <c r="C2000" s="121">
        <v>9</v>
      </c>
      <c r="D2000" s="734">
        <v>142.92185855600093</v>
      </c>
      <c r="E2000" s="733"/>
    </row>
    <row r="2001" spans="2:5">
      <c r="B2001" s="121">
        <v>181</v>
      </c>
      <c r="C2001" s="121">
        <v>10</v>
      </c>
      <c r="D2001" s="734">
        <v>145.89346811504259</v>
      </c>
      <c r="E2001" s="733"/>
    </row>
    <row r="2002" spans="2:5">
      <c r="B2002" s="121">
        <v>181</v>
      </c>
      <c r="C2002" s="121">
        <v>11</v>
      </c>
      <c r="D2002" s="734">
        <v>146.21979394112421</v>
      </c>
      <c r="E2002" s="733"/>
    </row>
    <row r="2003" spans="2:5">
      <c r="B2003" s="121">
        <v>181</v>
      </c>
      <c r="C2003" s="121">
        <v>12</v>
      </c>
      <c r="D2003" s="734">
        <v>141.99039211925188</v>
      </c>
      <c r="E2003" s="733"/>
    </row>
    <row r="2004" spans="2:5">
      <c r="B2004" s="121">
        <v>181</v>
      </c>
      <c r="C2004" s="121">
        <v>13</v>
      </c>
      <c r="D2004" s="734">
        <v>141.02130147395454</v>
      </c>
      <c r="E2004" s="733"/>
    </row>
    <row r="2005" spans="2:5">
      <c r="B2005" s="121">
        <v>181</v>
      </c>
      <c r="C2005" s="121">
        <v>14</v>
      </c>
      <c r="D2005" s="734">
        <v>137.76245401715667</v>
      </c>
      <c r="E2005" s="733"/>
    </row>
    <row r="2006" spans="2:5">
      <c r="B2006" s="121">
        <v>181</v>
      </c>
      <c r="C2006" s="121">
        <v>15</v>
      </c>
      <c r="D2006" s="734">
        <v>144.34258956554362</v>
      </c>
      <c r="E2006" s="733"/>
    </row>
    <row r="2007" spans="2:5">
      <c r="B2007" s="121">
        <v>181</v>
      </c>
      <c r="C2007" s="121">
        <v>16</v>
      </c>
      <c r="D2007" s="734">
        <v>144.07862842749995</v>
      </c>
      <c r="E2007" s="733"/>
    </row>
    <row r="2008" spans="2:5">
      <c r="B2008" s="121">
        <v>181</v>
      </c>
      <c r="C2008" s="121">
        <v>17</v>
      </c>
      <c r="D2008" s="734">
        <v>135.29981543516413</v>
      </c>
      <c r="E2008" s="733"/>
    </row>
    <row r="2009" spans="2:5">
      <c r="B2009" s="121">
        <v>181</v>
      </c>
      <c r="C2009" s="121">
        <v>18</v>
      </c>
      <c r="D2009" s="734">
        <v>142.52207007372775</v>
      </c>
      <c r="E2009" s="733"/>
    </row>
    <row r="2010" spans="2:5">
      <c r="B2010" s="121">
        <v>181</v>
      </c>
      <c r="C2010" s="121">
        <v>19</v>
      </c>
      <c r="D2010" s="734">
        <v>141.57363019916295</v>
      </c>
      <c r="E2010" s="733"/>
    </row>
    <row r="2011" spans="2:5">
      <c r="B2011" s="121">
        <v>181</v>
      </c>
      <c r="C2011" s="121">
        <v>20</v>
      </c>
      <c r="D2011" s="734">
        <v>141.318128264309</v>
      </c>
      <c r="E2011" s="733"/>
    </row>
    <row r="2012" spans="2:5">
      <c r="B2012" s="121">
        <v>182</v>
      </c>
      <c r="C2012" s="121">
        <v>1</v>
      </c>
      <c r="D2012" s="734">
        <v>5</v>
      </c>
      <c r="E2012" s="733"/>
    </row>
    <row r="2013" spans="2:5">
      <c r="B2013" s="121">
        <v>182</v>
      </c>
      <c r="C2013" s="121">
        <v>2</v>
      </c>
      <c r="D2013" s="734">
        <v>99.759109508852632</v>
      </c>
      <c r="E2013" s="733"/>
    </row>
    <row r="2014" spans="2:5">
      <c r="B2014" s="121">
        <v>182</v>
      </c>
      <c r="C2014" s="121">
        <v>3</v>
      </c>
      <c r="D2014" s="734">
        <v>124.14661932651754</v>
      </c>
      <c r="E2014" s="733"/>
    </row>
    <row r="2015" spans="2:5">
      <c r="B2015" s="121">
        <v>182</v>
      </c>
      <c r="C2015" s="121">
        <v>4</v>
      </c>
      <c r="D2015" s="734">
        <v>134.92956091896914</v>
      </c>
      <c r="E2015" s="733"/>
    </row>
    <row r="2016" spans="2:5">
      <c r="B2016" s="121">
        <v>182</v>
      </c>
      <c r="C2016" s="121">
        <v>5</v>
      </c>
      <c r="D2016" s="734">
        <v>140.65679863508387</v>
      </c>
      <c r="E2016" s="733"/>
    </row>
    <row r="2017" spans="2:5">
      <c r="B2017" s="121">
        <v>182</v>
      </c>
      <c r="C2017" s="121">
        <v>6</v>
      </c>
      <c r="D2017" s="734">
        <v>145.61068789700977</v>
      </c>
      <c r="E2017" s="733"/>
    </row>
    <row r="2018" spans="2:5">
      <c r="B2018" s="121">
        <v>182</v>
      </c>
      <c r="C2018" s="121">
        <v>7</v>
      </c>
      <c r="D2018" s="734">
        <v>140.57770177550822</v>
      </c>
      <c r="E2018" s="733"/>
    </row>
    <row r="2019" spans="2:5">
      <c r="B2019" s="121">
        <v>182</v>
      </c>
      <c r="C2019" s="121">
        <v>8</v>
      </c>
      <c r="D2019" s="734">
        <v>143.86287181009575</v>
      </c>
      <c r="E2019" s="733"/>
    </row>
    <row r="2020" spans="2:5">
      <c r="B2020" s="121">
        <v>182</v>
      </c>
      <c r="C2020" s="121">
        <v>9</v>
      </c>
      <c r="D2020" s="734">
        <v>134.78864491256331</v>
      </c>
      <c r="E2020" s="733"/>
    </row>
    <row r="2021" spans="2:5">
      <c r="B2021" s="121">
        <v>183</v>
      </c>
      <c r="C2021" s="121">
        <v>1</v>
      </c>
      <c r="D2021" s="734">
        <v>5</v>
      </c>
      <c r="E2021" s="733"/>
    </row>
    <row r="2022" spans="2:5">
      <c r="B2022" s="121">
        <v>183</v>
      </c>
      <c r="C2022" s="121">
        <v>2</v>
      </c>
      <c r="D2022" s="734">
        <v>102.08666485718634</v>
      </c>
      <c r="E2022" s="733"/>
    </row>
    <row r="2023" spans="2:5">
      <c r="B2023" s="121">
        <v>183</v>
      </c>
      <c r="C2023" s="121">
        <v>3</v>
      </c>
      <c r="D2023" s="734">
        <v>115.73960752331878</v>
      </c>
      <c r="E2023" s="733"/>
    </row>
    <row r="2024" spans="2:5">
      <c r="B2024" s="121">
        <v>183</v>
      </c>
      <c r="C2024" s="121">
        <v>4</v>
      </c>
      <c r="D2024" s="734">
        <v>138.39654101570633</v>
      </c>
      <c r="E2024" s="733"/>
    </row>
    <row r="2025" spans="2:5">
      <c r="B2025" s="121">
        <v>183</v>
      </c>
      <c r="C2025" s="121">
        <v>5</v>
      </c>
      <c r="D2025" s="734">
        <v>142.38897193523891</v>
      </c>
      <c r="E2025" s="733"/>
    </row>
    <row r="2026" spans="2:5">
      <c r="B2026" s="121">
        <v>183</v>
      </c>
      <c r="C2026" s="121">
        <v>6</v>
      </c>
      <c r="D2026" s="734">
        <v>137.34988738039274</v>
      </c>
      <c r="E2026" s="733"/>
    </row>
    <row r="2027" spans="2:5">
      <c r="B2027" s="121">
        <v>183</v>
      </c>
      <c r="C2027" s="121">
        <v>7</v>
      </c>
      <c r="D2027" s="734">
        <v>136.63988627755589</v>
      </c>
      <c r="E2027" s="733"/>
    </row>
    <row r="2028" spans="2:5">
      <c r="B2028" s="121">
        <v>183</v>
      </c>
      <c r="C2028" s="121">
        <v>8</v>
      </c>
      <c r="D2028" s="734">
        <v>141.53614590565749</v>
      </c>
      <c r="E2028" s="733"/>
    </row>
    <row r="2029" spans="2:5">
      <c r="B2029" s="121">
        <v>183</v>
      </c>
      <c r="C2029" s="121">
        <v>9</v>
      </c>
      <c r="D2029" s="734">
        <v>138.6965410339314</v>
      </c>
      <c r="E2029" s="733"/>
    </row>
    <row r="2030" spans="2:5">
      <c r="B2030" s="121">
        <v>183</v>
      </c>
      <c r="C2030" s="121">
        <v>10</v>
      </c>
      <c r="D2030" s="734">
        <v>143.28768991988704</v>
      </c>
      <c r="E2030" s="733"/>
    </row>
    <row r="2031" spans="2:5">
      <c r="B2031" s="121">
        <v>183</v>
      </c>
      <c r="C2031" s="121">
        <v>11</v>
      </c>
      <c r="D2031" s="734">
        <v>147.25520413900213</v>
      </c>
      <c r="E2031" s="733"/>
    </row>
    <row r="2032" spans="2:5">
      <c r="B2032" s="121">
        <v>183</v>
      </c>
      <c r="C2032" s="121">
        <v>12</v>
      </c>
      <c r="D2032" s="734">
        <v>136.20572497604113</v>
      </c>
      <c r="E2032" s="733"/>
    </row>
    <row r="2033" spans="2:5">
      <c r="B2033" s="121">
        <v>183</v>
      </c>
      <c r="C2033" s="121">
        <v>13</v>
      </c>
      <c r="D2033" s="734">
        <v>141.61648036532677</v>
      </c>
      <c r="E2033" s="733"/>
    </row>
    <row r="2034" spans="2:5">
      <c r="B2034" s="121">
        <v>183</v>
      </c>
      <c r="C2034" s="121">
        <v>14</v>
      </c>
      <c r="D2034" s="734">
        <v>146.72866177856574</v>
      </c>
      <c r="E2034" s="733"/>
    </row>
    <row r="2035" spans="2:5">
      <c r="B2035" s="121">
        <v>183</v>
      </c>
      <c r="C2035" s="121">
        <v>15</v>
      </c>
      <c r="D2035" s="734">
        <v>141.32138371232992</v>
      </c>
      <c r="E2035" s="733"/>
    </row>
    <row r="2036" spans="2:5">
      <c r="B2036" s="121">
        <v>183</v>
      </c>
      <c r="C2036" s="121">
        <v>16</v>
      </c>
      <c r="D2036" s="734">
        <v>138.7865836237149</v>
      </c>
      <c r="E2036" s="733"/>
    </row>
    <row r="2037" spans="2:5">
      <c r="B2037" s="121">
        <v>183</v>
      </c>
      <c r="C2037" s="121">
        <v>17</v>
      </c>
      <c r="D2037" s="734">
        <v>142.08893979264045</v>
      </c>
      <c r="E2037" s="733"/>
    </row>
    <row r="2038" spans="2:5">
      <c r="B2038" s="121">
        <v>183</v>
      </c>
      <c r="C2038" s="121">
        <v>18</v>
      </c>
      <c r="D2038" s="734">
        <v>135.02655316331675</v>
      </c>
      <c r="E2038" s="733"/>
    </row>
    <row r="2039" spans="2:5">
      <c r="B2039" s="121">
        <v>183</v>
      </c>
      <c r="C2039" s="121">
        <v>19</v>
      </c>
      <c r="D2039" s="734">
        <v>143.35349245558521</v>
      </c>
      <c r="E2039" s="733"/>
    </row>
    <row r="2040" spans="2:5">
      <c r="B2040" s="121">
        <v>184</v>
      </c>
      <c r="C2040" s="121">
        <v>1</v>
      </c>
      <c r="D2040" s="734">
        <v>5</v>
      </c>
      <c r="E2040" s="733"/>
    </row>
    <row r="2041" spans="2:5">
      <c r="B2041" s="121">
        <v>184</v>
      </c>
      <c r="C2041" s="121">
        <v>2</v>
      </c>
      <c r="D2041" s="734">
        <v>103.1975649161255</v>
      </c>
      <c r="E2041" s="733"/>
    </row>
    <row r="2042" spans="2:5">
      <c r="B2042" s="121">
        <v>185</v>
      </c>
      <c r="C2042" s="121">
        <v>1</v>
      </c>
      <c r="D2042" s="734">
        <v>5</v>
      </c>
      <c r="E2042" s="733"/>
    </row>
    <row r="2043" spans="2:5">
      <c r="B2043" s="121">
        <v>185</v>
      </c>
      <c r="C2043" s="121">
        <v>2</v>
      </c>
      <c r="D2043" s="734">
        <v>103.09041767235745</v>
      </c>
      <c r="E2043" s="733"/>
    </row>
    <row r="2044" spans="2:5">
      <c r="B2044" s="121">
        <v>185</v>
      </c>
      <c r="C2044" s="121">
        <v>3</v>
      </c>
      <c r="D2044" s="734">
        <v>122.2365355182711</v>
      </c>
      <c r="E2044" s="733"/>
    </row>
    <row r="2045" spans="2:5">
      <c r="B2045" s="121">
        <v>185</v>
      </c>
      <c r="C2045" s="121">
        <v>4</v>
      </c>
      <c r="D2045" s="734">
        <v>144.35543077716872</v>
      </c>
      <c r="E2045" s="733"/>
    </row>
    <row r="2046" spans="2:5">
      <c r="B2046" s="121">
        <v>185</v>
      </c>
      <c r="C2046" s="121">
        <v>5</v>
      </c>
      <c r="D2046" s="734">
        <v>134.48495812220159</v>
      </c>
      <c r="E2046" s="733"/>
    </row>
    <row r="2047" spans="2:5">
      <c r="B2047" s="121">
        <v>185</v>
      </c>
      <c r="C2047" s="121">
        <v>6</v>
      </c>
      <c r="D2047" s="734">
        <v>138.76976294000028</v>
      </c>
      <c r="E2047" s="733"/>
    </row>
    <row r="2048" spans="2:5">
      <c r="B2048" s="121">
        <v>185</v>
      </c>
      <c r="C2048" s="121">
        <v>7</v>
      </c>
      <c r="D2048" s="734">
        <v>135.57318595122413</v>
      </c>
      <c r="E2048" s="733"/>
    </row>
    <row r="2049" spans="2:5">
      <c r="B2049" s="121">
        <v>185</v>
      </c>
      <c r="C2049" s="121">
        <v>8</v>
      </c>
      <c r="D2049" s="734">
        <v>146.8222891708001</v>
      </c>
      <c r="E2049" s="733"/>
    </row>
    <row r="2050" spans="2:5">
      <c r="B2050" s="121">
        <v>185</v>
      </c>
      <c r="C2050" s="121">
        <v>9</v>
      </c>
      <c r="D2050" s="734">
        <v>136.38128116020388</v>
      </c>
      <c r="E2050" s="733"/>
    </row>
    <row r="2051" spans="2:5">
      <c r="B2051" s="121">
        <v>185</v>
      </c>
      <c r="C2051" s="121">
        <v>10</v>
      </c>
      <c r="D2051" s="734">
        <v>138.55345250804999</v>
      </c>
      <c r="E2051" s="733"/>
    </row>
    <row r="2052" spans="2:5">
      <c r="B2052" s="121">
        <v>185</v>
      </c>
      <c r="C2052" s="121">
        <v>11</v>
      </c>
      <c r="D2052" s="734">
        <v>134.19151045099676</v>
      </c>
      <c r="E2052" s="733"/>
    </row>
    <row r="2053" spans="2:5">
      <c r="B2053" s="121">
        <v>185</v>
      </c>
      <c r="C2053" s="121">
        <v>12</v>
      </c>
      <c r="D2053" s="734">
        <v>139.74424015891367</v>
      </c>
      <c r="E2053" s="733"/>
    </row>
    <row r="2054" spans="2:5">
      <c r="B2054" s="121">
        <v>185</v>
      </c>
      <c r="C2054" s="121">
        <v>13</v>
      </c>
      <c r="D2054" s="734">
        <v>147.06705164145686</v>
      </c>
      <c r="E2054" s="733"/>
    </row>
    <row r="2055" spans="2:5">
      <c r="B2055" s="121">
        <v>185</v>
      </c>
      <c r="C2055" s="121">
        <v>14</v>
      </c>
      <c r="D2055" s="734">
        <v>137.55535800228259</v>
      </c>
      <c r="E2055" s="733"/>
    </row>
    <row r="2056" spans="2:5">
      <c r="B2056" s="121">
        <v>185</v>
      </c>
      <c r="C2056" s="121">
        <v>15</v>
      </c>
      <c r="D2056" s="734">
        <v>135.53132568587483</v>
      </c>
      <c r="E2056" s="733"/>
    </row>
    <row r="2057" spans="2:5">
      <c r="B2057" s="121">
        <v>185</v>
      </c>
      <c r="C2057" s="121">
        <v>16</v>
      </c>
      <c r="D2057" s="734">
        <v>136.73712614618131</v>
      </c>
      <c r="E2057" s="733"/>
    </row>
    <row r="2058" spans="2:5">
      <c r="B2058" s="121">
        <v>185</v>
      </c>
      <c r="C2058" s="121">
        <v>17</v>
      </c>
      <c r="D2058" s="734">
        <v>139.73410736066842</v>
      </c>
      <c r="E2058" s="733"/>
    </row>
    <row r="2059" spans="2:5">
      <c r="B2059" s="121">
        <v>185</v>
      </c>
      <c r="C2059" s="121">
        <v>18</v>
      </c>
      <c r="D2059" s="734">
        <v>136.89179318799606</v>
      </c>
      <c r="E2059" s="733"/>
    </row>
    <row r="2060" spans="2:5">
      <c r="B2060" s="121">
        <v>185</v>
      </c>
      <c r="C2060" s="121">
        <v>19</v>
      </c>
      <c r="D2060" s="734">
        <v>138.73958295790604</v>
      </c>
      <c r="E2060" s="733"/>
    </row>
    <row r="2061" spans="2:5">
      <c r="B2061" s="121">
        <v>185</v>
      </c>
      <c r="C2061" s="121">
        <v>20</v>
      </c>
      <c r="D2061" s="734">
        <v>136.6916525079474</v>
      </c>
      <c r="E2061" s="733"/>
    </row>
    <row r="2062" spans="2:5">
      <c r="B2062" s="121">
        <v>185</v>
      </c>
      <c r="C2062" s="121">
        <v>21</v>
      </c>
      <c r="D2062" s="734">
        <v>133.75329614928415</v>
      </c>
      <c r="E2062" s="733"/>
    </row>
    <row r="2063" spans="2:5">
      <c r="B2063" s="121">
        <v>185</v>
      </c>
      <c r="C2063" s="121">
        <v>22</v>
      </c>
      <c r="D2063" s="734">
        <v>145.74021060890948</v>
      </c>
      <c r="E2063" s="733"/>
    </row>
    <row r="2064" spans="2:5">
      <c r="B2064" s="121">
        <v>185</v>
      </c>
      <c r="C2064" s="121">
        <v>23</v>
      </c>
      <c r="D2064" s="734">
        <v>136.23911898591956</v>
      </c>
      <c r="E2064" s="733"/>
    </row>
    <row r="2065" spans="2:5">
      <c r="B2065" s="121">
        <v>185</v>
      </c>
      <c r="C2065" s="121">
        <v>24</v>
      </c>
      <c r="D2065" s="734">
        <v>146.8199242201444</v>
      </c>
      <c r="E2065" s="733"/>
    </row>
    <row r="2066" spans="2:5">
      <c r="B2066" s="121">
        <v>185</v>
      </c>
      <c r="C2066" s="121">
        <v>25</v>
      </c>
      <c r="D2066" s="734">
        <v>138.76944557773925</v>
      </c>
      <c r="E2066" s="733"/>
    </row>
    <row r="2067" spans="2:5">
      <c r="B2067" s="121">
        <v>185</v>
      </c>
      <c r="C2067" s="121">
        <v>26</v>
      </c>
      <c r="D2067" s="734">
        <v>136.04396229843218</v>
      </c>
      <c r="E2067" s="733"/>
    </row>
    <row r="2068" spans="2:5">
      <c r="B2068" s="121">
        <v>185</v>
      </c>
      <c r="C2068" s="121">
        <v>27</v>
      </c>
      <c r="D2068" s="734">
        <v>141.48031583519244</v>
      </c>
      <c r="E2068" s="733"/>
    </row>
    <row r="2069" spans="2:5">
      <c r="B2069" s="121">
        <v>185</v>
      </c>
      <c r="C2069" s="121">
        <v>28</v>
      </c>
      <c r="D2069" s="734">
        <v>134.7061117416807</v>
      </c>
      <c r="E2069" s="733"/>
    </row>
    <row r="2070" spans="2:5">
      <c r="B2070" s="121">
        <v>185</v>
      </c>
      <c r="C2070" s="121">
        <v>29</v>
      </c>
      <c r="D2070" s="734">
        <v>140.59348548331457</v>
      </c>
      <c r="E2070" s="733"/>
    </row>
    <row r="2071" spans="2:5">
      <c r="B2071" s="121">
        <v>185</v>
      </c>
      <c r="C2071" s="121">
        <v>30</v>
      </c>
      <c r="D2071" s="734">
        <v>135.36098783887601</v>
      </c>
      <c r="E2071" s="733"/>
    </row>
    <row r="2072" spans="2:5">
      <c r="B2072" s="121">
        <v>185</v>
      </c>
      <c r="C2072" s="121">
        <v>31</v>
      </c>
      <c r="D2072" s="734">
        <v>145.78011352390504</v>
      </c>
      <c r="E2072" s="733"/>
    </row>
    <row r="2073" spans="2:5">
      <c r="B2073" s="121">
        <v>185</v>
      </c>
      <c r="C2073" s="121">
        <v>32</v>
      </c>
      <c r="D2073" s="734">
        <v>144.41019243762875</v>
      </c>
      <c r="E2073" s="733"/>
    </row>
    <row r="2074" spans="2:5">
      <c r="B2074" s="121">
        <v>185</v>
      </c>
      <c r="C2074" s="121">
        <v>33</v>
      </c>
      <c r="D2074" s="734">
        <v>140.23911425464394</v>
      </c>
      <c r="E2074" s="733"/>
    </row>
    <row r="2075" spans="2:5">
      <c r="B2075" s="121">
        <v>185</v>
      </c>
      <c r="C2075" s="121">
        <v>34</v>
      </c>
      <c r="D2075" s="734">
        <v>135.20295967464304</v>
      </c>
      <c r="E2075" s="733"/>
    </row>
    <row r="2076" spans="2:5">
      <c r="B2076" s="121">
        <v>185</v>
      </c>
      <c r="C2076" s="121">
        <v>35</v>
      </c>
      <c r="D2076" s="734">
        <v>139.69611203644362</v>
      </c>
      <c r="E2076" s="733"/>
    </row>
    <row r="2077" spans="2:5">
      <c r="B2077" s="121">
        <v>185</v>
      </c>
      <c r="C2077" s="121">
        <v>36</v>
      </c>
      <c r="D2077" s="734">
        <v>141.78121765836829</v>
      </c>
      <c r="E2077" s="733"/>
    </row>
    <row r="2078" spans="2:5">
      <c r="B2078" s="121">
        <v>186</v>
      </c>
      <c r="C2078" s="121">
        <v>1</v>
      </c>
      <c r="D2078" s="734">
        <v>5</v>
      </c>
      <c r="E2078" s="733"/>
    </row>
    <row r="2079" spans="2:5">
      <c r="B2079" s="121">
        <v>186</v>
      </c>
      <c r="C2079" s="121">
        <v>2</v>
      </c>
      <c r="D2079" s="734">
        <v>101.98752821016799</v>
      </c>
      <c r="E2079" s="733"/>
    </row>
    <row r="2080" spans="2:5">
      <c r="B2080" s="121">
        <v>187</v>
      </c>
      <c r="C2080" s="121">
        <v>1</v>
      </c>
      <c r="D2080" s="734">
        <v>5</v>
      </c>
      <c r="E2080" s="733"/>
    </row>
    <row r="2081" spans="2:5">
      <c r="B2081" s="121">
        <v>187</v>
      </c>
      <c r="C2081" s="121">
        <v>2</v>
      </c>
      <c r="D2081" s="734">
        <v>103.50612247251097</v>
      </c>
      <c r="E2081" s="733"/>
    </row>
    <row r="2082" spans="2:5">
      <c r="B2082" s="121">
        <v>187</v>
      </c>
      <c r="C2082" s="121">
        <v>3</v>
      </c>
      <c r="D2082" s="734">
        <v>117.58883142654628</v>
      </c>
      <c r="E2082" s="733"/>
    </row>
    <row r="2083" spans="2:5">
      <c r="B2083" s="121">
        <v>187</v>
      </c>
      <c r="C2083" s="121">
        <v>4</v>
      </c>
      <c r="D2083" s="734">
        <v>136.22370870271348</v>
      </c>
      <c r="E2083" s="733"/>
    </row>
    <row r="2084" spans="2:5">
      <c r="B2084" s="121">
        <v>187</v>
      </c>
      <c r="C2084" s="121">
        <v>5</v>
      </c>
      <c r="D2084" s="734">
        <v>144.56113644853039</v>
      </c>
      <c r="E2084" s="733"/>
    </row>
    <row r="2085" spans="2:5">
      <c r="B2085" s="121">
        <v>187</v>
      </c>
      <c r="C2085" s="121">
        <v>6</v>
      </c>
      <c r="D2085" s="734">
        <v>140.4264199296596</v>
      </c>
      <c r="E2085" s="733"/>
    </row>
    <row r="2086" spans="2:5">
      <c r="B2086" s="121">
        <v>187</v>
      </c>
      <c r="C2086" s="121">
        <v>7</v>
      </c>
      <c r="D2086" s="734">
        <v>140.42222384285097</v>
      </c>
      <c r="E2086" s="733"/>
    </row>
    <row r="2087" spans="2:5">
      <c r="B2087" s="121">
        <v>187</v>
      </c>
      <c r="C2087" s="121">
        <v>8</v>
      </c>
      <c r="D2087" s="734">
        <v>142.69990229532806</v>
      </c>
      <c r="E2087" s="733"/>
    </row>
    <row r="2088" spans="2:5">
      <c r="B2088" s="121">
        <v>187</v>
      </c>
      <c r="C2088" s="121">
        <v>9</v>
      </c>
      <c r="D2088" s="734">
        <v>146.39806126723201</v>
      </c>
      <c r="E2088" s="733"/>
    </row>
    <row r="2089" spans="2:5">
      <c r="B2089" s="121">
        <v>187</v>
      </c>
      <c r="C2089" s="121">
        <v>10</v>
      </c>
      <c r="D2089" s="734">
        <v>143.06174556392008</v>
      </c>
      <c r="E2089" s="733"/>
    </row>
    <row r="2090" spans="2:5">
      <c r="B2090" s="121">
        <v>187</v>
      </c>
      <c r="C2090" s="121">
        <v>11</v>
      </c>
      <c r="D2090" s="734">
        <v>136.7848050417486</v>
      </c>
      <c r="E2090" s="733"/>
    </row>
    <row r="2091" spans="2:5">
      <c r="B2091" s="121">
        <v>187</v>
      </c>
      <c r="C2091" s="121">
        <v>12</v>
      </c>
      <c r="D2091" s="734">
        <v>146.53223478648846</v>
      </c>
      <c r="E2091" s="733"/>
    </row>
    <row r="2092" spans="2:5">
      <c r="B2092" s="121">
        <v>187</v>
      </c>
      <c r="C2092" s="121">
        <v>13</v>
      </c>
      <c r="D2092" s="734">
        <v>144.41689852626865</v>
      </c>
      <c r="E2092" s="733"/>
    </row>
    <row r="2093" spans="2:5">
      <c r="B2093" s="121">
        <v>187</v>
      </c>
      <c r="C2093" s="121">
        <v>14</v>
      </c>
      <c r="D2093" s="734">
        <v>135.62119077497667</v>
      </c>
      <c r="E2093" s="733"/>
    </row>
    <row r="2094" spans="2:5">
      <c r="B2094" s="121">
        <v>187</v>
      </c>
      <c r="C2094" s="121">
        <v>15</v>
      </c>
      <c r="D2094" s="734">
        <v>141.7108809249047</v>
      </c>
      <c r="E2094" s="733"/>
    </row>
    <row r="2095" spans="2:5">
      <c r="B2095" s="121">
        <v>187</v>
      </c>
      <c r="C2095" s="121">
        <v>16</v>
      </c>
      <c r="D2095" s="734">
        <v>147.06435593333433</v>
      </c>
      <c r="E2095" s="733"/>
    </row>
    <row r="2096" spans="2:5">
      <c r="B2096" s="121">
        <v>187</v>
      </c>
      <c r="C2096" s="121">
        <v>17</v>
      </c>
      <c r="D2096" s="734">
        <v>142.91094282572465</v>
      </c>
      <c r="E2096" s="733"/>
    </row>
    <row r="2097" spans="2:5">
      <c r="B2097" s="121">
        <v>187</v>
      </c>
      <c r="C2097" s="121">
        <v>18</v>
      </c>
      <c r="D2097" s="734">
        <v>140.98432762027542</v>
      </c>
      <c r="E2097" s="733"/>
    </row>
    <row r="2098" spans="2:5">
      <c r="B2098" s="121">
        <v>187</v>
      </c>
      <c r="C2098" s="121">
        <v>19</v>
      </c>
      <c r="D2098" s="734">
        <v>146.80324734404556</v>
      </c>
      <c r="E2098" s="733"/>
    </row>
    <row r="2099" spans="2:5">
      <c r="B2099" s="121">
        <v>187</v>
      </c>
      <c r="C2099" s="121">
        <v>20</v>
      </c>
      <c r="D2099" s="734">
        <v>135.43427875015206</v>
      </c>
      <c r="E2099" s="733"/>
    </row>
    <row r="2100" spans="2:5">
      <c r="B2100" s="121">
        <v>187</v>
      </c>
      <c r="C2100" s="121">
        <v>21</v>
      </c>
      <c r="D2100" s="734">
        <v>144.80345183426562</v>
      </c>
      <c r="E2100" s="733"/>
    </row>
    <row r="2101" spans="2:5">
      <c r="B2101" s="121">
        <v>188</v>
      </c>
      <c r="C2101" s="121">
        <v>1</v>
      </c>
      <c r="D2101" s="734">
        <v>5</v>
      </c>
      <c r="E2101" s="733"/>
    </row>
    <row r="2102" spans="2:5">
      <c r="B2102" s="121">
        <v>188</v>
      </c>
      <c r="C2102" s="121">
        <v>2</v>
      </c>
      <c r="D2102" s="734">
        <v>98.508588397417839</v>
      </c>
      <c r="E2102" s="733"/>
    </row>
    <row r="2103" spans="2:5">
      <c r="B2103" s="121">
        <v>188</v>
      </c>
      <c r="C2103" s="121">
        <v>3</v>
      </c>
      <c r="D2103" s="734">
        <v>121.47842166981607</v>
      </c>
      <c r="E2103" s="733"/>
    </row>
    <row r="2104" spans="2:5">
      <c r="B2104" s="121">
        <v>188</v>
      </c>
      <c r="C2104" s="121">
        <v>4</v>
      </c>
      <c r="D2104" s="734">
        <v>142.43337389860082</v>
      </c>
      <c r="E2104" s="733"/>
    </row>
    <row r="2105" spans="2:5">
      <c r="B2105" s="121">
        <v>188</v>
      </c>
      <c r="C2105" s="121">
        <v>5</v>
      </c>
      <c r="D2105" s="734">
        <v>144.00064508888929</v>
      </c>
      <c r="E2105" s="733"/>
    </row>
    <row r="2106" spans="2:5">
      <c r="B2106" s="121">
        <v>188</v>
      </c>
      <c r="C2106" s="121">
        <v>6</v>
      </c>
      <c r="D2106" s="734">
        <v>145.58204733505335</v>
      </c>
      <c r="E2106" s="733"/>
    </row>
    <row r="2107" spans="2:5">
      <c r="B2107" s="121">
        <v>188</v>
      </c>
      <c r="C2107" s="121">
        <v>7</v>
      </c>
      <c r="D2107" s="734">
        <v>138.76113392561453</v>
      </c>
      <c r="E2107" s="733"/>
    </row>
    <row r="2108" spans="2:5">
      <c r="B2108" s="121">
        <v>188</v>
      </c>
      <c r="C2108" s="121">
        <v>8</v>
      </c>
      <c r="D2108" s="734">
        <v>139.59366431311145</v>
      </c>
      <c r="E2108" s="733"/>
    </row>
    <row r="2109" spans="2:5">
      <c r="B2109" s="121">
        <v>188</v>
      </c>
      <c r="C2109" s="121">
        <v>9</v>
      </c>
      <c r="D2109" s="734">
        <v>137.62296903175604</v>
      </c>
      <c r="E2109" s="733"/>
    </row>
    <row r="2110" spans="2:5">
      <c r="B2110" s="121">
        <v>188</v>
      </c>
      <c r="C2110" s="121">
        <v>10</v>
      </c>
      <c r="D2110" s="734">
        <v>135.88930369532918</v>
      </c>
      <c r="E2110" s="733"/>
    </row>
    <row r="2111" spans="2:5">
      <c r="B2111" s="121">
        <v>188</v>
      </c>
      <c r="C2111" s="121">
        <v>11</v>
      </c>
      <c r="D2111" s="734">
        <v>140.05273168486454</v>
      </c>
      <c r="E2111" s="733"/>
    </row>
    <row r="2112" spans="2:5">
      <c r="B2112" s="121">
        <v>188</v>
      </c>
      <c r="C2112" s="121">
        <v>12</v>
      </c>
      <c r="D2112" s="734">
        <v>135.66953064118769</v>
      </c>
      <c r="E2112" s="733"/>
    </row>
    <row r="2113" spans="2:5">
      <c r="B2113" s="121">
        <v>188</v>
      </c>
      <c r="C2113" s="121">
        <v>13</v>
      </c>
      <c r="D2113" s="734">
        <v>137.70658368760175</v>
      </c>
      <c r="E2113" s="733"/>
    </row>
    <row r="2114" spans="2:5">
      <c r="B2114" s="121">
        <v>188</v>
      </c>
      <c r="C2114" s="121">
        <v>14</v>
      </c>
      <c r="D2114" s="734">
        <v>141.47209294247313</v>
      </c>
      <c r="E2114" s="733"/>
    </row>
    <row r="2115" spans="2:5">
      <c r="B2115" s="121">
        <v>188</v>
      </c>
      <c r="C2115" s="121">
        <v>15</v>
      </c>
      <c r="D2115" s="734">
        <v>143.70614014701192</v>
      </c>
      <c r="E2115" s="733"/>
    </row>
    <row r="2116" spans="2:5">
      <c r="B2116" s="121">
        <v>188</v>
      </c>
      <c r="C2116" s="121">
        <v>16</v>
      </c>
      <c r="D2116" s="734">
        <v>145.70784873455185</v>
      </c>
      <c r="E2116" s="733"/>
    </row>
    <row r="2117" spans="2:5">
      <c r="B2117" s="121">
        <v>188</v>
      </c>
      <c r="C2117" s="121">
        <v>17</v>
      </c>
      <c r="D2117" s="734">
        <v>140.71680867191986</v>
      </c>
      <c r="E2117" s="733"/>
    </row>
    <row r="2118" spans="2:5">
      <c r="B2118" s="121">
        <v>188</v>
      </c>
      <c r="C2118" s="121">
        <v>18</v>
      </c>
      <c r="D2118" s="734">
        <v>138.84198607120433</v>
      </c>
      <c r="E2118" s="733"/>
    </row>
    <row r="2119" spans="2:5">
      <c r="B2119" s="121">
        <v>188</v>
      </c>
      <c r="C2119" s="121">
        <v>19</v>
      </c>
      <c r="D2119" s="734">
        <v>141.5535414657364</v>
      </c>
      <c r="E2119" s="733"/>
    </row>
    <row r="2120" spans="2:5">
      <c r="B2120" s="121">
        <v>188</v>
      </c>
      <c r="C2120" s="121">
        <v>20</v>
      </c>
      <c r="D2120" s="734">
        <v>143.61243719070231</v>
      </c>
      <c r="E2120" s="733"/>
    </row>
    <row r="2121" spans="2:5">
      <c r="B2121" s="121">
        <v>188</v>
      </c>
      <c r="C2121" s="121">
        <v>21</v>
      </c>
      <c r="D2121" s="734">
        <v>135.47632007591432</v>
      </c>
      <c r="E2121" s="733"/>
    </row>
    <row r="2122" spans="2:5">
      <c r="B2122" s="121">
        <v>188</v>
      </c>
      <c r="C2122" s="121">
        <v>22</v>
      </c>
      <c r="D2122" s="734">
        <v>146.90473998947823</v>
      </c>
      <c r="E2122" s="733"/>
    </row>
    <row r="2123" spans="2:5">
      <c r="B2123" s="121">
        <v>188</v>
      </c>
      <c r="C2123" s="121">
        <v>23</v>
      </c>
      <c r="D2123" s="734">
        <v>135.27367418322541</v>
      </c>
      <c r="E2123" s="733"/>
    </row>
    <row r="2124" spans="2:5">
      <c r="B2124" s="121">
        <v>188</v>
      </c>
      <c r="C2124" s="121">
        <v>24</v>
      </c>
      <c r="D2124" s="734">
        <v>141.758616049164</v>
      </c>
      <c r="E2124" s="733"/>
    </row>
    <row r="2125" spans="2:5">
      <c r="B2125" s="121">
        <v>188</v>
      </c>
      <c r="C2125" s="121">
        <v>25</v>
      </c>
      <c r="D2125" s="734">
        <v>136.50801332438544</v>
      </c>
      <c r="E2125" s="733"/>
    </row>
    <row r="2126" spans="2:5">
      <c r="B2126" s="121">
        <v>188</v>
      </c>
      <c r="C2126" s="121">
        <v>26</v>
      </c>
      <c r="D2126" s="734">
        <v>137.98853956768119</v>
      </c>
      <c r="E2126" s="733"/>
    </row>
    <row r="2127" spans="2:5">
      <c r="B2127" s="121">
        <v>188</v>
      </c>
      <c r="C2127" s="121">
        <v>27</v>
      </c>
      <c r="D2127" s="734">
        <v>141.40961664776916</v>
      </c>
      <c r="E2127" s="733"/>
    </row>
    <row r="2128" spans="2:5">
      <c r="B2128" s="121">
        <v>188</v>
      </c>
      <c r="C2128" s="121">
        <v>28</v>
      </c>
      <c r="D2128" s="734">
        <v>140.87952415867935</v>
      </c>
      <c r="E2128" s="733"/>
    </row>
    <row r="2129" spans="2:5">
      <c r="B2129" s="121">
        <v>188</v>
      </c>
      <c r="C2129" s="121">
        <v>29</v>
      </c>
      <c r="D2129" s="734">
        <v>141.75803962609015</v>
      </c>
      <c r="E2129" s="733"/>
    </row>
    <row r="2130" spans="2:5">
      <c r="B2130" s="121">
        <v>188</v>
      </c>
      <c r="C2130" s="121">
        <v>30</v>
      </c>
      <c r="D2130" s="734">
        <v>140.81675205844388</v>
      </c>
      <c r="E2130" s="733"/>
    </row>
    <row r="2131" spans="2:5">
      <c r="B2131" s="121">
        <v>188</v>
      </c>
      <c r="C2131" s="121">
        <v>31</v>
      </c>
      <c r="D2131" s="734">
        <v>136.94277672999368</v>
      </c>
      <c r="E2131" s="733"/>
    </row>
    <row r="2132" spans="2:5">
      <c r="B2132" s="121">
        <v>188</v>
      </c>
      <c r="C2132" s="121">
        <v>32</v>
      </c>
      <c r="D2132" s="734">
        <v>135.62282378984671</v>
      </c>
      <c r="E2132" s="733"/>
    </row>
    <row r="2133" spans="2:5">
      <c r="B2133" s="121">
        <v>188</v>
      </c>
      <c r="C2133" s="121">
        <v>33</v>
      </c>
      <c r="D2133" s="734">
        <v>139.90615782460725</v>
      </c>
      <c r="E2133" s="733"/>
    </row>
    <row r="2134" spans="2:5">
      <c r="B2134" s="121">
        <v>188</v>
      </c>
      <c r="C2134" s="121">
        <v>34</v>
      </c>
      <c r="D2134" s="734">
        <v>140.59044311214956</v>
      </c>
      <c r="E2134" s="733"/>
    </row>
    <row r="2135" spans="2:5">
      <c r="B2135" s="121">
        <v>188</v>
      </c>
      <c r="C2135" s="121">
        <v>35</v>
      </c>
      <c r="D2135" s="734">
        <v>134.32879311921542</v>
      </c>
      <c r="E2135" s="733"/>
    </row>
    <row r="2136" spans="2:5">
      <c r="B2136" s="121">
        <v>188</v>
      </c>
      <c r="C2136" s="121">
        <v>36</v>
      </c>
      <c r="D2136" s="734">
        <v>135.74005908823818</v>
      </c>
      <c r="E2136" s="733"/>
    </row>
    <row r="2137" spans="2:5">
      <c r="B2137" s="121">
        <v>189</v>
      </c>
      <c r="C2137" s="121">
        <v>1</v>
      </c>
      <c r="D2137" s="734">
        <v>5</v>
      </c>
      <c r="E2137" s="733"/>
    </row>
    <row r="2138" spans="2:5">
      <c r="B2138" s="121">
        <v>190</v>
      </c>
      <c r="C2138" s="121">
        <v>1</v>
      </c>
      <c r="D2138" s="734">
        <v>5</v>
      </c>
      <c r="E2138" s="733"/>
    </row>
    <row r="2139" spans="2:5">
      <c r="B2139" s="121">
        <v>190</v>
      </c>
      <c r="C2139" s="121">
        <v>2</v>
      </c>
      <c r="D2139" s="734">
        <v>101.25038916521376</v>
      </c>
      <c r="E2139" s="733"/>
    </row>
    <row r="2140" spans="2:5">
      <c r="B2140" s="121">
        <v>190</v>
      </c>
      <c r="C2140" s="121">
        <v>3</v>
      </c>
      <c r="D2140" s="734">
        <v>115.87359709507673</v>
      </c>
      <c r="E2140" s="733"/>
    </row>
    <row r="2141" spans="2:5">
      <c r="B2141" s="121">
        <v>190</v>
      </c>
      <c r="C2141" s="121">
        <v>4</v>
      </c>
      <c r="D2141" s="734">
        <v>144.58847719729462</v>
      </c>
      <c r="E2141" s="733"/>
    </row>
    <row r="2142" spans="2:5">
      <c r="B2142" s="121">
        <v>190</v>
      </c>
      <c r="C2142" s="121">
        <v>5</v>
      </c>
      <c r="D2142" s="734">
        <v>141.61074329840849</v>
      </c>
      <c r="E2142" s="733"/>
    </row>
    <row r="2143" spans="2:5">
      <c r="B2143" s="121">
        <v>190</v>
      </c>
      <c r="C2143" s="121">
        <v>6</v>
      </c>
      <c r="D2143" s="734">
        <v>139.99159670061431</v>
      </c>
      <c r="E2143" s="733"/>
    </row>
    <row r="2144" spans="2:5">
      <c r="B2144" s="121">
        <v>190</v>
      </c>
      <c r="C2144" s="121">
        <v>7</v>
      </c>
      <c r="D2144" s="734">
        <v>136.70916709109343</v>
      </c>
      <c r="E2144" s="733"/>
    </row>
    <row r="2145" spans="2:5">
      <c r="B2145" s="121">
        <v>190</v>
      </c>
      <c r="C2145" s="121">
        <v>8</v>
      </c>
      <c r="D2145" s="734">
        <v>146.57979553271005</v>
      </c>
      <c r="E2145" s="733"/>
    </row>
    <row r="2146" spans="2:5">
      <c r="B2146" s="121">
        <v>190</v>
      </c>
      <c r="C2146" s="121">
        <v>9</v>
      </c>
      <c r="D2146" s="734">
        <v>144.36389145926444</v>
      </c>
      <c r="E2146" s="733"/>
    </row>
    <row r="2147" spans="2:5">
      <c r="B2147" s="121">
        <v>190</v>
      </c>
      <c r="C2147" s="121">
        <v>10</v>
      </c>
      <c r="D2147" s="734">
        <v>140.51202068979183</v>
      </c>
      <c r="E2147" s="733"/>
    </row>
    <row r="2148" spans="2:5">
      <c r="B2148" s="121">
        <v>190</v>
      </c>
      <c r="C2148" s="121">
        <v>11</v>
      </c>
      <c r="D2148" s="734">
        <v>134.38475960888451</v>
      </c>
      <c r="E2148" s="733"/>
    </row>
    <row r="2149" spans="2:5">
      <c r="B2149" s="121">
        <v>190</v>
      </c>
      <c r="C2149" s="121">
        <v>12</v>
      </c>
      <c r="D2149" s="734">
        <v>135.99292140494862</v>
      </c>
      <c r="E2149" s="733"/>
    </row>
    <row r="2150" spans="2:5">
      <c r="B2150" s="121">
        <v>190</v>
      </c>
      <c r="C2150" s="121">
        <v>13</v>
      </c>
      <c r="D2150" s="734">
        <v>146.94862660382461</v>
      </c>
      <c r="E2150" s="733"/>
    </row>
    <row r="2151" spans="2:5">
      <c r="B2151" s="121">
        <v>190</v>
      </c>
      <c r="C2151" s="121">
        <v>14</v>
      </c>
      <c r="D2151" s="734">
        <v>146.25484139563002</v>
      </c>
      <c r="E2151" s="733"/>
    </row>
    <row r="2152" spans="2:5">
      <c r="B2152" s="121">
        <v>190</v>
      </c>
      <c r="C2152" s="121">
        <v>15</v>
      </c>
      <c r="D2152" s="734">
        <v>143.72269144808467</v>
      </c>
      <c r="E2152" s="733"/>
    </row>
    <row r="2153" spans="2:5">
      <c r="B2153" s="121">
        <v>190</v>
      </c>
      <c r="C2153" s="121">
        <v>16</v>
      </c>
      <c r="D2153" s="734">
        <v>140.22583188027457</v>
      </c>
      <c r="E2153" s="733"/>
    </row>
    <row r="2154" spans="2:5">
      <c r="B2154" s="121">
        <v>190</v>
      </c>
      <c r="C2154" s="121">
        <v>17</v>
      </c>
      <c r="D2154" s="734">
        <v>141.33844426370354</v>
      </c>
      <c r="E2154" s="733"/>
    </row>
    <row r="2155" spans="2:5">
      <c r="B2155" s="121">
        <v>190</v>
      </c>
      <c r="C2155" s="121">
        <v>18</v>
      </c>
      <c r="D2155" s="734">
        <v>138.54446140994838</v>
      </c>
      <c r="E2155" s="733"/>
    </row>
    <row r="2156" spans="2:5">
      <c r="B2156" s="121">
        <v>190</v>
      </c>
      <c r="C2156" s="121">
        <v>19</v>
      </c>
      <c r="D2156" s="734">
        <v>135.88783511185028</v>
      </c>
      <c r="E2156" s="733"/>
    </row>
    <row r="2157" spans="2:5">
      <c r="B2157" s="121">
        <v>190</v>
      </c>
      <c r="C2157" s="121">
        <v>20</v>
      </c>
      <c r="D2157" s="734">
        <v>137.23355656943136</v>
      </c>
      <c r="E2157" s="733"/>
    </row>
    <row r="2158" spans="2:5">
      <c r="B2158" s="121">
        <v>190</v>
      </c>
      <c r="C2158" s="121">
        <v>21</v>
      </c>
      <c r="D2158" s="734">
        <v>145.72956121071715</v>
      </c>
      <c r="E2158" s="733"/>
    </row>
    <row r="2159" spans="2:5">
      <c r="B2159" s="121">
        <v>190</v>
      </c>
      <c r="C2159" s="121">
        <v>22</v>
      </c>
      <c r="D2159" s="734">
        <v>144.52459729497721</v>
      </c>
      <c r="E2159" s="733"/>
    </row>
    <row r="2160" spans="2:5">
      <c r="B2160" s="121">
        <v>190</v>
      </c>
      <c r="C2160" s="121">
        <v>23</v>
      </c>
      <c r="D2160" s="734">
        <v>139.89818748151359</v>
      </c>
      <c r="E2160" s="733"/>
    </row>
    <row r="2161" spans="2:5">
      <c r="B2161" s="121">
        <v>190</v>
      </c>
      <c r="C2161" s="121">
        <v>24</v>
      </c>
      <c r="D2161" s="734">
        <v>136.70942027941672</v>
      </c>
      <c r="E2161" s="733"/>
    </row>
    <row r="2162" spans="2:5">
      <c r="B2162" s="121">
        <v>190</v>
      </c>
      <c r="C2162" s="121">
        <v>25</v>
      </c>
      <c r="D2162" s="734">
        <v>140.31011829616074</v>
      </c>
      <c r="E2162" s="733"/>
    </row>
    <row r="2163" spans="2:5">
      <c r="B2163" s="121">
        <v>190</v>
      </c>
      <c r="C2163" s="121">
        <v>26</v>
      </c>
      <c r="D2163" s="734">
        <v>147.04272381524291</v>
      </c>
      <c r="E2163" s="733"/>
    </row>
    <row r="2164" spans="2:5">
      <c r="B2164" s="121">
        <v>190</v>
      </c>
      <c r="C2164" s="121">
        <v>27</v>
      </c>
      <c r="D2164" s="734">
        <v>145.45112902068774</v>
      </c>
      <c r="E2164" s="733"/>
    </row>
    <row r="2165" spans="2:5">
      <c r="B2165" s="121">
        <v>190</v>
      </c>
      <c r="C2165" s="121">
        <v>28</v>
      </c>
      <c r="D2165" s="734">
        <v>146.43266624446298</v>
      </c>
      <c r="E2165" s="733"/>
    </row>
    <row r="2166" spans="2:5">
      <c r="B2166" s="121">
        <v>190</v>
      </c>
      <c r="C2166" s="121">
        <v>29</v>
      </c>
      <c r="D2166" s="734">
        <v>134.97571571815618</v>
      </c>
      <c r="E2166" s="733"/>
    </row>
    <row r="2167" spans="2:5">
      <c r="B2167" s="121">
        <v>190</v>
      </c>
      <c r="C2167" s="121">
        <v>30</v>
      </c>
      <c r="D2167" s="734">
        <v>146.96299609829754</v>
      </c>
      <c r="E2167" s="733"/>
    </row>
    <row r="2168" spans="2:5">
      <c r="B2168" s="121">
        <v>190</v>
      </c>
      <c r="C2168" s="121">
        <v>31</v>
      </c>
      <c r="D2168" s="734">
        <v>141.95681821021194</v>
      </c>
      <c r="E2168" s="733"/>
    </row>
    <row r="2169" spans="2:5">
      <c r="B2169" s="121">
        <v>190</v>
      </c>
      <c r="C2169" s="121">
        <v>32</v>
      </c>
      <c r="D2169" s="734">
        <v>143.97959909374975</v>
      </c>
      <c r="E2169" s="733"/>
    </row>
    <row r="2170" spans="2:5">
      <c r="B2170" s="121">
        <v>190</v>
      </c>
      <c r="C2170" s="121">
        <v>33</v>
      </c>
      <c r="D2170" s="734">
        <v>136.99360571358579</v>
      </c>
      <c r="E2170" s="733"/>
    </row>
    <row r="2171" spans="2:5">
      <c r="B2171" s="121">
        <v>190</v>
      </c>
      <c r="C2171" s="121">
        <v>34</v>
      </c>
      <c r="D2171" s="734">
        <v>145.7364237689541</v>
      </c>
      <c r="E2171" s="733"/>
    </row>
    <row r="2172" spans="2:5">
      <c r="B2172" s="121">
        <v>190</v>
      </c>
      <c r="C2172" s="121">
        <v>35</v>
      </c>
      <c r="D2172" s="734">
        <v>146.38497943060273</v>
      </c>
      <c r="E2172" s="733"/>
    </row>
    <row r="2173" spans="2:5">
      <c r="B2173" s="121">
        <v>190</v>
      </c>
      <c r="C2173" s="121">
        <v>36</v>
      </c>
      <c r="D2173" s="734">
        <v>135.77969640241656</v>
      </c>
      <c r="E2173" s="733"/>
    </row>
    <row r="2174" spans="2:5">
      <c r="B2174" s="121">
        <v>191</v>
      </c>
      <c r="C2174" s="121">
        <v>1</v>
      </c>
      <c r="D2174" s="734">
        <v>5</v>
      </c>
      <c r="E2174" s="733"/>
    </row>
    <row r="2175" spans="2:5">
      <c r="B2175" s="121">
        <v>191</v>
      </c>
      <c r="C2175" s="121">
        <v>2</v>
      </c>
      <c r="D2175" s="734">
        <v>101.12842430646384</v>
      </c>
      <c r="E2175" s="733"/>
    </row>
    <row r="2176" spans="2:5">
      <c r="B2176" s="121">
        <v>191</v>
      </c>
      <c r="C2176" s="121">
        <v>3</v>
      </c>
      <c r="D2176" s="734">
        <v>120.65087843144165</v>
      </c>
      <c r="E2176" s="733"/>
    </row>
    <row r="2177" spans="2:5">
      <c r="B2177" s="121">
        <v>191</v>
      </c>
      <c r="C2177" s="121">
        <v>4</v>
      </c>
      <c r="D2177" s="734">
        <v>143.36235034489548</v>
      </c>
      <c r="E2177" s="733"/>
    </row>
    <row r="2178" spans="2:5">
      <c r="B2178" s="121">
        <v>191</v>
      </c>
      <c r="C2178" s="121">
        <v>5</v>
      </c>
      <c r="D2178" s="734">
        <v>140.53249878086919</v>
      </c>
      <c r="E2178" s="733"/>
    </row>
    <row r="2179" spans="2:5">
      <c r="B2179" s="121">
        <v>191</v>
      </c>
      <c r="C2179" s="121">
        <v>6</v>
      </c>
      <c r="D2179" s="734">
        <v>142.66770480410437</v>
      </c>
      <c r="E2179" s="733"/>
    </row>
    <row r="2180" spans="2:5">
      <c r="B2180" s="121">
        <v>191</v>
      </c>
      <c r="C2180" s="121">
        <v>7</v>
      </c>
      <c r="D2180" s="734">
        <v>144.28612184300019</v>
      </c>
      <c r="E2180" s="733"/>
    </row>
    <row r="2181" spans="2:5">
      <c r="B2181" s="121">
        <v>191</v>
      </c>
      <c r="C2181" s="121">
        <v>8</v>
      </c>
      <c r="D2181" s="734">
        <v>146.50460513572384</v>
      </c>
      <c r="E2181" s="733"/>
    </row>
    <row r="2182" spans="2:5">
      <c r="B2182" s="121">
        <v>191</v>
      </c>
      <c r="C2182" s="121">
        <v>9</v>
      </c>
      <c r="D2182" s="734">
        <v>140.72222070231132</v>
      </c>
      <c r="E2182" s="733"/>
    </row>
    <row r="2183" spans="2:5">
      <c r="B2183" s="121">
        <v>191</v>
      </c>
      <c r="C2183" s="121">
        <v>10</v>
      </c>
      <c r="D2183" s="734">
        <v>145.00327104003867</v>
      </c>
      <c r="E2183" s="733"/>
    </row>
    <row r="2184" spans="2:5">
      <c r="B2184" s="121">
        <v>191</v>
      </c>
      <c r="C2184" s="121">
        <v>11</v>
      </c>
      <c r="D2184" s="734">
        <v>137.91035154884</v>
      </c>
      <c r="E2184" s="733"/>
    </row>
    <row r="2185" spans="2:5">
      <c r="B2185" s="121">
        <v>191</v>
      </c>
      <c r="C2185" s="121">
        <v>12</v>
      </c>
      <c r="D2185" s="734">
        <v>143.78193053507621</v>
      </c>
      <c r="E2185" s="733"/>
    </row>
    <row r="2186" spans="2:5">
      <c r="B2186" s="121">
        <v>191</v>
      </c>
      <c r="C2186" s="121">
        <v>13</v>
      </c>
      <c r="D2186" s="734">
        <v>146.8957206117876</v>
      </c>
      <c r="E2186" s="733"/>
    </row>
    <row r="2187" spans="2:5">
      <c r="B2187" s="121">
        <v>191</v>
      </c>
      <c r="C2187" s="121">
        <v>14</v>
      </c>
      <c r="D2187" s="734">
        <v>137.47593010345454</v>
      </c>
      <c r="E2187" s="733"/>
    </row>
    <row r="2188" spans="2:5">
      <c r="B2188" s="121">
        <v>191</v>
      </c>
      <c r="C2188" s="121">
        <v>15</v>
      </c>
      <c r="D2188" s="734">
        <v>137.53400994860354</v>
      </c>
      <c r="E2188" s="733"/>
    </row>
    <row r="2189" spans="2:5">
      <c r="B2189" s="121">
        <v>192</v>
      </c>
      <c r="C2189" s="121">
        <v>1</v>
      </c>
      <c r="D2189" s="734">
        <v>5</v>
      </c>
      <c r="E2189" s="733"/>
    </row>
    <row r="2190" spans="2:5">
      <c r="B2190" s="121">
        <v>192</v>
      </c>
      <c r="C2190" s="121">
        <v>2</v>
      </c>
      <c r="D2190" s="734">
        <v>95.551528862778852</v>
      </c>
      <c r="E2190" s="733"/>
    </row>
    <row r="2191" spans="2:5">
      <c r="B2191" s="121">
        <v>192</v>
      </c>
      <c r="C2191" s="121">
        <v>3</v>
      </c>
      <c r="D2191" s="734">
        <v>122.97590285684262</v>
      </c>
      <c r="E2191" s="733"/>
    </row>
    <row r="2192" spans="2:5">
      <c r="B2192" s="121">
        <v>192</v>
      </c>
      <c r="C2192" s="121">
        <v>4</v>
      </c>
      <c r="D2192" s="734">
        <v>138.76223612370629</v>
      </c>
      <c r="E2192" s="733"/>
    </row>
    <row r="2193" spans="2:5">
      <c r="B2193" s="121">
        <v>193</v>
      </c>
      <c r="C2193" s="121">
        <v>1</v>
      </c>
      <c r="D2193" s="734">
        <v>5</v>
      </c>
      <c r="E2193" s="733"/>
    </row>
    <row r="2194" spans="2:5">
      <c r="B2194" s="121">
        <v>194</v>
      </c>
      <c r="C2194" s="121">
        <v>1</v>
      </c>
      <c r="D2194" s="734">
        <v>5</v>
      </c>
      <c r="E2194" s="733"/>
    </row>
    <row r="2195" spans="2:5">
      <c r="B2195" s="121">
        <v>195</v>
      </c>
      <c r="C2195" s="121">
        <v>1</v>
      </c>
      <c r="D2195" s="734">
        <v>5</v>
      </c>
      <c r="E2195" s="733"/>
    </row>
    <row r="2196" spans="2:5">
      <c r="B2196" s="121">
        <v>196</v>
      </c>
      <c r="C2196" s="121">
        <v>1</v>
      </c>
      <c r="D2196" s="734">
        <v>5</v>
      </c>
      <c r="E2196" s="733"/>
    </row>
    <row r="2197" spans="2:5">
      <c r="B2197" s="121">
        <v>196</v>
      </c>
      <c r="C2197" s="121">
        <v>2</v>
      </c>
      <c r="D2197" s="734">
        <v>96.914918718054523</v>
      </c>
      <c r="E2197" s="733"/>
    </row>
    <row r="2198" spans="2:5">
      <c r="B2198" s="121">
        <v>196</v>
      </c>
      <c r="C2198" s="121">
        <v>3</v>
      </c>
      <c r="D2198" s="734">
        <v>118.56309426727427</v>
      </c>
      <c r="E2198" s="733"/>
    </row>
    <row r="2199" spans="2:5">
      <c r="B2199" s="121">
        <v>196</v>
      </c>
      <c r="C2199" s="121">
        <v>4</v>
      </c>
      <c r="D2199" s="734">
        <v>145.7748867795008</v>
      </c>
      <c r="E2199" s="733"/>
    </row>
    <row r="2200" spans="2:5">
      <c r="B2200" s="121">
        <v>196</v>
      </c>
      <c r="C2200" s="121">
        <v>5</v>
      </c>
      <c r="D2200" s="734">
        <v>145.48969556770732</v>
      </c>
      <c r="E2200" s="733"/>
    </row>
    <row r="2201" spans="2:5">
      <c r="B2201" s="121">
        <v>196</v>
      </c>
      <c r="C2201" s="121">
        <v>6</v>
      </c>
      <c r="D2201" s="734">
        <v>139.20865179326009</v>
      </c>
      <c r="E2201" s="733"/>
    </row>
    <row r="2202" spans="2:5">
      <c r="B2202" s="121">
        <v>196</v>
      </c>
      <c r="C2202" s="121">
        <v>7</v>
      </c>
      <c r="D2202" s="734">
        <v>145.9328718082181</v>
      </c>
      <c r="E2202" s="733"/>
    </row>
    <row r="2203" spans="2:5">
      <c r="B2203" s="121">
        <v>196</v>
      </c>
      <c r="C2203" s="121">
        <v>8</v>
      </c>
      <c r="D2203" s="734">
        <v>146.94949562980557</v>
      </c>
      <c r="E2203" s="733"/>
    </row>
    <row r="2204" spans="2:5">
      <c r="B2204" s="121">
        <v>196</v>
      </c>
      <c r="C2204" s="121">
        <v>9</v>
      </c>
      <c r="D2204" s="734">
        <v>134.19219443253721</v>
      </c>
      <c r="E2204" s="733"/>
    </row>
    <row r="2205" spans="2:5">
      <c r="B2205" s="121">
        <v>196</v>
      </c>
      <c r="C2205" s="121">
        <v>10</v>
      </c>
      <c r="D2205" s="734">
        <v>141.96476396374507</v>
      </c>
      <c r="E2205" s="733"/>
    </row>
    <row r="2206" spans="2:5">
      <c r="B2206" s="121">
        <v>196</v>
      </c>
      <c r="C2206" s="121">
        <v>11</v>
      </c>
      <c r="D2206" s="734">
        <v>135.79713779046025</v>
      </c>
      <c r="E2206" s="733"/>
    </row>
    <row r="2207" spans="2:5">
      <c r="B2207" s="121">
        <v>196</v>
      </c>
      <c r="C2207" s="121">
        <v>12</v>
      </c>
      <c r="D2207" s="734">
        <v>139.73315253257445</v>
      </c>
      <c r="E2207" s="733"/>
    </row>
    <row r="2208" spans="2:5">
      <c r="B2208" s="121">
        <v>196</v>
      </c>
      <c r="C2208" s="121">
        <v>13</v>
      </c>
      <c r="D2208" s="734">
        <v>144.06729498528603</v>
      </c>
      <c r="E2208" s="733"/>
    </row>
    <row r="2209" spans="2:5">
      <c r="B2209" s="121">
        <v>196</v>
      </c>
      <c r="C2209" s="121">
        <v>14</v>
      </c>
      <c r="D2209" s="734">
        <v>140.38397845038455</v>
      </c>
      <c r="E2209" s="733"/>
    </row>
    <row r="2210" spans="2:5">
      <c r="B2210" s="121">
        <v>196</v>
      </c>
      <c r="C2210" s="121">
        <v>15</v>
      </c>
      <c r="D2210" s="734">
        <v>142.73913489251481</v>
      </c>
      <c r="E2210" s="733"/>
    </row>
    <row r="2211" spans="2:5">
      <c r="B2211" s="121">
        <v>197</v>
      </c>
      <c r="C2211" s="121">
        <v>1</v>
      </c>
      <c r="D2211" s="734">
        <v>5</v>
      </c>
      <c r="E2211" s="733"/>
    </row>
    <row r="2212" spans="2:5">
      <c r="B2212" s="121">
        <v>198</v>
      </c>
      <c r="C2212" s="121">
        <v>1</v>
      </c>
      <c r="D2212" s="734">
        <v>5</v>
      </c>
      <c r="E2212" s="733"/>
    </row>
    <row r="2213" spans="2:5">
      <c r="B2213" s="121">
        <v>199</v>
      </c>
      <c r="C2213" s="121">
        <v>1</v>
      </c>
      <c r="D2213" s="734">
        <v>5</v>
      </c>
      <c r="E2213" s="733"/>
    </row>
    <row r="2214" spans="2:5">
      <c r="B2214" s="121">
        <v>200</v>
      </c>
      <c r="C2214" s="121">
        <v>1</v>
      </c>
      <c r="D2214" s="734">
        <v>5</v>
      </c>
      <c r="E2214" s="733"/>
    </row>
    <row r="2215" spans="2:5">
      <c r="B2215" s="121">
        <v>201</v>
      </c>
      <c r="C2215" s="121">
        <v>1</v>
      </c>
      <c r="D2215" s="734">
        <v>5</v>
      </c>
      <c r="E2215" s="733"/>
    </row>
    <row r="2216" spans="2:5">
      <c r="B2216" s="121">
        <v>202</v>
      </c>
      <c r="C2216" s="121">
        <v>1</v>
      </c>
      <c r="D2216" s="734">
        <v>5</v>
      </c>
      <c r="E2216" s="733"/>
    </row>
    <row r="2217" spans="2:5">
      <c r="B2217" s="121">
        <v>202</v>
      </c>
      <c r="C2217" s="121">
        <v>2</v>
      </c>
      <c r="D2217" s="734">
        <v>99.033874002709496</v>
      </c>
      <c r="E2217" s="733"/>
    </row>
    <row r="2218" spans="2:5">
      <c r="B2218" s="121">
        <v>202</v>
      </c>
      <c r="C2218" s="121">
        <v>3</v>
      </c>
      <c r="D2218" s="734">
        <v>119.62795459815581</v>
      </c>
      <c r="E2218" s="733"/>
    </row>
    <row r="2219" spans="2:5">
      <c r="B2219" s="121">
        <v>202</v>
      </c>
      <c r="C2219" s="121">
        <v>4</v>
      </c>
      <c r="D2219" s="734">
        <v>146.24150833214279</v>
      </c>
      <c r="E2219" s="733"/>
    </row>
    <row r="2220" spans="2:5">
      <c r="B2220" s="121">
        <v>202</v>
      </c>
      <c r="C2220" s="121">
        <v>5</v>
      </c>
      <c r="D2220" s="734">
        <v>134.94571812542617</v>
      </c>
      <c r="E2220" s="733"/>
    </row>
    <row r="2221" spans="2:5">
      <c r="B2221" s="121">
        <v>202</v>
      </c>
      <c r="C2221" s="121">
        <v>6</v>
      </c>
      <c r="D2221" s="734">
        <v>139.4499491110422</v>
      </c>
      <c r="E2221" s="733"/>
    </row>
    <row r="2222" spans="2:5">
      <c r="B2222" s="121">
        <v>202</v>
      </c>
      <c r="C2222" s="121">
        <v>7</v>
      </c>
      <c r="D2222" s="734">
        <v>143.93848398996391</v>
      </c>
      <c r="E2222" s="733"/>
    </row>
    <row r="2223" spans="2:5">
      <c r="B2223" s="121">
        <v>202</v>
      </c>
      <c r="C2223" s="121">
        <v>8</v>
      </c>
      <c r="D2223" s="734">
        <v>141.5814351987971</v>
      </c>
      <c r="E2223" s="733"/>
    </row>
    <row r="2224" spans="2:5">
      <c r="B2224" s="121">
        <v>202</v>
      </c>
      <c r="C2224" s="121">
        <v>9</v>
      </c>
      <c r="D2224" s="734">
        <v>142.77023891682879</v>
      </c>
      <c r="E2224" s="733"/>
    </row>
    <row r="2225" spans="2:5">
      <c r="B2225" s="121">
        <v>202</v>
      </c>
      <c r="C2225" s="121">
        <v>10</v>
      </c>
      <c r="D2225" s="734">
        <v>134.26801348760827</v>
      </c>
      <c r="E2225" s="733"/>
    </row>
    <row r="2226" spans="2:5">
      <c r="B2226" s="121">
        <v>202</v>
      </c>
      <c r="C2226" s="121">
        <v>11</v>
      </c>
      <c r="D2226" s="734">
        <v>137.17406137627731</v>
      </c>
      <c r="E2226" s="733"/>
    </row>
    <row r="2227" spans="2:5">
      <c r="B2227" s="121">
        <v>203</v>
      </c>
      <c r="C2227" s="121">
        <v>1</v>
      </c>
      <c r="D2227" s="734">
        <v>5</v>
      </c>
      <c r="E2227" s="733"/>
    </row>
    <row r="2228" spans="2:5">
      <c r="B2228" s="121">
        <v>203</v>
      </c>
      <c r="C2228" s="121">
        <v>2</v>
      </c>
      <c r="D2228" s="734">
        <v>102.00589310139931</v>
      </c>
      <c r="E2228" s="733"/>
    </row>
    <row r="2229" spans="2:5">
      <c r="B2229" s="121">
        <v>204</v>
      </c>
      <c r="C2229" s="121">
        <v>1</v>
      </c>
      <c r="D2229" s="734">
        <v>5</v>
      </c>
      <c r="E2229" s="733"/>
    </row>
    <row r="2230" spans="2:5">
      <c r="B2230" s="121">
        <v>204</v>
      </c>
      <c r="C2230" s="121">
        <v>2</v>
      </c>
      <c r="D2230" s="734">
        <v>101.75766408367491</v>
      </c>
      <c r="E2230" s="733"/>
    </row>
    <row r="2231" spans="2:5">
      <c r="B2231" s="121">
        <v>204</v>
      </c>
      <c r="C2231" s="121">
        <v>3</v>
      </c>
      <c r="D2231" s="734">
        <v>117.0938088127251</v>
      </c>
      <c r="E2231" s="733"/>
    </row>
    <row r="2232" spans="2:5">
      <c r="B2232" s="121">
        <v>204</v>
      </c>
      <c r="C2232" s="121">
        <v>4</v>
      </c>
      <c r="D2232" s="734">
        <v>137.89211787929548</v>
      </c>
      <c r="E2232" s="733"/>
    </row>
    <row r="2233" spans="2:5">
      <c r="B2233" s="121">
        <v>204</v>
      </c>
      <c r="C2233" s="121">
        <v>5</v>
      </c>
      <c r="D2233" s="734">
        <v>135.93056341985479</v>
      </c>
      <c r="E2233" s="733"/>
    </row>
    <row r="2234" spans="2:5">
      <c r="B2234" s="121">
        <v>204</v>
      </c>
      <c r="C2234" s="121">
        <v>6</v>
      </c>
      <c r="D2234" s="734">
        <v>145.8945200311619</v>
      </c>
      <c r="E2234" s="733"/>
    </row>
    <row r="2235" spans="2:5">
      <c r="B2235" s="121">
        <v>204</v>
      </c>
      <c r="C2235" s="121">
        <v>7</v>
      </c>
      <c r="D2235" s="734">
        <v>140.24905068734793</v>
      </c>
      <c r="E2235" s="733"/>
    </row>
    <row r="2236" spans="2:5">
      <c r="B2236" s="121">
        <v>204</v>
      </c>
      <c r="C2236" s="121">
        <v>8</v>
      </c>
      <c r="D2236" s="734">
        <v>145.7915265924598</v>
      </c>
      <c r="E2236" s="733"/>
    </row>
    <row r="2237" spans="2:5">
      <c r="B2237" s="121">
        <v>204</v>
      </c>
      <c r="C2237" s="121">
        <v>9</v>
      </c>
      <c r="D2237" s="734">
        <v>139.40111651280682</v>
      </c>
      <c r="E2237" s="733"/>
    </row>
    <row r="2238" spans="2:5">
      <c r="B2238" s="121">
        <v>204</v>
      </c>
      <c r="C2238" s="121">
        <v>10</v>
      </c>
      <c r="D2238" s="734">
        <v>135.24554562719317</v>
      </c>
      <c r="E2238" s="733"/>
    </row>
    <row r="2239" spans="2:5">
      <c r="B2239" s="121">
        <v>204</v>
      </c>
      <c r="C2239" s="121">
        <v>11</v>
      </c>
      <c r="D2239" s="734">
        <v>145.45609065921107</v>
      </c>
      <c r="E2239" s="733"/>
    </row>
    <row r="2240" spans="2:5">
      <c r="B2240" s="121">
        <v>204</v>
      </c>
      <c r="C2240" s="121">
        <v>12</v>
      </c>
      <c r="D2240" s="734">
        <v>145.32575893553613</v>
      </c>
      <c r="E2240" s="733"/>
    </row>
    <row r="2241" spans="2:5">
      <c r="B2241" s="121">
        <v>204</v>
      </c>
      <c r="C2241" s="121">
        <v>13</v>
      </c>
      <c r="D2241" s="734">
        <v>143.78610071615134</v>
      </c>
      <c r="E2241" s="733"/>
    </row>
    <row r="2242" spans="2:5">
      <c r="B2242" s="121">
        <v>204</v>
      </c>
      <c r="C2242" s="121">
        <v>14</v>
      </c>
      <c r="D2242" s="734">
        <v>143.42584236297702</v>
      </c>
      <c r="E2242" s="733"/>
    </row>
    <row r="2243" spans="2:5">
      <c r="B2243" s="121">
        <v>204</v>
      </c>
      <c r="C2243" s="121">
        <v>15</v>
      </c>
      <c r="D2243" s="734">
        <v>145.78745929028779</v>
      </c>
      <c r="E2243" s="733"/>
    </row>
    <row r="2244" spans="2:5">
      <c r="B2244" s="121">
        <v>204</v>
      </c>
      <c r="C2244" s="121">
        <v>16</v>
      </c>
      <c r="D2244" s="734">
        <v>140.47340867262591</v>
      </c>
      <c r="E2244" s="733"/>
    </row>
    <row r="2245" spans="2:5">
      <c r="B2245" s="121">
        <v>204</v>
      </c>
      <c r="C2245" s="121">
        <v>17</v>
      </c>
      <c r="D2245" s="734">
        <v>141.26720976159532</v>
      </c>
      <c r="E2245" s="733"/>
    </row>
    <row r="2246" spans="2:5">
      <c r="B2246" s="121">
        <v>205</v>
      </c>
      <c r="C2246" s="121">
        <v>1</v>
      </c>
      <c r="D2246" s="734">
        <v>5</v>
      </c>
      <c r="E2246" s="733"/>
    </row>
    <row r="2247" spans="2:5">
      <c r="B2247" s="121">
        <v>205</v>
      </c>
      <c r="C2247" s="121">
        <v>2</v>
      </c>
      <c r="D2247" s="734">
        <v>95.40892202127138</v>
      </c>
      <c r="E2247" s="733"/>
    </row>
    <row r="2248" spans="2:5">
      <c r="B2248" s="121">
        <v>206</v>
      </c>
      <c r="C2248" s="121">
        <v>1</v>
      </c>
      <c r="D2248" s="734">
        <v>5</v>
      </c>
      <c r="E2248" s="733"/>
    </row>
    <row r="2249" spans="2:5">
      <c r="B2249" s="121">
        <v>207</v>
      </c>
      <c r="C2249" s="121">
        <v>1</v>
      </c>
      <c r="D2249" s="734">
        <v>5</v>
      </c>
      <c r="E2249" s="733"/>
    </row>
    <row r="2250" spans="2:5">
      <c r="B2250" s="121">
        <v>207</v>
      </c>
      <c r="C2250" s="121">
        <v>2</v>
      </c>
      <c r="D2250" s="734">
        <v>95.638036141885323</v>
      </c>
      <c r="E2250" s="733"/>
    </row>
    <row r="2251" spans="2:5">
      <c r="B2251" s="121">
        <v>208</v>
      </c>
      <c r="C2251" s="121">
        <v>1</v>
      </c>
      <c r="D2251" s="734">
        <v>5</v>
      </c>
      <c r="E2251" s="733"/>
    </row>
    <row r="2252" spans="2:5">
      <c r="B2252" s="121">
        <v>208</v>
      </c>
      <c r="C2252" s="121">
        <v>2</v>
      </c>
      <c r="D2252" s="734">
        <v>94.933551984008588</v>
      </c>
      <c r="E2252" s="733"/>
    </row>
    <row r="2253" spans="2:5">
      <c r="B2253" s="121">
        <v>208</v>
      </c>
      <c r="C2253" s="121">
        <v>3</v>
      </c>
      <c r="D2253" s="734">
        <v>121.76107709046191</v>
      </c>
      <c r="E2253" s="733"/>
    </row>
    <row r="2254" spans="2:5">
      <c r="B2254" s="121">
        <v>208</v>
      </c>
      <c r="C2254" s="121">
        <v>4</v>
      </c>
      <c r="D2254" s="734">
        <v>146.77720062664477</v>
      </c>
      <c r="E2254" s="733"/>
    </row>
    <row r="2255" spans="2:5">
      <c r="B2255" s="121">
        <v>208</v>
      </c>
      <c r="C2255" s="121">
        <v>5</v>
      </c>
      <c r="D2255" s="734">
        <v>134.6371104185497</v>
      </c>
      <c r="E2255" s="733"/>
    </row>
    <row r="2256" spans="2:5">
      <c r="B2256" s="121">
        <v>208</v>
      </c>
      <c r="C2256" s="121">
        <v>6</v>
      </c>
      <c r="D2256" s="734">
        <v>139.02115786636455</v>
      </c>
      <c r="E2256" s="733"/>
    </row>
    <row r="2257" spans="2:5">
      <c r="B2257" s="121">
        <v>208</v>
      </c>
      <c r="C2257" s="121">
        <v>7</v>
      </c>
      <c r="D2257" s="734">
        <v>141.01179636538399</v>
      </c>
      <c r="E2257" s="733"/>
    </row>
    <row r="2258" spans="2:5">
      <c r="B2258" s="121">
        <v>208</v>
      </c>
      <c r="C2258" s="121">
        <v>8</v>
      </c>
      <c r="D2258" s="734">
        <v>144.65997587484989</v>
      </c>
      <c r="E2258" s="733"/>
    </row>
    <row r="2259" spans="2:5">
      <c r="B2259" s="121">
        <v>208</v>
      </c>
      <c r="C2259" s="121">
        <v>9</v>
      </c>
      <c r="D2259" s="734">
        <v>134.72633178846104</v>
      </c>
      <c r="E2259" s="733"/>
    </row>
    <row r="2260" spans="2:5">
      <c r="B2260" s="121">
        <v>208</v>
      </c>
      <c r="C2260" s="121">
        <v>10</v>
      </c>
      <c r="D2260" s="734">
        <v>134.5140173106152</v>
      </c>
      <c r="E2260" s="733"/>
    </row>
    <row r="2261" spans="2:5">
      <c r="B2261" s="121">
        <v>208</v>
      </c>
      <c r="C2261" s="121">
        <v>11</v>
      </c>
      <c r="D2261" s="734">
        <v>137.73136198059311</v>
      </c>
      <c r="E2261" s="733"/>
    </row>
    <row r="2262" spans="2:5">
      <c r="B2262" s="121">
        <v>208</v>
      </c>
      <c r="C2262" s="121">
        <v>12</v>
      </c>
      <c r="D2262" s="734">
        <v>133.7222651856523</v>
      </c>
      <c r="E2262" s="733"/>
    </row>
    <row r="2263" spans="2:5">
      <c r="B2263" s="121">
        <v>208</v>
      </c>
      <c r="C2263" s="121">
        <v>13</v>
      </c>
      <c r="D2263" s="734">
        <v>141.71422842310474</v>
      </c>
      <c r="E2263" s="733"/>
    </row>
    <row r="2264" spans="2:5">
      <c r="B2264" s="121">
        <v>208</v>
      </c>
      <c r="C2264" s="121">
        <v>14</v>
      </c>
      <c r="D2264" s="734">
        <v>143.97846888802565</v>
      </c>
      <c r="E2264" s="733"/>
    </row>
    <row r="2265" spans="2:5">
      <c r="B2265" s="121">
        <v>208</v>
      </c>
      <c r="C2265" s="121">
        <v>15</v>
      </c>
      <c r="D2265" s="734">
        <v>144.63036786225749</v>
      </c>
      <c r="E2265" s="733"/>
    </row>
    <row r="2266" spans="2:5">
      <c r="B2266" s="121">
        <v>208</v>
      </c>
      <c r="C2266" s="121">
        <v>16</v>
      </c>
      <c r="D2266" s="734">
        <v>141.03314182131984</v>
      </c>
      <c r="E2266" s="733"/>
    </row>
    <row r="2267" spans="2:5">
      <c r="B2267" s="121">
        <v>208</v>
      </c>
      <c r="C2267" s="121">
        <v>17</v>
      </c>
      <c r="D2267" s="734">
        <v>146.00642268331771</v>
      </c>
      <c r="E2267" s="733"/>
    </row>
    <row r="2268" spans="2:5">
      <c r="B2268" s="121">
        <v>208</v>
      </c>
      <c r="C2268" s="121">
        <v>18</v>
      </c>
      <c r="D2268" s="734">
        <v>138.6605218901544</v>
      </c>
      <c r="E2268" s="733"/>
    </row>
    <row r="2269" spans="2:5">
      <c r="B2269" s="121">
        <v>208</v>
      </c>
      <c r="C2269" s="121">
        <v>19</v>
      </c>
      <c r="D2269" s="734">
        <v>133.74434681807031</v>
      </c>
      <c r="E2269" s="733"/>
    </row>
    <row r="2270" spans="2:5">
      <c r="B2270" s="121">
        <v>209</v>
      </c>
      <c r="C2270" s="121">
        <v>1</v>
      </c>
      <c r="D2270" s="734">
        <v>5</v>
      </c>
      <c r="E2270" s="733"/>
    </row>
    <row r="2271" spans="2:5">
      <c r="B2271" s="121">
        <v>210</v>
      </c>
      <c r="C2271" s="121">
        <v>1</v>
      </c>
      <c r="D2271" s="734">
        <v>5</v>
      </c>
      <c r="E2271" s="733"/>
    </row>
    <row r="2272" spans="2:5">
      <c r="B2272" s="121">
        <v>210</v>
      </c>
      <c r="C2272" s="121">
        <v>2</v>
      </c>
      <c r="D2272" s="734">
        <v>100.68851748363909</v>
      </c>
      <c r="E2272" s="733"/>
    </row>
    <row r="2273" spans="2:5">
      <c r="B2273" s="121">
        <v>210</v>
      </c>
      <c r="C2273" s="121">
        <v>3</v>
      </c>
      <c r="D2273" s="734">
        <v>118.45117959090794</v>
      </c>
      <c r="E2273" s="733"/>
    </row>
    <row r="2274" spans="2:5">
      <c r="B2274" s="121">
        <v>210</v>
      </c>
      <c r="C2274" s="121">
        <v>4</v>
      </c>
      <c r="D2274" s="734">
        <v>145.29207277195678</v>
      </c>
      <c r="E2274" s="733"/>
    </row>
    <row r="2275" spans="2:5">
      <c r="B2275" s="121">
        <v>210</v>
      </c>
      <c r="C2275" s="121">
        <v>5</v>
      </c>
      <c r="D2275" s="734">
        <v>145.04356002192682</v>
      </c>
      <c r="E2275" s="733"/>
    </row>
    <row r="2276" spans="2:5">
      <c r="B2276" s="121">
        <v>210</v>
      </c>
      <c r="C2276" s="121">
        <v>6</v>
      </c>
      <c r="D2276" s="734">
        <v>135.66317825151012</v>
      </c>
      <c r="E2276" s="733"/>
    </row>
    <row r="2277" spans="2:5">
      <c r="B2277" s="121">
        <v>210</v>
      </c>
      <c r="C2277" s="121">
        <v>7</v>
      </c>
      <c r="D2277" s="734">
        <v>142.74656816452264</v>
      </c>
      <c r="E2277" s="733"/>
    </row>
    <row r="2278" spans="2:5">
      <c r="B2278" s="121">
        <v>210</v>
      </c>
      <c r="C2278" s="121">
        <v>8</v>
      </c>
      <c r="D2278" s="734">
        <v>137.05846177742109</v>
      </c>
      <c r="E2278" s="733"/>
    </row>
    <row r="2279" spans="2:5">
      <c r="B2279" s="121">
        <v>210</v>
      </c>
      <c r="C2279" s="121">
        <v>9</v>
      </c>
      <c r="D2279" s="734">
        <v>145.74342021877914</v>
      </c>
      <c r="E2279" s="733"/>
    </row>
    <row r="2280" spans="2:5">
      <c r="B2280" s="121">
        <v>210</v>
      </c>
      <c r="C2280" s="121">
        <v>10</v>
      </c>
      <c r="D2280" s="734">
        <v>140.81930546325196</v>
      </c>
      <c r="E2280" s="733"/>
    </row>
    <row r="2281" spans="2:5">
      <c r="B2281" s="121">
        <v>210</v>
      </c>
      <c r="C2281" s="121">
        <v>11</v>
      </c>
      <c r="D2281" s="734">
        <v>135.35386869723095</v>
      </c>
      <c r="E2281" s="733"/>
    </row>
    <row r="2282" spans="2:5">
      <c r="B2282" s="121">
        <v>210</v>
      </c>
      <c r="C2282" s="121">
        <v>12</v>
      </c>
      <c r="D2282" s="734">
        <v>141.08459303681792</v>
      </c>
      <c r="E2282" s="733"/>
    </row>
    <row r="2283" spans="2:5">
      <c r="B2283" s="121">
        <v>210</v>
      </c>
      <c r="C2283" s="121">
        <v>13</v>
      </c>
      <c r="D2283" s="734">
        <v>145.84923489974921</v>
      </c>
      <c r="E2283" s="733"/>
    </row>
    <row r="2284" spans="2:5">
      <c r="B2284" s="121">
        <v>210</v>
      </c>
      <c r="C2284" s="121">
        <v>14</v>
      </c>
      <c r="D2284" s="734">
        <v>137.17707409832784</v>
      </c>
      <c r="E2284" s="733"/>
    </row>
    <row r="2285" spans="2:5">
      <c r="B2285" s="121">
        <v>210</v>
      </c>
      <c r="C2285" s="121">
        <v>15</v>
      </c>
      <c r="D2285" s="734">
        <v>134.81213235484378</v>
      </c>
      <c r="E2285" s="733"/>
    </row>
    <row r="2286" spans="2:5">
      <c r="B2286" s="121">
        <v>210</v>
      </c>
      <c r="C2286" s="121">
        <v>16</v>
      </c>
      <c r="D2286" s="734">
        <v>140.68491154343158</v>
      </c>
      <c r="E2286" s="733"/>
    </row>
    <row r="2287" spans="2:5">
      <c r="B2287" s="121">
        <v>210</v>
      </c>
      <c r="C2287" s="121">
        <v>17</v>
      </c>
      <c r="D2287" s="734">
        <v>142.05824130140812</v>
      </c>
      <c r="E2287" s="733"/>
    </row>
    <row r="2288" spans="2:5">
      <c r="B2288" s="121">
        <v>210</v>
      </c>
      <c r="C2288" s="121">
        <v>18</v>
      </c>
      <c r="D2288" s="734">
        <v>136.20128153693858</v>
      </c>
      <c r="E2288" s="733"/>
    </row>
    <row r="2289" spans="2:5">
      <c r="B2289" s="121">
        <v>210</v>
      </c>
      <c r="C2289" s="121">
        <v>19</v>
      </c>
      <c r="D2289" s="734">
        <v>134.35730254680163</v>
      </c>
      <c r="E2289" s="733"/>
    </row>
    <row r="2290" spans="2:5">
      <c r="B2290" s="121">
        <v>210</v>
      </c>
      <c r="C2290" s="121">
        <v>20</v>
      </c>
      <c r="D2290" s="734">
        <v>134.05059961745727</v>
      </c>
      <c r="E2290" s="733"/>
    </row>
    <row r="2291" spans="2:5">
      <c r="B2291" s="121">
        <v>210</v>
      </c>
      <c r="C2291" s="121">
        <v>21</v>
      </c>
      <c r="D2291" s="734">
        <v>144.30682490029776</v>
      </c>
      <c r="E2291" s="733"/>
    </row>
    <row r="2292" spans="2:5">
      <c r="B2292" s="121">
        <v>210</v>
      </c>
      <c r="C2292" s="121">
        <v>22</v>
      </c>
      <c r="D2292" s="734">
        <v>141.92670652459097</v>
      </c>
      <c r="E2292" s="733"/>
    </row>
    <row r="2293" spans="2:5">
      <c r="B2293" s="121">
        <v>210</v>
      </c>
      <c r="C2293" s="121">
        <v>23</v>
      </c>
      <c r="D2293" s="734">
        <v>143.29783909599777</v>
      </c>
      <c r="E2293" s="733"/>
    </row>
    <row r="2294" spans="2:5">
      <c r="B2294" s="121">
        <v>210</v>
      </c>
      <c r="C2294" s="121">
        <v>24</v>
      </c>
      <c r="D2294" s="734">
        <v>141.38345842268879</v>
      </c>
      <c r="E2294" s="733"/>
    </row>
    <row r="2295" spans="2:5">
      <c r="B2295" s="121">
        <v>210</v>
      </c>
      <c r="C2295" s="121">
        <v>25</v>
      </c>
      <c r="D2295" s="734">
        <v>146.8307654876516</v>
      </c>
      <c r="E2295" s="733"/>
    </row>
    <row r="2296" spans="2:5">
      <c r="B2296" s="121">
        <v>210</v>
      </c>
      <c r="C2296" s="121">
        <v>26</v>
      </c>
      <c r="D2296" s="734">
        <v>136.76723144921266</v>
      </c>
      <c r="E2296" s="733"/>
    </row>
    <row r="2297" spans="2:5">
      <c r="B2297" s="121">
        <v>210</v>
      </c>
      <c r="C2297" s="121">
        <v>27</v>
      </c>
      <c r="D2297" s="734">
        <v>134.01163096312868</v>
      </c>
      <c r="E2297" s="733"/>
    </row>
    <row r="2298" spans="2:5">
      <c r="B2298" s="121">
        <v>210</v>
      </c>
      <c r="C2298" s="121">
        <v>28</v>
      </c>
      <c r="D2298" s="734">
        <v>141.71931666384359</v>
      </c>
      <c r="E2298" s="733"/>
    </row>
    <row r="2299" spans="2:5">
      <c r="B2299" s="121">
        <v>210</v>
      </c>
      <c r="C2299" s="121">
        <v>29</v>
      </c>
      <c r="D2299" s="734">
        <v>134.39645250126563</v>
      </c>
      <c r="E2299" s="733"/>
    </row>
    <row r="2300" spans="2:5">
      <c r="B2300" s="121">
        <v>210</v>
      </c>
      <c r="C2300" s="121">
        <v>30</v>
      </c>
      <c r="D2300" s="734">
        <v>144.52280466084167</v>
      </c>
      <c r="E2300" s="733"/>
    </row>
    <row r="2301" spans="2:5">
      <c r="B2301" s="121">
        <v>210</v>
      </c>
      <c r="C2301" s="121">
        <v>31</v>
      </c>
      <c r="D2301" s="734">
        <v>143.77218829096833</v>
      </c>
      <c r="E2301" s="733"/>
    </row>
    <row r="2302" spans="2:5">
      <c r="B2302" s="121">
        <v>210</v>
      </c>
      <c r="C2302" s="121">
        <v>32</v>
      </c>
      <c r="D2302" s="734">
        <v>146.02763848405226</v>
      </c>
      <c r="E2302" s="733"/>
    </row>
    <row r="2303" spans="2:5">
      <c r="B2303" s="121">
        <v>210</v>
      </c>
      <c r="C2303" s="121">
        <v>33</v>
      </c>
      <c r="D2303" s="734">
        <v>146.2302975629128</v>
      </c>
      <c r="E2303" s="733"/>
    </row>
    <row r="2304" spans="2:5">
      <c r="B2304" s="121">
        <v>210</v>
      </c>
      <c r="C2304" s="121">
        <v>34</v>
      </c>
      <c r="D2304" s="734">
        <v>135.92071640455177</v>
      </c>
      <c r="E2304" s="733"/>
    </row>
    <row r="2305" spans="2:5">
      <c r="B2305" s="121">
        <v>210</v>
      </c>
      <c r="C2305" s="121">
        <v>35</v>
      </c>
      <c r="D2305" s="734">
        <v>145.87105377821015</v>
      </c>
      <c r="E2305" s="733"/>
    </row>
    <row r="2306" spans="2:5">
      <c r="B2306" s="121">
        <v>210</v>
      </c>
      <c r="C2306" s="121">
        <v>36</v>
      </c>
      <c r="D2306" s="734">
        <v>145.75981968197561</v>
      </c>
      <c r="E2306" s="733"/>
    </row>
    <row r="2307" spans="2:5">
      <c r="B2307" s="121">
        <v>211</v>
      </c>
      <c r="C2307" s="121">
        <v>1</v>
      </c>
      <c r="D2307" s="734">
        <v>5</v>
      </c>
      <c r="E2307" s="733"/>
    </row>
    <row r="2308" spans="2:5">
      <c r="B2308" s="121">
        <v>212</v>
      </c>
      <c r="C2308" s="121">
        <v>1</v>
      </c>
      <c r="D2308" s="734">
        <v>5</v>
      </c>
      <c r="E2308" s="733"/>
    </row>
    <row r="2309" spans="2:5">
      <c r="B2309" s="121">
        <v>213</v>
      </c>
      <c r="C2309" s="121">
        <v>1</v>
      </c>
      <c r="D2309" s="734">
        <v>5</v>
      </c>
      <c r="E2309" s="733"/>
    </row>
    <row r="2310" spans="2:5">
      <c r="B2310" s="121">
        <v>214</v>
      </c>
      <c r="C2310" s="121">
        <v>1</v>
      </c>
      <c r="D2310" s="734">
        <v>5</v>
      </c>
      <c r="E2310" s="733"/>
    </row>
    <row r="2311" spans="2:5">
      <c r="B2311" s="121">
        <v>214</v>
      </c>
      <c r="C2311" s="121">
        <v>2</v>
      </c>
      <c r="D2311" s="734">
        <v>99.671149515194784</v>
      </c>
      <c r="E2311" s="733"/>
    </row>
    <row r="2312" spans="2:5">
      <c r="B2312" s="121">
        <v>214</v>
      </c>
      <c r="C2312" s="121">
        <v>3</v>
      </c>
      <c r="D2312" s="734">
        <v>116.27773241365524</v>
      </c>
      <c r="E2312" s="733"/>
    </row>
    <row r="2313" spans="2:5">
      <c r="B2313" s="121">
        <v>214</v>
      </c>
      <c r="C2313" s="121">
        <v>4</v>
      </c>
      <c r="D2313" s="734">
        <v>145.27378293966535</v>
      </c>
      <c r="E2313" s="733"/>
    </row>
    <row r="2314" spans="2:5">
      <c r="B2314" s="121">
        <v>214</v>
      </c>
      <c r="C2314" s="121">
        <v>5</v>
      </c>
      <c r="D2314" s="734">
        <v>138.64364867905039</v>
      </c>
      <c r="E2314" s="733"/>
    </row>
    <row r="2315" spans="2:5">
      <c r="B2315" s="121">
        <v>214</v>
      </c>
      <c r="C2315" s="121">
        <v>6</v>
      </c>
      <c r="D2315" s="734">
        <v>141.74227624936609</v>
      </c>
      <c r="E2315" s="733"/>
    </row>
    <row r="2316" spans="2:5">
      <c r="B2316" s="121">
        <v>214</v>
      </c>
      <c r="C2316" s="121">
        <v>7</v>
      </c>
      <c r="D2316" s="734">
        <v>142.77009332831264</v>
      </c>
      <c r="E2316" s="733"/>
    </row>
    <row r="2317" spans="2:5">
      <c r="B2317" s="121">
        <v>214</v>
      </c>
      <c r="C2317" s="121">
        <v>8</v>
      </c>
      <c r="D2317" s="734">
        <v>140.72995856387442</v>
      </c>
      <c r="E2317" s="733"/>
    </row>
    <row r="2318" spans="2:5">
      <c r="B2318" s="121">
        <v>214</v>
      </c>
      <c r="C2318" s="121">
        <v>9</v>
      </c>
      <c r="D2318" s="734">
        <v>143.46696040937226</v>
      </c>
      <c r="E2318" s="733"/>
    </row>
    <row r="2319" spans="2:5">
      <c r="B2319" s="121">
        <v>214</v>
      </c>
      <c r="C2319" s="121">
        <v>10</v>
      </c>
      <c r="D2319" s="734">
        <v>139.89650336102457</v>
      </c>
      <c r="E2319" s="733"/>
    </row>
    <row r="2320" spans="2:5">
      <c r="B2320" s="121">
        <v>214</v>
      </c>
      <c r="C2320" s="121">
        <v>11</v>
      </c>
      <c r="D2320" s="734">
        <v>141.94266606123892</v>
      </c>
      <c r="E2320" s="733"/>
    </row>
    <row r="2321" spans="2:5">
      <c r="B2321" s="121">
        <v>214</v>
      </c>
      <c r="C2321" s="121">
        <v>12</v>
      </c>
      <c r="D2321" s="734">
        <v>134.63034995921927</v>
      </c>
      <c r="E2321" s="733"/>
    </row>
    <row r="2322" spans="2:5">
      <c r="B2322" s="121">
        <v>214</v>
      </c>
      <c r="C2322" s="121">
        <v>13</v>
      </c>
      <c r="D2322" s="734">
        <v>139.24415926785923</v>
      </c>
      <c r="E2322" s="733"/>
    </row>
    <row r="2323" spans="2:5">
      <c r="B2323" s="121">
        <v>214</v>
      </c>
      <c r="C2323" s="121">
        <v>14</v>
      </c>
      <c r="D2323" s="734">
        <v>142.79741354075409</v>
      </c>
      <c r="E2323" s="733"/>
    </row>
    <row r="2324" spans="2:5">
      <c r="B2324" s="121">
        <v>215</v>
      </c>
      <c r="C2324" s="121">
        <v>1</v>
      </c>
      <c r="D2324" s="734">
        <v>5</v>
      </c>
      <c r="E2324" s="733"/>
    </row>
    <row r="2325" spans="2:5">
      <c r="B2325" s="121">
        <v>215</v>
      </c>
      <c r="C2325" s="121">
        <v>2</v>
      </c>
      <c r="D2325" s="734">
        <v>103.05875519382933</v>
      </c>
      <c r="E2325" s="733"/>
    </row>
    <row r="2326" spans="2:5">
      <c r="B2326" s="121">
        <v>215</v>
      </c>
      <c r="C2326" s="121">
        <v>3</v>
      </c>
      <c r="D2326" s="734">
        <v>123.88886324597749</v>
      </c>
      <c r="E2326" s="733"/>
    </row>
    <row r="2327" spans="2:5">
      <c r="B2327" s="121">
        <v>215</v>
      </c>
      <c r="C2327" s="121">
        <v>4</v>
      </c>
      <c r="D2327" s="734">
        <v>143.60529568253529</v>
      </c>
      <c r="E2327" s="733"/>
    </row>
    <row r="2328" spans="2:5">
      <c r="B2328" s="121">
        <v>215</v>
      </c>
      <c r="C2328" s="121">
        <v>5</v>
      </c>
      <c r="D2328" s="734">
        <v>144.35094546681268</v>
      </c>
      <c r="E2328" s="733"/>
    </row>
    <row r="2329" spans="2:5">
      <c r="B2329" s="121">
        <v>215</v>
      </c>
      <c r="C2329" s="121">
        <v>6</v>
      </c>
      <c r="D2329" s="734">
        <v>140.23944783850524</v>
      </c>
      <c r="E2329" s="733"/>
    </row>
    <row r="2330" spans="2:5">
      <c r="B2330" s="121">
        <v>215</v>
      </c>
      <c r="C2330" s="121">
        <v>7</v>
      </c>
      <c r="D2330" s="734">
        <v>137.77311634436219</v>
      </c>
      <c r="E2330" s="733"/>
    </row>
    <row r="2331" spans="2:5">
      <c r="B2331" s="121">
        <v>215</v>
      </c>
      <c r="C2331" s="121">
        <v>8</v>
      </c>
      <c r="D2331" s="734">
        <v>144.24958015880088</v>
      </c>
      <c r="E2331" s="733"/>
    </row>
    <row r="2332" spans="2:5">
      <c r="B2332" s="121">
        <v>215</v>
      </c>
      <c r="C2332" s="121">
        <v>9</v>
      </c>
      <c r="D2332" s="734">
        <v>144.61518833534674</v>
      </c>
      <c r="E2332" s="733"/>
    </row>
    <row r="2333" spans="2:5">
      <c r="B2333" s="121">
        <v>215</v>
      </c>
      <c r="C2333" s="121">
        <v>10</v>
      </c>
      <c r="D2333" s="734">
        <v>136.36684999899182</v>
      </c>
      <c r="E2333" s="733"/>
    </row>
    <row r="2334" spans="2:5">
      <c r="B2334" s="121">
        <v>215</v>
      </c>
      <c r="C2334" s="121">
        <v>11</v>
      </c>
      <c r="D2334" s="734">
        <v>138.26571883142228</v>
      </c>
      <c r="E2334" s="733"/>
    </row>
    <row r="2335" spans="2:5">
      <c r="B2335" s="121">
        <v>215</v>
      </c>
      <c r="C2335" s="121">
        <v>12</v>
      </c>
      <c r="D2335" s="734">
        <v>140.3683787150002</v>
      </c>
      <c r="E2335" s="733"/>
    </row>
    <row r="2336" spans="2:5">
      <c r="B2336" s="121">
        <v>216</v>
      </c>
      <c r="C2336" s="121">
        <v>1</v>
      </c>
      <c r="D2336" s="734">
        <v>5</v>
      </c>
      <c r="E2336" s="733"/>
    </row>
    <row r="2337" spans="2:5">
      <c r="B2337" s="121">
        <v>217</v>
      </c>
      <c r="C2337" s="121">
        <v>1</v>
      </c>
      <c r="D2337" s="734">
        <v>5</v>
      </c>
      <c r="E2337" s="733"/>
    </row>
    <row r="2338" spans="2:5">
      <c r="B2338" s="121">
        <v>217</v>
      </c>
      <c r="C2338" s="121">
        <v>2</v>
      </c>
      <c r="D2338" s="734">
        <v>98.73686636783475</v>
      </c>
      <c r="E2338" s="733"/>
    </row>
    <row r="2339" spans="2:5">
      <c r="B2339" s="121">
        <v>217</v>
      </c>
      <c r="C2339" s="121">
        <v>3</v>
      </c>
      <c r="D2339" s="734">
        <v>122.92860976436653</v>
      </c>
      <c r="E2339" s="733"/>
    </row>
    <row r="2340" spans="2:5">
      <c r="B2340" s="121">
        <v>217</v>
      </c>
      <c r="C2340" s="121">
        <v>4</v>
      </c>
      <c r="D2340" s="734">
        <v>145.25734453062546</v>
      </c>
      <c r="E2340" s="733"/>
    </row>
    <row r="2341" spans="2:5">
      <c r="B2341" s="121">
        <v>217</v>
      </c>
      <c r="C2341" s="121">
        <v>5</v>
      </c>
      <c r="D2341" s="734">
        <v>144.43536503869669</v>
      </c>
      <c r="E2341" s="733"/>
    </row>
    <row r="2342" spans="2:5">
      <c r="B2342" s="121">
        <v>217</v>
      </c>
      <c r="C2342" s="121">
        <v>6</v>
      </c>
      <c r="D2342" s="734">
        <v>136.70863679437795</v>
      </c>
      <c r="E2342" s="733"/>
    </row>
    <row r="2343" spans="2:5">
      <c r="B2343" s="121">
        <v>217</v>
      </c>
      <c r="C2343" s="121">
        <v>7</v>
      </c>
      <c r="D2343" s="734">
        <v>142.33734640784766</v>
      </c>
      <c r="E2343" s="733"/>
    </row>
    <row r="2344" spans="2:5">
      <c r="B2344" s="121">
        <v>218</v>
      </c>
      <c r="C2344" s="121">
        <v>1</v>
      </c>
      <c r="D2344" s="734">
        <v>5</v>
      </c>
      <c r="E2344" s="733"/>
    </row>
    <row r="2345" spans="2:5">
      <c r="B2345" s="121">
        <v>218</v>
      </c>
      <c r="C2345" s="121">
        <v>2</v>
      </c>
      <c r="D2345" s="734">
        <v>94.599781653813494</v>
      </c>
      <c r="E2345" s="733"/>
    </row>
    <row r="2346" spans="2:5">
      <c r="B2346" s="121">
        <v>218</v>
      </c>
      <c r="C2346" s="121">
        <v>3</v>
      </c>
      <c r="D2346" s="734">
        <v>114.74207766509387</v>
      </c>
      <c r="E2346" s="733"/>
    </row>
    <row r="2347" spans="2:5">
      <c r="B2347" s="121">
        <v>218</v>
      </c>
      <c r="C2347" s="121">
        <v>4</v>
      </c>
      <c r="D2347" s="734">
        <v>137.75202200055961</v>
      </c>
      <c r="E2347" s="733"/>
    </row>
    <row r="2348" spans="2:5">
      <c r="B2348" s="121">
        <v>218</v>
      </c>
      <c r="C2348" s="121">
        <v>5</v>
      </c>
      <c r="D2348" s="734">
        <v>139.23277741187593</v>
      </c>
      <c r="E2348" s="733"/>
    </row>
    <row r="2349" spans="2:5">
      <c r="B2349" s="121">
        <v>218</v>
      </c>
      <c r="C2349" s="121">
        <v>6</v>
      </c>
      <c r="D2349" s="734">
        <v>138.61463637240411</v>
      </c>
      <c r="E2349" s="733"/>
    </row>
    <row r="2350" spans="2:5">
      <c r="B2350" s="121">
        <v>219</v>
      </c>
      <c r="C2350" s="121">
        <v>1</v>
      </c>
      <c r="D2350" s="734">
        <v>5</v>
      </c>
      <c r="E2350" s="733"/>
    </row>
    <row r="2351" spans="2:5">
      <c r="B2351" s="121">
        <v>219</v>
      </c>
      <c r="C2351" s="121">
        <v>2</v>
      </c>
      <c r="D2351" s="734">
        <v>98.298610269314707</v>
      </c>
      <c r="E2351" s="733"/>
    </row>
    <row r="2352" spans="2:5">
      <c r="B2352" s="121">
        <v>219</v>
      </c>
      <c r="C2352" s="121">
        <v>3</v>
      </c>
      <c r="D2352" s="734">
        <v>115.50478163898586</v>
      </c>
      <c r="E2352" s="733"/>
    </row>
    <row r="2353" spans="2:5">
      <c r="B2353" s="121">
        <v>219</v>
      </c>
      <c r="C2353" s="121">
        <v>4</v>
      </c>
      <c r="D2353" s="734">
        <v>144.51732722786073</v>
      </c>
      <c r="E2353" s="733"/>
    </row>
    <row r="2354" spans="2:5">
      <c r="B2354" s="121">
        <v>219</v>
      </c>
      <c r="C2354" s="121">
        <v>5</v>
      </c>
      <c r="D2354" s="734">
        <v>135.85768527835435</v>
      </c>
      <c r="E2354" s="733"/>
    </row>
    <row r="2355" spans="2:5">
      <c r="B2355" s="121">
        <v>219</v>
      </c>
      <c r="C2355" s="121">
        <v>6</v>
      </c>
      <c r="D2355" s="734">
        <v>142.21560144545131</v>
      </c>
      <c r="E2355" s="733"/>
    </row>
    <row r="2356" spans="2:5">
      <c r="B2356" s="121">
        <v>219</v>
      </c>
      <c r="C2356" s="121">
        <v>7</v>
      </c>
      <c r="D2356" s="734">
        <v>145.81511777483396</v>
      </c>
      <c r="E2356" s="733"/>
    </row>
    <row r="2357" spans="2:5">
      <c r="B2357" s="121">
        <v>219</v>
      </c>
      <c r="C2357" s="121">
        <v>8</v>
      </c>
      <c r="D2357" s="734">
        <v>144.50482254509487</v>
      </c>
      <c r="E2357" s="733"/>
    </row>
    <row r="2358" spans="2:5">
      <c r="B2358" s="121">
        <v>219</v>
      </c>
      <c r="C2358" s="121">
        <v>9</v>
      </c>
      <c r="D2358" s="734">
        <v>138.94657085629041</v>
      </c>
      <c r="E2358" s="733"/>
    </row>
    <row r="2359" spans="2:5">
      <c r="B2359" s="121">
        <v>219</v>
      </c>
      <c r="C2359" s="121">
        <v>10</v>
      </c>
      <c r="D2359" s="734">
        <v>142.27123064825088</v>
      </c>
      <c r="E2359" s="733"/>
    </row>
    <row r="2360" spans="2:5">
      <c r="B2360" s="121">
        <v>219</v>
      </c>
      <c r="C2360" s="121">
        <v>11</v>
      </c>
      <c r="D2360" s="734">
        <v>141.26176349161867</v>
      </c>
      <c r="E2360" s="733"/>
    </row>
    <row r="2361" spans="2:5">
      <c r="B2361" s="121">
        <v>219</v>
      </c>
      <c r="C2361" s="121">
        <v>12</v>
      </c>
      <c r="D2361" s="734">
        <v>139.49292476408419</v>
      </c>
      <c r="E2361" s="733"/>
    </row>
    <row r="2362" spans="2:5">
      <c r="B2362" s="121">
        <v>219</v>
      </c>
      <c r="C2362" s="121">
        <v>13</v>
      </c>
      <c r="D2362" s="734">
        <v>140.08221405000026</v>
      </c>
      <c r="E2362" s="733"/>
    </row>
    <row r="2363" spans="2:5">
      <c r="B2363" s="121">
        <v>219</v>
      </c>
      <c r="C2363" s="121">
        <v>14</v>
      </c>
      <c r="D2363" s="734">
        <v>134.39069987402803</v>
      </c>
      <c r="E2363" s="733"/>
    </row>
    <row r="2364" spans="2:5">
      <c r="B2364" s="121">
        <v>219</v>
      </c>
      <c r="C2364" s="121">
        <v>15</v>
      </c>
      <c r="D2364" s="734">
        <v>144.73688641610423</v>
      </c>
      <c r="E2364" s="733"/>
    </row>
    <row r="2365" spans="2:5">
      <c r="B2365" s="121">
        <v>219</v>
      </c>
      <c r="C2365" s="121">
        <v>16</v>
      </c>
      <c r="D2365" s="734">
        <v>144.42513423035842</v>
      </c>
      <c r="E2365" s="733"/>
    </row>
    <row r="2366" spans="2:5">
      <c r="B2366" s="121">
        <v>219</v>
      </c>
      <c r="C2366" s="121">
        <v>17</v>
      </c>
      <c r="D2366" s="734">
        <v>143.92213709239624</v>
      </c>
      <c r="E2366" s="733"/>
    </row>
    <row r="2367" spans="2:5">
      <c r="B2367" s="121">
        <v>219</v>
      </c>
      <c r="C2367" s="121">
        <v>18</v>
      </c>
      <c r="D2367" s="734">
        <v>139.86102935216016</v>
      </c>
      <c r="E2367" s="733"/>
    </row>
    <row r="2368" spans="2:5">
      <c r="B2368" s="121">
        <v>219</v>
      </c>
      <c r="C2368" s="121">
        <v>19</v>
      </c>
      <c r="D2368" s="734">
        <v>138.34853113908457</v>
      </c>
      <c r="E2368" s="733"/>
    </row>
    <row r="2369" spans="2:5">
      <c r="B2369" s="121">
        <v>219</v>
      </c>
      <c r="C2369" s="121">
        <v>20</v>
      </c>
      <c r="D2369" s="734">
        <v>137.55481304279991</v>
      </c>
      <c r="E2369" s="733"/>
    </row>
    <row r="2370" spans="2:5">
      <c r="B2370" s="121">
        <v>219</v>
      </c>
      <c r="C2370" s="121">
        <v>21</v>
      </c>
      <c r="D2370" s="734">
        <v>140.31796210014619</v>
      </c>
      <c r="E2370" s="733"/>
    </row>
    <row r="2371" spans="2:5">
      <c r="B2371" s="121">
        <v>219</v>
      </c>
      <c r="C2371" s="121">
        <v>22</v>
      </c>
      <c r="D2371" s="734">
        <v>146.49355140763839</v>
      </c>
      <c r="E2371" s="733"/>
    </row>
    <row r="2372" spans="2:5">
      <c r="B2372" s="121">
        <v>219</v>
      </c>
      <c r="C2372" s="121">
        <v>23</v>
      </c>
      <c r="D2372" s="734">
        <v>142.28369658366302</v>
      </c>
      <c r="E2372" s="733"/>
    </row>
    <row r="2373" spans="2:5">
      <c r="B2373" s="121">
        <v>219</v>
      </c>
      <c r="C2373" s="121">
        <v>24</v>
      </c>
      <c r="D2373" s="734">
        <v>145.61437539726961</v>
      </c>
      <c r="E2373" s="733"/>
    </row>
    <row r="2374" spans="2:5">
      <c r="B2374" s="121">
        <v>219</v>
      </c>
      <c r="C2374" s="121">
        <v>25</v>
      </c>
      <c r="D2374" s="734">
        <v>137.23157141848188</v>
      </c>
      <c r="E2374" s="733"/>
    </row>
    <row r="2375" spans="2:5">
      <c r="B2375" s="121">
        <v>219</v>
      </c>
      <c r="C2375" s="121">
        <v>26</v>
      </c>
      <c r="D2375" s="734">
        <v>136.44475011411419</v>
      </c>
      <c r="E2375" s="733"/>
    </row>
    <row r="2376" spans="2:5">
      <c r="B2376" s="121">
        <v>219</v>
      </c>
      <c r="C2376" s="121">
        <v>27</v>
      </c>
      <c r="D2376" s="734">
        <v>145.54142459274695</v>
      </c>
      <c r="E2376" s="733"/>
    </row>
    <row r="2377" spans="2:5">
      <c r="B2377" s="121">
        <v>219</v>
      </c>
      <c r="C2377" s="121">
        <v>28</v>
      </c>
      <c r="D2377" s="734">
        <v>134.69732352867658</v>
      </c>
      <c r="E2377" s="733"/>
    </row>
    <row r="2378" spans="2:5">
      <c r="B2378" s="121">
        <v>219</v>
      </c>
      <c r="C2378" s="121">
        <v>29</v>
      </c>
      <c r="D2378" s="734">
        <v>134.80790018606444</v>
      </c>
      <c r="E2378" s="733"/>
    </row>
    <row r="2379" spans="2:5">
      <c r="B2379" s="121">
        <v>219</v>
      </c>
      <c r="C2379" s="121">
        <v>30</v>
      </c>
      <c r="D2379" s="734">
        <v>137.6495325718102</v>
      </c>
      <c r="E2379" s="733"/>
    </row>
    <row r="2380" spans="2:5">
      <c r="B2380" s="121">
        <v>219</v>
      </c>
      <c r="C2380" s="121">
        <v>31</v>
      </c>
      <c r="D2380" s="734">
        <v>140.8048701886195</v>
      </c>
      <c r="E2380" s="733"/>
    </row>
    <row r="2381" spans="2:5">
      <c r="B2381" s="121">
        <v>219</v>
      </c>
      <c r="C2381" s="121">
        <v>32</v>
      </c>
      <c r="D2381" s="734">
        <v>141.77114588089802</v>
      </c>
      <c r="E2381" s="733"/>
    </row>
    <row r="2382" spans="2:5">
      <c r="B2382" s="121">
        <v>219</v>
      </c>
      <c r="C2382" s="121">
        <v>33</v>
      </c>
      <c r="D2382" s="734">
        <v>142.54120588325807</v>
      </c>
      <c r="E2382" s="733"/>
    </row>
    <row r="2383" spans="2:5">
      <c r="B2383" s="121">
        <v>219</v>
      </c>
      <c r="C2383" s="121">
        <v>34</v>
      </c>
      <c r="D2383" s="734">
        <v>136.28544387795381</v>
      </c>
      <c r="E2383" s="733"/>
    </row>
    <row r="2384" spans="2:5">
      <c r="B2384" s="121">
        <v>219</v>
      </c>
      <c r="C2384" s="121">
        <v>35</v>
      </c>
      <c r="D2384" s="734">
        <v>136.44638628421578</v>
      </c>
      <c r="E2384" s="733"/>
    </row>
    <row r="2385" spans="2:5">
      <c r="B2385" s="121">
        <v>219</v>
      </c>
      <c r="C2385" s="121">
        <v>36</v>
      </c>
      <c r="D2385" s="734">
        <v>138.28402899100928</v>
      </c>
      <c r="E2385" s="733"/>
    </row>
    <row r="2386" spans="2:5">
      <c r="B2386" s="121">
        <v>220</v>
      </c>
      <c r="C2386" s="121">
        <v>1</v>
      </c>
      <c r="D2386" s="734">
        <v>5</v>
      </c>
      <c r="E2386" s="733"/>
    </row>
    <row r="2387" spans="2:5">
      <c r="B2387" s="121">
        <v>220</v>
      </c>
      <c r="C2387" s="121">
        <v>2</v>
      </c>
      <c r="D2387" s="734">
        <v>103.28698832756884</v>
      </c>
      <c r="E2387" s="733"/>
    </row>
    <row r="2388" spans="2:5">
      <c r="B2388" s="121">
        <v>220</v>
      </c>
      <c r="C2388" s="121">
        <v>3</v>
      </c>
      <c r="D2388" s="734">
        <v>113.95928747622665</v>
      </c>
      <c r="E2388" s="733"/>
    </row>
    <row r="2389" spans="2:5">
      <c r="B2389" s="121">
        <v>220</v>
      </c>
      <c r="C2389" s="121">
        <v>4</v>
      </c>
      <c r="D2389" s="734">
        <v>144.60083292002511</v>
      </c>
      <c r="E2389" s="733"/>
    </row>
    <row r="2390" spans="2:5">
      <c r="B2390" s="121">
        <v>220</v>
      </c>
      <c r="C2390" s="121">
        <v>5</v>
      </c>
      <c r="D2390" s="734">
        <v>139.72302239203879</v>
      </c>
      <c r="E2390" s="733"/>
    </row>
    <row r="2391" spans="2:5">
      <c r="B2391" s="121">
        <v>220</v>
      </c>
      <c r="C2391" s="121">
        <v>6</v>
      </c>
      <c r="D2391" s="734">
        <v>140.90146492754718</v>
      </c>
      <c r="E2391" s="733"/>
    </row>
    <row r="2392" spans="2:5">
      <c r="B2392" s="121">
        <v>220</v>
      </c>
      <c r="C2392" s="121">
        <v>7</v>
      </c>
      <c r="D2392" s="734">
        <v>135.72680124288618</v>
      </c>
      <c r="E2392" s="733"/>
    </row>
    <row r="2393" spans="2:5">
      <c r="B2393" s="121">
        <v>220</v>
      </c>
      <c r="C2393" s="121">
        <v>8</v>
      </c>
      <c r="D2393" s="734">
        <v>140.75826178180077</v>
      </c>
      <c r="E2393" s="733"/>
    </row>
    <row r="2394" spans="2:5">
      <c r="B2394" s="121">
        <v>220</v>
      </c>
      <c r="C2394" s="121">
        <v>9</v>
      </c>
      <c r="D2394" s="734">
        <v>144.46197691541255</v>
      </c>
      <c r="E2394" s="733"/>
    </row>
    <row r="2395" spans="2:5">
      <c r="B2395" s="121">
        <v>220</v>
      </c>
      <c r="C2395" s="121">
        <v>10</v>
      </c>
      <c r="D2395" s="734">
        <v>142.67213147097007</v>
      </c>
      <c r="E2395" s="733"/>
    </row>
    <row r="2396" spans="2:5">
      <c r="B2396" s="121">
        <v>220</v>
      </c>
      <c r="C2396" s="121">
        <v>11</v>
      </c>
      <c r="D2396" s="734">
        <v>137.27611507555471</v>
      </c>
      <c r="E2396" s="733"/>
    </row>
    <row r="2397" spans="2:5">
      <c r="B2397" s="121">
        <v>221</v>
      </c>
      <c r="C2397" s="121">
        <v>1</v>
      </c>
      <c r="D2397" s="734">
        <v>5</v>
      </c>
      <c r="E2397" s="733"/>
    </row>
    <row r="2398" spans="2:5">
      <c r="B2398" s="121">
        <v>221</v>
      </c>
      <c r="C2398" s="121">
        <v>2</v>
      </c>
      <c r="D2398" s="734">
        <v>103.15396688705385</v>
      </c>
      <c r="E2398" s="733"/>
    </row>
    <row r="2399" spans="2:5">
      <c r="B2399" s="121">
        <v>222</v>
      </c>
      <c r="C2399" s="121">
        <v>1</v>
      </c>
      <c r="D2399" s="734">
        <v>5</v>
      </c>
      <c r="E2399" s="733"/>
    </row>
    <row r="2400" spans="2:5">
      <c r="B2400" s="121">
        <v>223</v>
      </c>
      <c r="C2400" s="121">
        <v>1</v>
      </c>
      <c r="D2400" s="734">
        <v>5</v>
      </c>
      <c r="E2400" s="733"/>
    </row>
    <row r="2401" spans="2:5">
      <c r="B2401" s="121">
        <v>223</v>
      </c>
      <c r="C2401" s="121">
        <v>2</v>
      </c>
      <c r="D2401" s="734">
        <v>95.090243176132958</v>
      </c>
      <c r="E2401" s="733"/>
    </row>
    <row r="2402" spans="2:5">
      <c r="B2402" s="121">
        <v>223</v>
      </c>
      <c r="C2402" s="121">
        <v>3</v>
      </c>
      <c r="D2402" s="734">
        <v>122.48566000303117</v>
      </c>
      <c r="E2402" s="733"/>
    </row>
    <row r="2403" spans="2:5">
      <c r="B2403" s="121">
        <v>223</v>
      </c>
      <c r="C2403" s="121">
        <v>4</v>
      </c>
      <c r="D2403" s="734">
        <v>138.89321792164142</v>
      </c>
      <c r="E2403" s="733"/>
    </row>
    <row r="2404" spans="2:5">
      <c r="B2404" s="121">
        <v>223</v>
      </c>
      <c r="C2404" s="121">
        <v>5</v>
      </c>
      <c r="D2404" s="734">
        <v>146.90279919086319</v>
      </c>
      <c r="E2404" s="733"/>
    </row>
    <row r="2405" spans="2:5">
      <c r="B2405" s="121">
        <v>223</v>
      </c>
      <c r="C2405" s="121">
        <v>6</v>
      </c>
      <c r="D2405" s="734">
        <v>141.81220615659575</v>
      </c>
      <c r="E2405" s="733"/>
    </row>
    <row r="2406" spans="2:5">
      <c r="B2406" s="121">
        <v>223</v>
      </c>
      <c r="C2406" s="121">
        <v>7</v>
      </c>
      <c r="D2406" s="734">
        <v>146.35500428750336</v>
      </c>
      <c r="E2406" s="733"/>
    </row>
    <row r="2407" spans="2:5">
      <c r="B2407" s="121">
        <v>223</v>
      </c>
      <c r="C2407" s="121">
        <v>8</v>
      </c>
      <c r="D2407" s="734">
        <v>134.5424754222241</v>
      </c>
      <c r="E2407" s="733"/>
    </row>
    <row r="2408" spans="2:5">
      <c r="B2408" s="121">
        <v>223</v>
      </c>
      <c r="C2408" s="121">
        <v>9</v>
      </c>
      <c r="D2408" s="734">
        <v>137.75440247803138</v>
      </c>
      <c r="E2408" s="733"/>
    </row>
    <row r="2409" spans="2:5">
      <c r="B2409" s="121">
        <v>223</v>
      </c>
      <c r="C2409" s="121">
        <v>10</v>
      </c>
      <c r="D2409" s="734">
        <v>143.38144358099385</v>
      </c>
      <c r="E2409" s="733"/>
    </row>
    <row r="2410" spans="2:5">
      <c r="B2410" s="121">
        <v>223</v>
      </c>
      <c r="C2410" s="121">
        <v>11</v>
      </c>
      <c r="D2410" s="734">
        <v>137.25515900164464</v>
      </c>
      <c r="E2410" s="733"/>
    </row>
    <row r="2411" spans="2:5">
      <c r="B2411" s="121">
        <v>223</v>
      </c>
      <c r="C2411" s="121">
        <v>12</v>
      </c>
      <c r="D2411" s="734">
        <v>136.59936843570438</v>
      </c>
      <c r="E2411" s="733"/>
    </row>
    <row r="2412" spans="2:5">
      <c r="B2412" s="121">
        <v>224</v>
      </c>
      <c r="C2412" s="121">
        <v>1</v>
      </c>
      <c r="D2412" s="734">
        <v>5</v>
      </c>
      <c r="E2412" s="733"/>
    </row>
    <row r="2413" spans="2:5">
      <c r="B2413" s="121">
        <v>224</v>
      </c>
      <c r="C2413" s="121">
        <v>2</v>
      </c>
      <c r="D2413" s="734">
        <v>99.998662957216297</v>
      </c>
      <c r="E2413" s="733"/>
    </row>
    <row r="2414" spans="2:5">
      <c r="B2414" s="121">
        <v>224</v>
      </c>
      <c r="C2414" s="121">
        <v>3</v>
      </c>
      <c r="D2414" s="734">
        <v>120.51301981980235</v>
      </c>
      <c r="E2414" s="733"/>
    </row>
    <row r="2415" spans="2:5">
      <c r="B2415" s="121">
        <v>225</v>
      </c>
      <c r="C2415" s="121">
        <v>1</v>
      </c>
      <c r="D2415" s="734">
        <v>5</v>
      </c>
      <c r="E2415" s="733"/>
    </row>
    <row r="2416" spans="2:5">
      <c r="B2416" s="121">
        <v>225</v>
      </c>
      <c r="C2416" s="121">
        <v>2</v>
      </c>
      <c r="D2416" s="734">
        <v>98.801210297893078</v>
      </c>
      <c r="E2416" s="733"/>
    </row>
    <row r="2417" spans="2:5">
      <c r="B2417" s="121">
        <v>225</v>
      </c>
      <c r="C2417" s="121">
        <v>3</v>
      </c>
      <c r="D2417" s="734">
        <v>118.67965981395199</v>
      </c>
      <c r="E2417" s="733"/>
    </row>
    <row r="2418" spans="2:5">
      <c r="B2418" s="121">
        <v>225</v>
      </c>
      <c r="C2418" s="121">
        <v>4</v>
      </c>
      <c r="D2418" s="734">
        <v>140.7330295537549</v>
      </c>
      <c r="E2418" s="733"/>
    </row>
    <row r="2419" spans="2:5">
      <c r="B2419" s="121">
        <v>225</v>
      </c>
      <c r="C2419" s="121">
        <v>5</v>
      </c>
      <c r="D2419" s="734">
        <v>142.77500464427328</v>
      </c>
      <c r="E2419" s="733"/>
    </row>
    <row r="2420" spans="2:5">
      <c r="B2420" s="121">
        <v>225</v>
      </c>
      <c r="C2420" s="121">
        <v>6</v>
      </c>
      <c r="D2420" s="734">
        <v>136.41249036991539</v>
      </c>
      <c r="E2420" s="733"/>
    </row>
    <row r="2421" spans="2:5">
      <c r="B2421" s="121">
        <v>225</v>
      </c>
      <c r="C2421" s="121">
        <v>7</v>
      </c>
      <c r="D2421" s="734">
        <v>146.49074168592051</v>
      </c>
      <c r="E2421" s="733"/>
    </row>
    <row r="2422" spans="2:5">
      <c r="B2422" s="121">
        <v>225</v>
      </c>
      <c r="C2422" s="121">
        <v>8</v>
      </c>
      <c r="D2422" s="734">
        <v>137.53030564133439</v>
      </c>
      <c r="E2422" s="733"/>
    </row>
    <row r="2423" spans="2:5">
      <c r="B2423" s="121">
        <v>225</v>
      </c>
      <c r="C2423" s="121">
        <v>9</v>
      </c>
      <c r="D2423" s="734">
        <v>146.47654976968667</v>
      </c>
      <c r="E2423" s="733"/>
    </row>
    <row r="2424" spans="2:5">
      <c r="B2424" s="121">
        <v>225</v>
      </c>
      <c r="C2424" s="121">
        <v>10</v>
      </c>
      <c r="D2424" s="734">
        <v>144.72725977247342</v>
      </c>
      <c r="E2424" s="733"/>
    </row>
    <row r="2425" spans="2:5">
      <c r="B2425" s="121">
        <v>225</v>
      </c>
      <c r="C2425" s="121">
        <v>11</v>
      </c>
      <c r="D2425" s="734">
        <v>144.44341833857428</v>
      </c>
      <c r="E2425" s="733"/>
    </row>
    <row r="2426" spans="2:5">
      <c r="B2426" s="121">
        <v>225</v>
      </c>
      <c r="C2426" s="121">
        <v>12</v>
      </c>
      <c r="D2426" s="734">
        <v>146.82172647546696</v>
      </c>
      <c r="E2426" s="733"/>
    </row>
    <row r="2427" spans="2:5">
      <c r="B2427" s="121">
        <v>225</v>
      </c>
      <c r="C2427" s="121">
        <v>13</v>
      </c>
      <c r="D2427" s="734">
        <v>142.56685112648626</v>
      </c>
      <c r="E2427" s="733"/>
    </row>
    <row r="2428" spans="2:5">
      <c r="B2428" s="121">
        <v>225</v>
      </c>
      <c r="C2428" s="121">
        <v>14</v>
      </c>
      <c r="D2428" s="734">
        <v>145.23770777850561</v>
      </c>
      <c r="E2428" s="733"/>
    </row>
    <row r="2429" spans="2:5">
      <c r="B2429" s="121">
        <v>225</v>
      </c>
      <c r="C2429" s="121">
        <v>15</v>
      </c>
      <c r="D2429" s="734">
        <v>142.95731686585532</v>
      </c>
      <c r="E2429" s="733"/>
    </row>
    <row r="2430" spans="2:5">
      <c r="B2430" s="121">
        <v>225</v>
      </c>
      <c r="C2430" s="121">
        <v>16</v>
      </c>
      <c r="D2430" s="734">
        <v>143.71684100249789</v>
      </c>
      <c r="E2430" s="733"/>
    </row>
    <row r="2431" spans="2:5">
      <c r="B2431" s="121">
        <v>225</v>
      </c>
      <c r="C2431" s="121">
        <v>17</v>
      </c>
      <c r="D2431" s="734">
        <v>147.0744577701887</v>
      </c>
      <c r="E2431" s="733"/>
    </row>
    <row r="2432" spans="2:5">
      <c r="B2432" s="121">
        <v>225</v>
      </c>
      <c r="C2432" s="121">
        <v>18</v>
      </c>
      <c r="D2432" s="734">
        <v>144.75917966352691</v>
      </c>
      <c r="E2432" s="733"/>
    </row>
    <row r="2433" spans="2:5">
      <c r="B2433" s="121">
        <v>225</v>
      </c>
      <c r="C2433" s="121">
        <v>19</v>
      </c>
      <c r="D2433" s="734">
        <v>133.71212828767844</v>
      </c>
      <c r="E2433" s="733"/>
    </row>
    <row r="2434" spans="2:5">
      <c r="B2434" s="121">
        <v>225</v>
      </c>
      <c r="C2434" s="121">
        <v>20</v>
      </c>
      <c r="D2434" s="734">
        <v>144.31713328686138</v>
      </c>
      <c r="E2434" s="733"/>
    </row>
    <row r="2435" spans="2:5">
      <c r="B2435" s="121">
        <v>226</v>
      </c>
      <c r="C2435" s="121">
        <v>1</v>
      </c>
      <c r="D2435" s="734">
        <v>5</v>
      </c>
      <c r="E2435" s="733"/>
    </row>
    <row r="2436" spans="2:5">
      <c r="B2436" s="121">
        <v>226</v>
      </c>
      <c r="C2436" s="121">
        <v>2</v>
      </c>
      <c r="D2436" s="734">
        <v>101.51496050324143</v>
      </c>
      <c r="E2436" s="733"/>
    </row>
    <row r="2437" spans="2:5">
      <c r="B2437" s="121">
        <v>226</v>
      </c>
      <c r="C2437" s="121">
        <v>3</v>
      </c>
      <c r="D2437" s="734">
        <v>120.45685978346242</v>
      </c>
      <c r="E2437" s="733"/>
    </row>
    <row r="2438" spans="2:5">
      <c r="B2438" s="121">
        <v>226</v>
      </c>
      <c r="C2438" s="121">
        <v>4</v>
      </c>
      <c r="D2438" s="734">
        <v>140.72369892164267</v>
      </c>
      <c r="E2438" s="733"/>
    </row>
    <row r="2439" spans="2:5">
      <c r="B2439" s="121">
        <v>226</v>
      </c>
      <c r="C2439" s="121">
        <v>5</v>
      </c>
      <c r="D2439" s="734">
        <v>141.70168717119097</v>
      </c>
      <c r="E2439" s="733"/>
    </row>
    <row r="2440" spans="2:5">
      <c r="B2440" s="121">
        <v>226</v>
      </c>
      <c r="C2440" s="121">
        <v>6</v>
      </c>
      <c r="D2440" s="734">
        <v>142.83777333539214</v>
      </c>
      <c r="E2440" s="733"/>
    </row>
    <row r="2441" spans="2:5">
      <c r="B2441" s="121">
        <v>226</v>
      </c>
      <c r="C2441" s="121">
        <v>7</v>
      </c>
      <c r="D2441" s="734">
        <v>140.98605924081926</v>
      </c>
      <c r="E2441" s="733"/>
    </row>
    <row r="2442" spans="2:5">
      <c r="B2442" s="121">
        <v>226</v>
      </c>
      <c r="C2442" s="121">
        <v>8</v>
      </c>
      <c r="D2442" s="734">
        <v>145.59415320542047</v>
      </c>
      <c r="E2442" s="733"/>
    </row>
    <row r="2443" spans="2:5">
      <c r="B2443" s="121">
        <v>226</v>
      </c>
      <c r="C2443" s="121">
        <v>9</v>
      </c>
      <c r="D2443" s="734">
        <v>135.25727298424843</v>
      </c>
      <c r="E2443" s="733"/>
    </row>
    <row r="2444" spans="2:5">
      <c r="B2444" s="121">
        <v>226</v>
      </c>
      <c r="C2444" s="121">
        <v>10</v>
      </c>
      <c r="D2444" s="734">
        <v>137.67442097656763</v>
      </c>
      <c r="E2444" s="733"/>
    </row>
    <row r="2445" spans="2:5">
      <c r="B2445" s="121">
        <v>226</v>
      </c>
      <c r="C2445" s="121">
        <v>11</v>
      </c>
      <c r="D2445" s="734">
        <v>142.29416835075349</v>
      </c>
      <c r="E2445" s="733"/>
    </row>
    <row r="2446" spans="2:5">
      <c r="B2446" s="121">
        <v>226</v>
      </c>
      <c r="C2446" s="121">
        <v>12</v>
      </c>
      <c r="D2446" s="734">
        <v>137.7023608883502</v>
      </c>
      <c r="E2446" s="733"/>
    </row>
    <row r="2447" spans="2:5">
      <c r="B2447" s="121">
        <v>226</v>
      </c>
      <c r="C2447" s="121">
        <v>13</v>
      </c>
      <c r="D2447" s="734">
        <v>146.28346222922039</v>
      </c>
      <c r="E2447" s="733"/>
    </row>
    <row r="2448" spans="2:5">
      <c r="B2448" s="121">
        <v>226</v>
      </c>
      <c r="C2448" s="121">
        <v>14</v>
      </c>
      <c r="D2448" s="734">
        <v>146.6856456380103</v>
      </c>
      <c r="E2448" s="733"/>
    </row>
    <row r="2449" spans="2:5">
      <c r="B2449" s="121">
        <v>226</v>
      </c>
      <c r="C2449" s="121">
        <v>15</v>
      </c>
      <c r="D2449" s="734">
        <v>133.66907390937789</v>
      </c>
      <c r="E2449" s="733"/>
    </row>
    <row r="2450" spans="2:5">
      <c r="B2450" s="121">
        <v>226</v>
      </c>
      <c r="C2450" s="121">
        <v>16</v>
      </c>
      <c r="D2450" s="734">
        <v>135.95638432008116</v>
      </c>
      <c r="E2450" s="733"/>
    </row>
    <row r="2451" spans="2:5">
      <c r="B2451" s="121">
        <v>226</v>
      </c>
      <c r="C2451" s="121">
        <v>17</v>
      </c>
      <c r="D2451" s="734">
        <v>143.36357795275018</v>
      </c>
      <c r="E2451" s="733"/>
    </row>
    <row r="2452" spans="2:5">
      <c r="B2452" s="121">
        <v>226</v>
      </c>
      <c r="C2452" s="121">
        <v>18</v>
      </c>
      <c r="D2452" s="734">
        <v>143.24482354294216</v>
      </c>
      <c r="E2452" s="733"/>
    </row>
    <row r="2453" spans="2:5">
      <c r="B2453" s="121">
        <v>226</v>
      </c>
      <c r="C2453" s="121">
        <v>19</v>
      </c>
      <c r="D2453" s="734">
        <v>146.71381515140058</v>
      </c>
      <c r="E2453" s="733"/>
    </row>
    <row r="2454" spans="2:5">
      <c r="B2454" s="121">
        <v>226</v>
      </c>
      <c r="C2454" s="121">
        <v>20</v>
      </c>
      <c r="D2454" s="734">
        <v>133.90794905578849</v>
      </c>
      <c r="E2454" s="733"/>
    </row>
    <row r="2455" spans="2:5">
      <c r="B2455" s="121">
        <v>226</v>
      </c>
      <c r="C2455" s="121">
        <v>21</v>
      </c>
      <c r="D2455" s="734">
        <v>138.45594944650645</v>
      </c>
      <c r="E2455" s="733"/>
    </row>
    <row r="2456" spans="2:5">
      <c r="B2456" s="121">
        <v>226</v>
      </c>
      <c r="C2456" s="121">
        <v>22</v>
      </c>
      <c r="D2456" s="734">
        <v>136.41132316154827</v>
      </c>
      <c r="E2456" s="733"/>
    </row>
    <row r="2457" spans="2:5">
      <c r="B2457" s="121">
        <v>226</v>
      </c>
      <c r="C2457" s="121">
        <v>23</v>
      </c>
      <c r="D2457" s="734">
        <v>145.69563118768625</v>
      </c>
      <c r="E2457" s="733"/>
    </row>
    <row r="2458" spans="2:5">
      <c r="B2458" s="121">
        <v>226</v>
      </c>
      <c r="C2458" s="121">
        <v>24</v>
      </c>
      <c r="D2458" s="734">
        <v>140.69806230107932</v>
      </c>
      <c r="E2458" s="733"/>
    </row>
    <row r="2459" spans="2:5">
      <c r="B2459" s="121">
        <v>226</v>
      </c>
      <c r="C2459" s="121">
        <v>25</v>
      </c>
      <c r="D2459" s="734">
        <v>141.98568094440824</v>
      </c>
      <c r="E2459" s="733"/>
    </row>
    <row r="2460" spans="2:5">
      <c r="B2460" s="121">
        <v>226</v>
      </c>
      <c r="C2460" s="121">
        <v>26</v>
      </c>
      <c r="D2460" s="734">
        <v>145.92560268888047</v>
      </c>
      <c r="E2460" s="733"/>
    </row>
    <row r="2461" spans="2:5">
      <c r="B2461" s="121">
        <v>226</v>
      </c>
      <c r="C2461" s="121">
        <v>27</v>
      </c>
      <c r="D2461" s="734">
        <v>134.79159363836715</v>
      </c>
      <c r="E2461" s="733"/>
    </row>
    <row r="2462" spans="2:5">
      <c r="B2462" s="121">
        <v>226</v>
      </c>
      <c r="C2462" s="121">
        <v>28</v>
      </c>
      <c r="D2462" s="734">
        <v>139.65762820521999</v>
      </c>
      <c r="E2462" s="733"/>
    </row>
    <row r="2463" spans="2:5">
      <c r="B2463" s="121">
        <v>226</v>
      </c>
      <c r="C2463" s="121">
        <v>29</v>
      </c>
      <c r="D2463" s="734">
        <v>137.86271042147337</v>
      </c>
      <c r="E2463" s="733"/>
    </row>
    <row r="2464" spans="2:5">
      <c r="B2464" s="121">
        <v>226</v>
      </c>
      <c r="C2464" s="121">
        <v>30</v>
      </c>
      <c r="D2464" s="734">
        <v>135.19144819883891</v>
      </c>
      <c r="E2464" s="733"/>
    </row>
    <row r="2465" spans="2:5">
      <c r="B2465" s="121">
        <v>226</v>
      </c>
      <c r="C2465" s="121">
        <v>31</v>
      </c>
      <c r="D2465" s="734">
        <v>146.06550477862794</v>
      </c>
      <c r="E2465" s="733"/>
    </row>
    <row r="2466" spans="2:5">
      <c r="B2466" s="121">
        <v>226</v>
      </c>
      <c r="C2466" s="121">
        <v>32</v>
      </c>
      <c r="D2466" s="734">
        <v>139.66300933723804</v>
      </c>
      <c r="E2466" s="733"/>
    </row>
    <row r="2467" spans="2:5">
      <c r="B2467" s="121">
        <v>226</v>
      </c>
      <c r="C2467" s="121">
        <v>33</v>
      </c>
      <c r="D2467" s="734">
        <v>141.75127715585862</v>
      </c>
      <c r="E2467" s="733"/>
    </row>
    <row r="2468" spans="2:5">
      <c r="B2468" s="121">
        <v>226</v>
      </c>
      <c r="C2468" s="121">
        <v>34</v>
      </c>
      <c r="D2468" s="734">
        <v>143.33998503147293</v>
      </c>
      <c r="E2468" s="733"/>
    </row>
    <row r="2469" spans="2:5">
      <c r="B2469" s="121">
        <v>226</v>
      </c>
      <c r="C2469" s="121">
        <v>35</v>
      </c>
      <c r="D2469" s="734">
        <v>140.04174057568864</v>
      </c>
      <c r="E2469" s="733"/>
    </row>
    <row r="2470" spans="2:5">
      <c r="B2470" s="121">
        <v>226</v>
      </c>
      <c r="C2470" s="121">
        <v>36</v>
      </c>
      <c r="D2470" s="734">
        <v>136.5693345459627</v>
      </c>
      <c r="E2470" s="733"/>
    </row>
    <row r="2471" spans="2:5">
      <c r="B2471" s="121">
        <v>227</v>
      </c>
      <c r="C2471" s="121">
        <v>1</v>
      </c>
      <c r="D2471" s="734">
        <v>5</v>
      </c>
      <c r="E2471" s="733"/>
    </row>
    <row r="2472" spans="2:5">
      <c r="B2472" s="121">
        <v>228</v>
      </c>
      <c r="C2472" s="121">
        <v>1</v>
      </c>
      <c r="D2472" s="734">
        <v>5</v>
      </c>
      <c r="E2472" s="733"/>
    </row>
    <row r="2473" spans="2:5">
      <c r="B2473" s="121">
        <v>228</v>
      </c>
      <c r="C2473" s="121">
        <v>2</v>
      </c>
      <c r="D2473" s="734">
        <v>99.793158762673258</v>
      </c>
      <c r="E2473" s="733"/>
    </row>
    <row r="2474" spans="2:5">
      <c r="B2474" s="121">
        <v>228</v>
      </c>
      <c r="C2474" s="121">
        <v>3</v>
      </c>
      <c r="D2474" s="734">
        <v>121.71560209636951</v>
      </c>
      <c r="E2474" s="733"/>
    </row>
    <row r="2475" spans="2:5">
      <c r="B2475" s="121">
        <v>228</v>
      </c>
      <c r="C2475" s="121">
        <v>4</v>
      </c>
      <c r="D2475" s="734">
        <v>138.39348076503444</v>
      </c>
      <c r="E2475" s="733"/>
    </row>
    <row r="2476" spans="2:5">
      <c r="B2476" s="121">
        <v>228</v>
      </c>
      <c r="C2476" s="121">
        <v>5</v>
      </c>
      <c r="D2476" s="734">
        <v>140.88910168661593</v>
      </c>
      <c r="E2476" s="733"/>
    </row>
    <row r="2477" spans="2:5">
      <c r="B2477" s="121">
        <v>228</v>
      </c>
      <c r="C2477" s="121">
        <v>6</v>
      </c>
      <c r="D2477" s="734">
        <v>135.71302026466623</v>
      </c>
      <c r="E2477" s="733"/>
    </row>
    <row r="2478" spans="2:5">
      <c r="B2478" s="121">
        <v>228</v>
      </c>
      <c r="C2478" s="121">
        <v>7</v>
      </c>
      <c r="D2478" s="734">
        <v>136.24404818702592</v>
      </c>
      <c r="E2478" s="733"/>
    </row>
    <row r="2479" spans="2:5">
      <c r="B2479" s="121">
        <v>228</v>
      </c>
      <c r="C2479" s="121">
        <v>8</v>
      </c>
      <c r="D2479" s="734">
        <v>142.72182647051582</v>
      </c>
      <c r="E2479" s="733"/>
    </row>
    <row r="2480" spans="2:5">
      <c r="B2480" s="121">
        <v>228</v>
      </c>
      <c r="C2480" s="121">
        <v>9</v>
      </c>
      <c r="D2480" s="734">
        <v>139.06427792179772</v>
      </c>
      <c r="E2480" s="733"/>
    </row>
    <row r="2481" spans="2:5">
      <c r="B2481" s="121">
        <v>228</v>
      </c>
      <c r="C2481" s="121">
        <v>10</v>
      </c>
      <c r="D2481" s="734">
        <v>139.08182456140688</v>
      </c>
      <c r="E2481" s="733"/>
    </row>
    <row r="2482" spans="2:5">
      <c r="B2482" s="121">
        <v>228</v>
      </c>
      <c r="C2482" s="121">
        <v>11</v>
      </c>
      <c r="D2482" s="734">
        <v>136.66648697977723</v>
      </c>
      <c r="E2482" s="733"/>
    </row>
    <row r="2483" spans="2:5">
      <c r="B2483" s="121">
        <v>228</v>
      </c>
      <c r="C2483" s="121">
        <v>12</v>
      </c>
      <c r="D2483" s="734">
        <v>138.97558705779701</v>
      </c>
      <c r="E2483" s="733"/>
    </row>
    <row r="2484" spans="2:5">
      <c r="B2484" s="121">
        <v>228</v>
      </c>
      <c r="C2484" s="121">
        <v>13</v>
      </c>
      <c r="D2484" s="734">
        <v>145.56234365638321</v>
      </c>
      <c r="E2484" s="733"/>
    </row>
    <row r="2485" spans="2:5">
      <c r="B2485" s="121">
        <v>228</v>
      </c>
      <c r="C2485" s="121">
        <v>14</v>
      </c>
      <c r="D2485" s="734">
        <v>146.90070925922544</v>
      </c>
      <c r="E2485" s="733"/>
    </row>
    <row r="2486" spans="2:5">
      <c r="B2486" s="121">
        <v>228</v>
      </c>
      <c r="C2486" s="121">
        <v>15</v>
      </c>
      <c r="D2486" s="734">
        <v>134.99370856011242</v>
      </c>
      <c r="E2486" s="733"/>
    </row>
    <row r="2487" spans="2:5">
      <c r="B2487" s="121">
        <v>228</v>
      </c>
      <c r="C2487" s="121">
        <v>16</v>
      </c>
      <c r="D2487" s="734">
        <v>134.98041970179162</v>
      </c>
      <c r="E2487" s="733"/>
    </row>
    <row r="2488" spans="2:5">
      <c r="B2488" s="121">
        <v>228</v>
      </c>
      <c r="C2488" s="121">
        <v>17</v>
      </c>
      <c r="D2488" s="734">
        <v>142.36585389686019</v>
      </c>
      <c r="E2488" s="733"/>
    </row>
    <row r="2489" spans="2:5">
      <c r="B2489" s="121">
        <v>228</v>
      </c>
      <c r="C2489" s="121">
        <v>18</v>
      </c>
      <c r="D2489" s="734">
        <v>138.64294912401391</v>
      </c>
      <c r="E2489" s="733"/>
    </row>
    <row r="2490" spans="2:5">
      <c r="B2490" s="121">
        <v>228</v>
      </c>
      <c r="C2490" s="121">
        <v>19</v>
      </c>
      <c r="D2490" s="734">
        <v>138.71619428669547</v>
      </c>
      <c r="E2490" s="733"/>
    </row>
    <row r="2491" spans="2:5">
      <c r="B2491" s="121">
        <v>228</v>
      </c>
      <c r="C2491" s="121">
        <v>20</v>
      </c>
      <c r="D2491" s="734">
        <v>144.40241190358867</v>
      </c>
      <c r="E2491" s="733"/>
    </row>
    <row r="2492" spans="2:5">
      <c r="B2492" s="121">
        <v>228</v>
      </c>
      <c r="C2492" s="121">
        <v>21</v>
      </c>
      <c r="D2492" s="734">
        <v>141.24079012288448</v>
      </c>
      <c r="E2492" s="733"/>
    </row>
    <row r="2493" spans="2:5">
      <c r="B2493" s="121">
        <v>228</v>
      </c>
      <c r="C2493" s="121">
        <v>22</v>
      </c>
      <c r="D2493" s="734">
        <v>142.63256247652544</v>
      </c>
      <c r="E2493" s="733"/>
    </row>
    <row r="2494" spans="2:5">
      <c r="B2494" s="121">
        <v>228</v>
      </c>
      <c r="C2494" s="121">
        <v>23</v>
      </c>
      <c r="D2494" s="734">
        <v>137.59800242069167</v>
      </c>
      <c r="E2494" s="733"/>
    </row>
    <row r="2495" spans="2:5">
      <c r="B2495" s="121">
        <v>228</v>
      </c>
      <c r="C2495" s="121">
        <v>24</v>
      </c>
      <c r="D2495" s="734">
        <v>136.87746687188982</v>
      </c>
      <c r="E2495" s="733"/>
    </row>
    <row r="2496" spans="2:5">
      <c r="B2496" s="121">
        <v>228</v>
      </c>
      <c r="C2496" s="121">
        <v>25</v>
      </c>
      <c r="D2496" s="734">
        <v>143.28079599195723</v>
      </c>
      <c r="E2496" s="733"/>
    </row>
    <row r="2497" spans="2:5">
      <c r="B2497" s="121">
        <v>228</v>
      </c>
      <c r="C2497" s="121">
        <v>26</v>
      </c>
      <c r="D2497" s="734">
        <v>140.91471390867085</v>
      </c>
      <c r="E2497" s="733"/>
    </row>
    <row r="2498" spans="2:5">
      <c r="B2498" s="121">
        <v>228</v>
      </c>
      <c r="C2498" s="121">
        <v>27</v>
      </c>
      <c r="D2498" s="734">
        <v>146.42854629390024</v>
      </c>
      <c r="E2498" s="733"/>
    </row>
    <row r="2499" spans="2:5">
      <c r="B2499" s="121">
        <v>228</v>
      </c>
      <c r="C2499" s="121">
        <v>28</v>
      </c>
      <c r="D2499" s="734">
        <v>144.73369642797297</v>
      </c>
      <c r="E2499" s="733"/>
    </row>
    <row r="2500" spans="2:5">
      <c r="B2500" s="121">
        <v>228</v>
      </c>
      <c r="C2500" s="121">
        <v>29</v>
      </c>
      <c r="D2500" s="734">
        <v>147.06696353458551</v>
      </c>
      <c r="E2500" s="733"/>
    </row>
    <row r="2501" spans="2:5">
      <c r="B2501" s="121">
        <v>228</v>
      </c>
      <c r="C2501" s="121">
        <v>30</v>
      </c>
      <c r="D2501" s="734">
        <v>137.75185580844166</v>
      </c>
      <c r="E2501" s="733"/>
    </row>
    <row r="2502" spans="2:5">
      <c r="B2502" s="121">
        <v>228</v>
      </c>
      <c r="C2502" s="121">
        <v>31</v>
      </c>
      <c r="D2502" s="734">
        <v>136.06845012327955</v>
      </c>
      <c r="E2502" s="733"/>
    </row>
    <row r="2503" spans="2:5">
      <c r="B2503" s="121">
        <v>228</v>
      </c>
      <c r="C2503" s="121">
        <v>32</v>
      </c>
      <c r="D2503" s="734">
        <v>139.42597659320728</v>
      </c>
      <c r="E2503" s="733"/>
    </row>
    <row r="2504" spans="2:5">
      <c r="B2504" s="121">
        <v>228</v>
      </c>
      <c r="C2504" s="121">
        <v>33</v>
      </c>
      <c r="D2504" s="734">
        <v>137.93654457274189</v>
      </c>
      <c r="E2504" s="733"/>
    </row>
    <row r="2505" spans="2:5">
      <c r="B2505" s="121">
        <v>228</v>
      </c>
      <c r="C2505" s="121">
        <v>34</v>
      </c>
      <c r="D2505" s="734">
        <v>135.90359195513662</v>
      </c>
      <c r="E2505" s="733"/>
    </row>
    <row r="2506" spans="2:5">
      <c r="B2506" s="121">
        <v>228</v>
      </c>
      <c r="C2506" s="121">
        <v>35</v>
      </c>
      <c r="D2506" s="734">
        <v>137.65915107297599</v>
      </c>
      <c r="E2506" s="733"/>
    </row>
    <row r="2507" spans="2:5">
      <c r="B2507" s="121">
        <v>228</v>
      </c>
      <c r="C2507" s="121">
        <v>36</v>
      </c>
      <c r="D2507" s="734">
        <v>140.93135204669451</v>
      </c>
      <c r="E2507" s="733"/>
    </row>
    <row r="2508" spans="2:5">
      <c r="B2508" s="121">
        <v>229</v>
      </c>
      <c r="C2508" s="121">
        <v>1</v>
      </c>
      <c r="D2508" s="734">
        <v>5</v>
      </c>
      <c r="E2508" s="733"/>
    </row>
    <row r="2509" spans="2:5">
      <c r="B2509" s="121">
        <v>229</v>
      </c>
      <c r="C2509" s="121">
        <v>2</v>
      </c>
      <c r="D2509" s="734">
        <v>103.04752977834673</v>
      </c>
      <c r="E2509" s="733"/>
    </row>
    <row r="2510" spans="2:5">
      <c r="B2510" s="121">
        <v>229</v>
      </c>
      <c r="C2510" s="121">
        <v>3</v>
      </c>
      <c r="D2510" s="734">
        <v>119.61633387715126</v>
      </c>
      <c r="E2510" s="733"/>
    </row>
    <row r="2511" spans="2:5">
      <c r="B2511" s="121">
        <v>229</v>
      </c>
      <c r="C2511" s="121">
        <v>4</v>
      </c>
      <c r="D2511" s="734">
        <v>145.33996636711839</v>
      </c>
      <c r="E2511" s="733"/>
    </row>
    <row r="2512" spans="2:5">
      <c r="B2512" s="121">
        <v>229</v>
      </c>
      <c r="C2512" s="121">
        <v>5</v>
      </c>
      <c r="D2512" s="734">
        <v>141.64400432062757</v>
      </c>
      <c r="E2512" s="733"/>
    </row>
    <row r="2513" spans="2:5">
      <c r="B2513" s="121">
        <v>230</v>
      </c>
      <c r="C2513" s="121">
        <v>1</v>
      </c>
      <c r="D2513" s="734">
        <v>5</v>
      </c>
      <c r="E2513" s="733"/>
    </row>
    <row r="2514" spans="2:5">
      <c r="B2514" s="121">
        <v>230</v>
      </c>
      <c r="C2514" s="121">
        <v>2</v>
      </c>
      <c r="D2514" s="734">
        <v>94.194937161414018</v>
      </c>
      <c r="E2514" s="733"/>
    </row>
    <row r="2515" spans="2:5">
      <c r="B2515" s="121">
        <v>230</v>
      </c>
      <c r="C2515" s="121">
        <v>3</v>
      </c>
      <c r="D2515" s="734">
        <v>114.82765033192939</v>
      </c>
      <c r="E2515" s="733"/>
    </row>
    <row r="2516" spans="2:5">
      <c r="B2516" s="121">
        <v>230</v>
      </c>
      <c r="C2516" s="121">
        <v>4</v>
      </c>
      <c r="D2516" s="734">
        <v>138.46485789202421</v>
      </c>
      <c r="E2516" s="733"/>
    </row>
    <row r="2517" spans="2:5">
      <c r="B2517" s="121">
        <v>230</v>
      </c>
      <c r="C2517" s="121">
        <v>5</v>
      </c>
      <c r="D2517" s="734">
        <v>134.60233151286181</v>
      </c>
      <c r="E2517" s="733"/>
    </row>
    <row r="2518" spans="2:5">
      <c r="B2518" s="121">
        <v>230</v>
      </c>
      <c r="C2518" s="121">
        <v>6</v>
      </c>
      <c r="D2518" s="734">
        <v>142.37159100998289</v>
      </c>
      <c r="E2518" s="733"/>
    </row>
    <row r="2519" spans="2:5">
      <c r="B2519" s="121">
        <v>230</v>
      </c>
      <c r="C2519" s="121">
        <v>7</v>
      </c>
      <c r="D2519" s="734">
        <v>137.81052178000124</v>
      </c>
      <c r="E2519" s="733"/>
    </row>
    <row r="2520" spans="2:5">
      <c r="B2520" s="121">
        <v>230</v>
      </c>
      <c r="C2520" s="121">
        <v>8</v>
      </c>
      <c r="D2520" s="734">
        <v>143.67251870635343</v>
      </c>
      <c r="E2520" s="733"/>
    </row>
    <row r="2521" spans="2:5">
      <c r="B2521" s="121">
        <v>230</v>
      </c>
      <c r="C2521" s="121">
        <v>9</v>
      </c>
      <c r="D2521" s="734">
        <v>145.58767156383473</v>
      </c>
      <c r="E2521" s="733"/>
    </row>
    <row r="2522" spans="2:5">
      <c r="B2522" s="121">
        <v>230</v>
      </c>
      <c r="C2522" s="121">
        <v>10</v>
      </c>
      <c r="D2522" s="734">
        <v>139.72825137722396</v>
      </c>
      <c r="E2522" s="733"/>
    </row>
    <row r="2523" spans="2:5">
      <c r="B2523" s="121">
        <v>230</v>
      </c>
      <c r="C2523" s="121">
        <v>11</v>
      </c>
      <c r="D2523" s="734">
        <v>137.44870845374348</v>
      </c>
      <c r="E2523" s="733"/>
    </row>
    <row r="2524" spans="2:5">
      <c r="B2524" s="121">
        <v>230</v>
      </c>
      <c r="C2524" s="121">
        <v>12</v>
      </c>
      <c r="D2524" s="734">
        <v>143.22895826434018</v>
      </c>
      <c r="E2524" s="733"/>
    </row>
    <row r="2525" spans="2:5">
      <c r="B2525" s="121">
        <v>230</v>
      </c>
      <c r="C2525" s="121">
        <v>13</v>
      </c>
      <c r="D2525" s="734">
        <v>136.64398776406696</v>
      </c>
      <c r="E2525" s="733"/>
    </row>
    <row r="2526" spans="2:5">
      <c r="B2526" s="121">
        <v>231</v>
      </c>
      <c r="C2526" s="121">
        <v>1</v>
      </c>
      <c r="D2526" s="734">
        <v>5</v>
      </c>
      <c r="E2526" s="733"/>
    </row>
    <row r="2527" spans="2:5">
      <c r="B2527" s="121">
        <v>231</v>
      </c>
      <c r="C2527" s="121">
        <v>2</v>
      </c>
      <c r="D2527" s="734">
        <v>103.04012127543652</v>
      </c>
      <c r="E2527" s="733"/>
    </row>
    <row r="2528" spans="2:5">
      <c r="B2528" s="121">
        <v>231</v>
      </c>
      <c r="C2528" s="121">
        <v>3</v>
      </c>
      <c r="D2528" s="734">
        <v>116.6420883397293</v>
      </c>
      <c r="E2528" s="733"/>
    </row>
    <row r="2529" spans="2:5">
      <c r="B2529" s="121">
        <v>231</v>
      </c>
      <c r="C2529" s="121">
        <v>4</v>
      </c>
      <c r="D2529" s="734">
        <v>141.77185065719971</v>
      </c>
      <c r="E2529" s="733"/>
    </row>
    <row r="2530" spans="2:5">
      <c r="B2530" s="121">
        <v>231</v>
      </c>
      <c r="C2530" s="121">
        <v>5</v>
      </c>
      <c r="D2530" s="734">
        <v>145.781986916378</v>
      </c>
      <c r="E2530" s="733"/>
    </row>
    <row r="2531" spans="2:5">
      <c r="B2531" s="121">
        <v>231</v>
      </c>
      <c r="C2531" s="121">
        <v>6</v>
      </c>
      <c r="D2531" s="734">
        <v>137.91358987627481</v>
      </c>
      <c r="E2531" s="733"/>
    </row>
    <row r="2532" spans="2:5">
      <c r="B2532" s="121">
        <v>231</v>
      </c>
      <c r="C2532" s="121">
        <v>7</v>
      </c>
      <c r="D2532" s="734">
        <v>136.74638522555267</v>
      </c>
      <c r="E2532" s="733"/>
    </row>
    <row r="2533" spans="2:5">
      <c r="B2533" s="121">
        <v>231</v>
      </c>
      <c r="C2533" s="121">
        <v>8</v>
      </c>
      <c r="D2533" s="734">
        <v>140.71620477411707</v>
      </c>
      <c r="E2533" s="733"/>
    </row>
    <row r="2534" spans="2:5">
      <c r="B2534" s="121">
        <v>232</v>
      </c>
      <c r="C2534" s="121">
        <v>1</v>
      </c>
      <c r="D2534" s="734">
        <v>5</v>
      </c>
      <c r="E2534" s="733"/>
    </row>
    <row r="2535" spans="2:5">
      <c r="B2535" s="121">
        <v>232</v>
      </c>
      <c r="C2535" s="121">
        <v>2</v>
      </c>
      <c r="D2535" s="734">
        <v>94.862918811315041</v>
      </c>
      <c r="E2535" s="733"/>
    </row>
    <row r="2536" spans="2:5">
      <c r="B2536" s="121">
        <v>232</v>
      </c>
      <c r="C2536" s="121">
        <v>3</v>
      </c>
      <c r="D2536" s="734">
        <v>124.07113414428221</v>
      </c>
      <c r="E2536" s="733"/>
    </row>
    <row r="2537" spans="2:5">
      <c r="B2537" s="121">
        <v>232</v>
      </c>
      <c r="C2537" s="121">
        <v>4</v>
      </c>
      <c r="D2537" s="734">
        <v>138.32680219288372</v>
      </c>
      <c r="E2537" s="733"/>
    </row>
    <row r="2538" spans="2:5">
      <c r="B2538" s="121">
        <v>232</v>
      </c>
      <c r="C2538" s="121">
        <v>5</v>
      </c>
      <c r="D2538" s="734">
        <v>145.6903268691039</v>
      </c>
      <c r="E2538" s="733"/>
    </row>
    <row r="2539" spans="2:5">
      <c r="B2539" s="121">
        <v>232</v>
      </c>
      <c r="C2539" s="121">
        <v>6</v>
      </c>
      <c r="D2539" s="734">
        <v>144.31619149998204</v>
      </c>
      <c r="E2539" s="733"/>
    </row>
    <row r="2540" spans="2:5">
      <c r="B2540" s="121">
        <v>232</v>
      </c>
      <c r="C2540" s="121">
        <v>7</v>
      </c>
      <c r="D2540" s="734">
        <v>140.57346999838964</v>
      </c>
      <c r="E2540" s="733"/>
    </row>
    <row r="2541" spans="2:5">
      <c r="B2541" s="121">
        <v>232</v>
      </c>
      <c r="C2541" s="121">
        <v>8</v>
      </c>
      <c r="D2541" s="734">
        <v>137.32754041697567</v>
      </c>
      <c r="E2541" s="733"/>
    </row>
    <row r="2542" spans="2:5">
      <c r="B2542" s="121">
        <v>232</v>
      </c>
      <c r="C2542" s="121">
        <v>9</v>
      </c>
      <c r="D2542" s="734">
        <v>134.61106673160157</v>
      </c>
      <c r="E2542" s="733"/>
    </row>
    <row r="2543" spans="2:5">
      <c r="B2543" s="121">
        <v>232</v>
      </c>
      <c r="C2543" s="121">
        <v>10</v>
      </c>
      <c r="D2543" s="734">
        <v>135.56068299640097</v>
      </c>
      <c r="E2543" s="733"/>
    </row>
    <row r="2544" spans="2:5">
      <c r="B2544" s="121">
        <v>232</v>
      </c>
      <c r="C2544" s="121">
        <v>11</v>
      </c>
      <c r="D2544" s="734">
        <v>142.83153972103139</v>
      </c>
      <c r="E2544" s="733"/>
    </row>
    <row r="2545" spans="2:5">
      <c r="B2545" s="121">
        <v>232</v>
      </c>
      <c r="C2545" s="121">
        <v>12</v>
      </c>
      <c r="D2545" s="734">
        <v>140.55539145147449</v>
      </c>
      <c r="E2545" s="733"/>
    </row>
    <row r="2546" spans="2:5">
      <c r="B2546" s="121">
        <v>232</v>
      </c>
      <c r="C2546" s="121">
        <v>13</v>
      </c>
      <c r="D2546" s="734">
        <v>141.66239403701746</v>
      </c>
      <c r="E2546" s="733"/>
    </row>
    <row r="2547" spans="2:5">
      <c r="B2547" s="121">
        <v>232</v>
      </c>
      <c r="C2547" s="121">
        <v>14</v>
      </c>
      <c r="D2547" s="734">
        <v>138.30472116644523</v>
      </c>
      <c r="E2547" s="733"/>
    </row>
    <row r="2548" spans="2:5">
      <c r="B2548" s="121">
        <v>232</v>
      </c>
      <c r="C2548" s="121">
        <v>15</v>
      </c>
      <c r="D2548" s="734">
        <v>143.45082699831684</v>
      </c>
      <c r="E2548" s="733"/>
    </row>
    <row r="2549" spans="2:5">
      <c r="B2549" s="121">
        <v>232</v>
      </c>
      <c r="C2549" s="121">
        <v>16</v>
      </c>
      <c r="D2549" s="734">
        <v>140.07801677570768</v>
      </c>
      <c r="E2549" s="733"/>
    </row>
    <row r="2550" spans="2:5">
      <c r="B2550" s="121">
        <v>232</v>
      </c>
      <c r="C2550" s="121">
        <v>17</v>
      </c>
      <c r="D2550" s="734">
        <v>141.2940934374696</v>
      </c>
      <c r="E2550" s="733"/>
    </row>
    <row r="2551" spans="2:5">
      <c r="B2551" s="121">
        <v>232</v>
      </c>
      <c r="C2551" s="121">
        <v>18</v>
      </c>
      <c r="D2551" s="734">
        <v>134.61361107666647</v>
      </c>
      <c r="E2551" s="733"/>
    </row>
    <row r="2552" spans="2:5">
      <c r="B2552" s="121">
        <v>232</v>
      </c>
      <c r="C2552" s="121">
        <v>19</v>
      </c>
      <c r="D2552" s="734">
        <v>138.5878656349372</v>
      </c>
      <c r="E2552" s="733"/>
    </row>
    <row r="2553" spans="2:5">
      <c r="B2553" s="121">
        <v>233</v>
      </c>
      <c r="C2553" s="121">
        <v>1</v>
      </c>
      <c r="D2553" s="734">
        <v>5</v>
      </c>
      <c r="E2553" s="733"/>
    </row>
    <row r="2554" spans="2:5">
      <c r="B2554" s="121">
        <v>233</v>
      </c>
      <c r="C2554" s="121">
        <v>2</v>
      </c>
      <c r="D2554" s="734">
        <v>98.394143127989608</v>
      </c>
      <c r="E2554" s="733"/>
    </row>
    <row r="2555" spans="2:5">
      <c r="B2555" s="121">
        <v>233</v>
      </c>
      <c r="C2555" s="121">
        <v>3</v>
      </c>
      <c r="D2555" s="734">
        <v>116.91658975656574</v>
      </c>
      <c r="E2555" s="733"/>
    </row>
    <row r="2556" spans="2:5">
      <c r="B2556" s="121">
        <v>233</v>
      </c>
      <c r="C2556" s="121">
        <v>4</v>
      </c>
      <c r="D2556" s="734">
        <v>140.67381585329218</v>
      </c>
      <c r="E2556" s="733"/>
    </row>
    <row r="2557" spans="2:5">
      <c r="B2557" s="121">
        <v>233</v>
      </c>
      <c r="C2557" s="121">
        <v>5</v>
      </c>
      <c r="D2557" s="734">
        <v>145.81383422208839</v>
      </c>
      <c r="E2557" s="733"/>
    </row>
    <row r="2558" spans="2:5">
      <c r="B2558" s="121">
        <v>233</v>
      </c>
      <c r="C2558" s="121">
        <v>6</v>
      </c>
      <c r="D2558" s="734">
        <v>145.79893345597267</v>
      </c>
      <c r="E2558" s="733"/>
    </row>
    <row r="2559" spans="2:5">
      <c r="B2559" s="121">
        <v>233</v>
      </c>
      <c r="C2559" s="121">
        <v>7</v>
      </c>
      <c r="D2559" s="734">
        <v>143.50194907404628</v>
      </c>
      <c r="E2559" s="733"/>
    </row>
    <row r="2560" spans="2:5">
      <c r="B2560" s="121">
        <v>233</v>
      </c>
      <c r="C2560" s="121">
        <v>8</v>
      </c>
      <c r="D2560" s="734">
        <v>146.80661952733092</v>
      </c>
      <c r="E2560" s="733"/>
    </row>
    <row r="2561" spans="2:5">
      <c r="B2561" s="121">
        <v>233</v>
      </c>
      <c r="C2561" s="121">
        <v>9</v>
      </c>
      <c r="D2561" s="734">
        <v>140.63655060195404</v>
      </c>
      <c r="E2561" s="733"/>
    </row>
    <row r="2562" spans="2:5">
      <c r="B2562" s="121">
        <v>233</v>
      </c>
      <c r="C2562" s="121">
        <v>10</v>
      </c>
      <c r="D2562" s="734">
        <v>138.2358424686845</v>
      </c>
      <c r="E2562" s="733"/>
    </row>
    <row r="2563" spans="2:5">
      <c r="B2563" s="121">
        <v>233</v>
      </c>
      <c r="C2563" s="121">
        <v>11</v>
      </c>
      <c r="D2563" s="734">
        <v>142.74137881278151</v>
      </c>
      <c r="E2563" s="733"/>
    </row>
    <row r="2564" spans="2:5">
      <c r="B2564" s="121">
        <v>233</v>
      </c>
      <c r="C2564" s="121">
        <v>12</v>
      </c>
      <c r="D2564" s="734">
        <v>137.54606406160079</v>
      </c>
      <c r="E2564" s="733"/>
    </row>
    <row r="2565" spans="2:5">
      <c r="B2565" s="121">
        <v>233</v>
      </c>
      <c r="C2565" s="121">
        <v>13</v>
      </c>
      <c r="D2565" s="734">
        <v>140.58609328207061</v>
      </c>
      <c r="E2565" s="733"/>
    </row>
    <row r="2566" spans="2:5">
      <c r="B2566" s="121">
        <v>233</v>
      </c>
      <c r="C2566" s="121">
        <v>14</v>
      </c>
      <c r="D2566" s="734">
        <v>136.68055793612581</v>
      </c>
      <c r="E2566" s="733"/>
    </row>
    <row r="2567" spans="2:5">
      <c r="B2567" s="121">
        <v>233</v>
      </c>
      <c r="C2567" s="121">
        <v>15</v>
      </c>
      <c r="D2567" s="734">
        <v>144.72619332284685</v>
      </c>
      <c r="E2567" s="733"/>
    </row>
    <row r="2568" spans="2:5">
      <c r="B2568" s="121">
        <v>233</v>
      </c>
      <c r="C2568" s="121">
        <v>16</v>
      </c>
      <c r="D2568" s="734">
        <v>133.74001270910071</v>
      </c>
      <c r="E2568" s="733"/>
    </row>
    <row r="2569" spans="2:5">
      <c r="B2569" s="121">
        <v>233</v>
      </c>
      <c r="C2569" s="121">
        <v>17</v>
      </c>
      <c r="D2569" s="734">
        <v>143.62109928787646</v>
      </c>
      <c r="E2569" s="733"/>
    </row>
    <row r="2570" spans="2:5">
      <c r="B2570" s="121">
        <v>233</v>
      </c>
      <c r="C2570" s="121">
        <v>18</v>
      </c>
      <c r="D2570" s="734">
        <v>135.99303814528582</v>
      </c>
      <c r="E2570" s="733"/>
    </row>
    <row r="2571" spans="2:5">
      <c r="B2571" s="121">
        <v>233</v>
      </c>
      <c r="C2571" s="121">
        <v>19</v>
      </c>
      <c r="D2571" s="734">
        <v>146.4446064482166</v>
      </c>
      <c r="E2571" s="733"/>
    </row>
    <row r="2572" spans="2:5">
      <c r="B2572" s="121">
        <v>233</v>
      </c>
      <c r="C2572" s="121">
        <v>20</v>
      </c>
      <c r="D2572" s="734">
        <v>137.7402682701987</v>
      </c>
      <c r="E2572" s="733"/>
    </row>
    <row r="2573" spans="2:5">
      <c r="B2573" s="121">
        <v>233</v>
      </c>
      <c r="C2573" s="121">
        <v>21</v>
      </c>
      <c r="D2573" s="734">
        <v>146.78311291309063</v>
      </c>
      <c r="E2573" s="733"/>
    </row>
    <row r="2574" spans="2:5">
      <c r="B2574" s="121">
        <v>233</v>
      </c>
      <c r="C2574" s="121">
        <v>22</v>
      </c>
      <c r="D2574" s="734">
        <v>140.65490429087873</v>
      </c>
      <c r="E2574" s="733"/>
    </row>
    <row r="2575" spans="2:5">
      <c r="B2575" s="121">
        <v>233</v>
      </c>
      <c r="C2575" s="121">
        <v>23</v>
      </c>
      <c r="D2575" s="734">
        <v>145.9934362227043</v>
      </c>
      <c r="E2575" s="733"/>
    </row>
    <row r="2576" spans="2:5">
      <c r="B2576" s="121">
        <v>233</v>
      </c>
      <c r="C2576" s="121">
        <v>24</v>
      </c>
      <c r="D2576" s="734">
        <v>146.72708025763805</v>
      </c>
      <c r="E2576" s="733"/>
    </row>
    <row r="2577" spans="2:5">
      <c r="B2577" s="121">
        <v>233</v>
      </c>
      <c r="C2577" s="121">
        <v>25</v>
      </c>
      <c r="D2577" s="734">
        <v>135.36266083740281</v>
      </c>
      <c r="E2577" s="733"/>
    </row>
    <row r="2578" spans="2:5">
      <c r="B2578" s="121">
        <v>233</v>
      </c>
      <c r="C2578" s="121">
        <v>26</v>
      </c>
      <c r="D2578" s="734">
        <v>145.59896231946385</v>
      </c>
      <c r="E2578" s="733"/>
    </row>
    <row r="2579" spans="2:5">
      <c r="B2579" s="121">
        <v>233</v>
      </c>
      <c r="C2579" s="121">
        <v>27</v>
      </c>
      <c r="D2579" s="734">
        <v>138.75453275511924</v>
      </c>
      <c r="E2579" s="733"/>
    </row>
    <row r="2580" spans="2:5">
      <c r="B2580" s="121">
        <v>233</v>
      </c>
      <c r="C2580" s="121">
        <v>28</v>
      </c>
      <c r="D2580" s="734">
        <v>143.20311190922641</v>
      </c>
      <c r="E2580" s="733"/>
    </row>
    <row r="2581" spans="2:5">
      <c r="B2581" s="121">
        <v>233</v>
      </c>
      <c r="C2581" s="121">
        <v>29</v>
      </c>
      <c r="D2581" s="734">
        <v>141.88814615776116</v>
      </c>
      <c r="E2581" s="733"/>
    </row>
    <row r="2582" spans="2:5">
      <c r="B2582" s="121">
        <v>233</v>
      </c>
      <c r="C2582" s="121">
        <v>30</v>
      </c>
      <c r="D2582" s="734">
        <v>145.66771093067629</v>
      </c>
      <c r="E2582" s="733"/>
    </row>
    <row r="2583" spans="2:5">
      <c r="B2583" s="121">
        <v>233</v>
      </c>
      <c r="C2583" s="121">
        <v>31</v>
      </c>
      <c r="D2583" s="734">
        <v>141.98597220265353</v>
      </c>
      <c r="E2583" s="733"/>
    </row>
    <row r="2584" spans="2:5">
      <c r="B2584" s="121">
        <v>233</v>
      </c>
      <c r="C2584" s="121">
        <v>32</v>
      </c>
      <c r="D2584" s="734">
        <v>137.53392930075978</v>
      </c>
      <c r="E2584" s="733"/>
    </row>
    <row r="2585" spans="2:5">
      <c r="B2585" s="121">
        <v>233</v>
      </c>
      <c r="C2585" s="121">
        <v>33</v>
      </c>
      <c r="D2585" s="734">
        <v>139.84507620358272</v>
      </c>
      <c r="E2585" s="733"/>
    </row>
    <row r="2586" spans="2:5">
      <c r="B2586" s="121">
        <v>233</v>
      </c>
      <c r="C2586" s="121">
        <v>34</v>
      </c>
      <c r="D2586" s="734">
        <v>137.77631474618872</v>
      </c>
      <c r="E2586" s="733"/>
    </row>
    <row r="2587" spans="2:5">
      <c r="B2587" s="121">
        <v>233</v>
      </c>
      <c r="C2587" s="121">
        <v>35</v>
      </c>
      <c r="D2587" s="734">
        <v>140.43141190091464</v>
      </c>
      <c r="E2587" s="733"/>
    </row>
    <row r="2588" spans="2:5">
      <c r="B2588" s="121">
        <v>234</v>
      </c>
      <c r="C2588" s="121">
        <v>1</v>
      </c>
      <c r="D2588" s="734">
        <v>5</v>
      </c>
      <c r="E2588" s="733"/>
    </row>
    <row r="2589" spans="2:5">
      <c r="B2589" s="121">
        <v>234</v>
      </c>
      <c r="C2589" s="121">
        <v>2</v>
      </c>
      <c r="D2589" s="734">
        <v>99.077559555577523</v>
      </c>
      <c r="E2589" s="733"/>
    </row>
    <row r="2590" spans="2:5">
      <c r="B2590" s="121">
        <v>235</v>
      </c>
      <c r="C2590" s="121">
        <v>1</v>
      </c>
      <c r="D2590" s="734">
        <v>5</v>
      </c>
      <c r="E2590" s="733"/>
    </row>
    <row r="2591" spans="2:5">
      <c r="B2591" s="121">
        <v>236</v>
      </c>
      <c r="C2591" s="121">
        <v>1</v>
      </c>
      <c r="D2591" s="734">
        <v>5</v>
      </c>
      <c r="E2591" s="733"/>
    </row>
    <row r="2592" spans="2:5">
      <c r="B2592" s="121">
        <v>236</v>
      </c>
      <c r="C2592" s="121">
        <v>2</v>
      </c>
      <c r="D2592" s="734">
        <v>101.1638264920287</v>
      </c>
      <c r="E2592" s="733"/>
    </row>
    <row r="2593" spans="2:5">
      <c r="B2593" s="121">
        <v>236</v>
      </c>
      <c r="C2593" s="121">
        <v>3</v>
      </c>
      <c r="D2593" s="734">
        <v>117.52841293369703</v>
      </c>
      <c r="E2593" s="733"/>
    </row>
    <row r="2594" spans="2:5">
      <c r="B2594" s="121">
        <v>236</v>
      </c>
      <c r="C2594" s="121">
        <v>4</v>
      </c>
      <c r="D2594" s="734">
        <v>140.33275801024516</v>
      </c>
      <c r="E2594" s="733"/>
    </row>
    <row r="2595" spans="2:5">
      <c r="B2595" s="121">
        <v>236</v>
      </c>
      <c r="C2595" s="121">
        <v>5</v>
      </c>
      <c r="D2595" s="734">
        <v>144.84018040341917</v>
      </c>
      <c r="E2595" s="733"/>
    </row>
    <row r="2596" spans="2:5">
      <c r="B2596" s="121">
        <v>236</v>
      </c>
      <c r="C2596" s="121">
        <v>6</v>
      </c>
      <c r="D2596" s="734">
        <v>144.42311205959717</v>
      </c>
      <c r="E2596" s="733"/>
    </row>
    <row r="2597" spans="2:5">
      <c r="B2597" s="121">
        <v>236</v>
      </c>
      <c r="C2597" s="121">
        <v>7</v>
      </c>
      <c r="D2597" s="734">
        <v>139.83617354894074</v>
      </c>
      <c r="E2597" s="733"/>
    </row>
    <row r="2598" spans="2:5">
      <c r="B2598" s="121">
        <v>236</v>
      </c>
      <c r="C2598" s="121">
        <v>8</v>
      </c>
      <c r="D2598" s="734">
        <v>136.50386240066459</v>
      </c>
      <c r="E2598" s="733"/>
    </row>
    <row r="2599" spans="2:5">
      <c r="B2599" s="121">
        <v>236</v>
      </c>
      <c r="C2599" s="121">
        <v>9</v>
      </c>
      <c r="D2599" s="734">
        <v>143.23373733247269</v>
      </c>
      <c r="E2599" s="733"/>
    </row>
    <row r="2600" spans="2:5">
      <c r="B2600" s="121">
        <v>236</v>
      </c>
      <c r="C2600" s="121">
        <v>10</v>
      </c>
      <c r="D2600" s="734">
        <v>144.86369287085722</v>
      </c>
      <c r="E2600" s="733"/>
    </row>
    <row r="2601" spans="2:5">
      <c r="B2601" s="121">
        <v>236</v>
      </c>
      <c r="C2601" s="121">
        <v>11</v>
      </c>
      <c r="D2601" s="734">
        <v>140.75296709495143</v>
      </c>
      <c r="E2601" s="733"/>
    </row>
    <row r="2602" spans="2:5">
      <c r="B2602" s="121">
        <v>236</v>
      </c>
      <c r="C2602" s="121">
        <v>12</v>
      </c>
      <c r="D2602" s="734">
        <v>146.73834801868799</v>
      </c>
      <c r="E2602" s="733"/>
    </row>
    <row r="2603" spans="2:5">
      <c r="B2603" s="121">
        <v>236</v>
      </c>
      <c r="C2603" s="121">
        <v>13</v>
      </c>
      <c r="D2603" s="734">
        <v>146.7029469120194</v>
      </c>
      <c r="E2603" s="733"/>
    </row>
    <row r="2604" spans="2:5">
      <c r="B2604" s="121">
        <v>236</v>
      </c>
      <c r="C2604" s="121">
        <v>14</v>
      </c>
      <c r="D2604" s="734">
        <v>144.29731297492373</v>
      </c>
      <c r="E2604" s="733"/>
    </row>
    <row r="2605" spans="2:5">
      <c r="B2605" s="121">
        <v>236</v>
      </c>
      <c r="C2605" s="121">
        <v>15</v>
      </c>
      <c r="D2605" s="734">
        <v>145.49958952848687</v>
      </c>
      <c r="E2605" s="733"/>
    </row>
    <row r="2606" spans="2:5">
      <c r="B2606" s="121">
        <v>236</v>
      </c>
      <c r="C2606" s="121">
        <v>16</v>
      </c>
      <c r="D2606" s="734">
        <v>135.67253565412327</v>
      </c>
      <c r="E2606" s="733"/>
    </row>
    <row r="2607" spans="2:5">
      <c r="B2607" s="121">
        <v>236</v>
      </c>
      <c r="C2607" s="121">
        <v>17</v>
      </c>
      <c r="D2607" s="734">
        <v>137.77130146813369</v>
      </c>
      <c r="E2607" s="733"/>
    </row>
    <row r="2608" spans="2:5">
      <c r="B2608" s="121">
        <v>236</v>
      </c>
      <c r="C2608" s="121">
        <v>18</v>
      </c>
      <c r="D2608" s="734">
        <v>144.25799105590079</v>
      </c>
      <c r="E2608" s="733"/>
    </row>
    <row r="2609" spans="2:5">
      <c r="B2609" s="121">
        <v>237</v>
      </c>
      <c r="C2609" s="121">
        <v>1</v>
      </c>
      <c r="D2609" s="734">
        <v>5</v>
      </c>
      <c r="E2609" s="733"/>
    </row>
    <row r="2610" spans="2:5">
      <c r="B2610" s="121">
        <v>237</v>
      </c>
      <c r="C2610" s="121">
        <v>2</v>
      </c>
      <c r="D2610" s="734">
        <v>102.17987293281416</v>
      </c>
      <c r="E2610" s="733"/>
    </row>
    <row r="2611" spans="2:5">
      <c r="B2611" s="121">
        <v>237</v>
      </c>
      <c r="C2611" s="121">
        <v>3</v>
      </c>
      <c r="D2611" s="734">
        <v>125.08788942009113</v>
      </c>
      <c r="E2611" s="733"/>
    </row>
    <row r="2612" spans="2:5">
      <c r="B2612" s="121">
        <v>237</v>
      </c>
      <c r="C2612" s="121">
        <v>4</v>
      </c>
      <c r="D2612" s="734">
        <v>140.06717522338752</v>
      </c>
      <c r="E2612" s="733"/>
    </row>
    <row r="2613" spans="2:5">
      <c r="B2613" s="121">
        <v>237</v>
      </c>
      <c r="C2613" s="121">
        <v>5</v>
      </c>
      <c r="D2613" s="734">
        <v>134.93646309495111</v>
      </c>
      <c r="E2613" s="733"/>
    </row>
    <row r="2614" spans="2:5">
      <c r="B2614" s="121">
        <v>237</v>
      </c>
      <c r="C2614" s="121">
        <v>6</v>
      </c>
      <c r="D2614" s="734">
        <v>137.40815161333796</v>
      </c>
      <c r="E2614" s="733"/>
    </row>
    <row r="2615" spans="2:5">
      <c r="B2615" s="121">
        <v>237</v>
      </c>
      <c r="C2615" s="121">
        <v>7</v>
      </c>
      <c r="D2615" s="734">
        <v>146.53963597336949</v>
      </c>
      <c r="E2615" s="733"/>
    </row>
    <row r="2616" spans="2:5">
      <c r="B2616" s="121">
        <v>237</v>
      </c>
      <c r="C2616" s="121">
        <v>8</v>
      </c>
      <c r="D2616" s="734">
        <v>140.72214085516356</v>
      </c>
      <c r="E2616" s="733"/>
    </row>
    <row r="2617" spans="2:5">
      <c r="B2617" s="121">
        <v>237</v>
      </c>
      <c r="C2617" s="121">
        <v>9</v>
      </c>
      <c r="D2617" s="734">
        <v>135.59736837489586</v>
      </c>
      <c r="E2617" s="733"/>
    </row>
    <row r="2618" spans="2:5">
      <c r="B2618" s="121">
        <v>237</v>
      </c>
      <c r="C2618" s="121">
        <v>10</v>
      </c>
      <c r="D2618" s="734">
        <v>137.88793602707307</v>
      </c>
      <c r="E2618" s="733"/>
    </row>
    <row r="2619" spans="2:5">
      <c r="B2619" s="121">
        <v>237</v>
      </c>
      <c r="C2619" s="121">
        <v>11</v>
      </c>
      <c r="D2619" s="734">
        <v>138.91780401992742</v>
      </c>
      <c r="E2619" s="733"/>
    </row>
    <row r="2620" spans="2:5">
      <c r="B2620" s="121">
        <v>237</v>
      </c>
      <c r="C2620" s="121">
        <v>12</v>
      </c>
      <c r="D2620" s="734">
        <v>141.38762050145621</v>
      </c>
      <c r="E2620" s="733"/>
    </row>
    <row r="2621" spans="2:5">
      <c r="B2621" s="121">
        <v>237</v>
      </c>
      <c r="C2621" s="121">
        <v>13</v>
      </c>
      <c r="D2621" s="734">
        <v>145.86715955719473</v>
      </c>
      <c r="E2621" s="733"/>
    </row>
    <row r="2622" spans="2:5">
      <c r="B2622" s="121">
        <v>237</v>
      </c>
      <c r="C2622" s="121">
        <v>14</v>
      </c>
      <c r="D2622" s="734">
        <v>140.35453262681403</v>
      </c>
      <c r="E2622" s="733"/>
    </row>
    <row r="2623" spans="2:5">
      <c r="B2623" s="121">
        <v>237</v>
      </c>
      <c r="C2623" s="121">
        <v>15</v>
      </c>
      <c r="D2623" s="734">
        <v>143.77299455248144</v>
      </c>
      <c r="E2623" s="733"/>
    </row>
    <row r="2624" spans="2:5">
      <c r="B2624" s="121">
        <v>237</v>
      </c>
      <c r="C2624" s="121">
        <v>16</v>
      </c>
      <c r="D2624" s="734">
        <v>134.94310634907822</v>
      </c>
      <c r="E2624" s="733"/>
    </row>
    <row r="2625" spans="2:5">
      <c r="B2625" s="121">
        <v>237</v>
      </c>
      <c r="C2625" s="121">
        <v>17</v>
      </c>
      <c r="D2625" s="734">
        <v>142.54856388033934</v>
      </c>
      <c r="E2625" s="733"/>
    </row>
    <row r="2626" spans="2:5">
      <c r="B2626" s="121">
        <v>237</v>
      </c>
      <c r="C2626" s="121">
        <v>18</v>
      </c>
      <c r="D2626" s="734">
        <v>142.77826212203445</v>
      </c>
      <c r="E2626" s="733"/>
    </row>
    <row r="2627" spans="2:5">
      <c r="B2627" s="121">
        <v>237</v>
      </c>
      <c r="C2627" s="121">
        <v>19</v>
      </c>
      <c r="D2627" s="734">
        <v>137.01501284727289</v>
      </c>
      <c r="E2627" s="733"/>
    </row>
    <row r="2628" spans="2:5">
      <c r="B2628" s="121">
        <v>237</v>
      </c>
      <c r="C2628" s="121">
        <v>20</v>
      </c>
      <c r="D2628" s="734">
        <v>140.51024963225439</v>
      </c>
      <c r="E2628" s="733"/>
    </row>
    <row r="2629" spans="2:5">
      <c r="B2629" s="121">
        <v>237</v>
      </c>
      <c r="C2629" s="121">
        <v>21</v>
      </c>
      <c r="D2629" s="734">
        <v>136.60716737020067</v>
      </c>
      <c r="E2629" s="733"/>
    </row>
    <row r="2630" spans="2:5">
      <c r="B2630" s="121">
        <v>237</v>
      </c>
      <c r="C2630" s="121">
        <v>22</v>
      </c>
      <c r="D2630" s="734">
        <v>141.67581100367838</v>
      </c>
      <c r="E2630" s="733"/>
    </row>
    <row r="2631" spans="2:5">
      <c r="B2631" s="121">
        <v>237</v>
      </c>
      <c r="C2631" s="121">
        <v>23</v>
      </c>
      <c r="D2631" s="734">
        <v>145.80033834764239</v>
      </c>
      <c r="E2631" s="733"/>
    </row>
    <row r="2632" spans="2:5">
      <c r="B2632" s="121">
        <v>237</v>
      </c>
      <c r="C2632" s="121">
        <v>24</v>
      </c>
      <c r="D2632" s="734">
        <v>133.91822670412063</v>
      </c>
      <c r="E2632" s="733"/>
    </row>
    <row r="2633" spans="2:5">
      <c r="B2633" s="121">
        <v>237</v>
      </c>
      <c r="C2633" s="121">
        <v>25</v>
      </c>
      <c r="D2633" s="734">
        <v>141.68469585679503</v>
      </c>
      <c r="E2633" s="733"/>
    </row>
    <row r="2634" spans="2:5">
      <c r="B2634" s="121">
        <v>237</v>
      </c>
      <c r="C2634" s="121">
        <v>26</v>
      </c>
      <c r="D2634" s="734">
        <v>143.72836622429529</v>
      </c>
      <c r="E2634" s="733"/>
    </row>
    <row r="2635" spans="2:5">
      <c r="B2635" s="121">
        <v>237</v>
      </c>
      <c r="C2635" s="121">
        <v>27</v>
      </c>
      <c r="D2635" s="734">
        <v>136.70038835645821</v>
      </c>
      <c r="E2635" s="733"/>
    </row>
    <row r="2636" spans="2:5">
      <c r="B2636" s="121">
        <v>237</v>
      </c>
      <c r="C2636" s="121">
        <v>28</v>
      </c>
      <c r="D2636" s="734">
        <v>134.4315729660328</v>
      </c>
      <c r="E2636" s="733"/>
    </row>
    <row r="2637" spans="2:5">
      <c r="B2637" s="121">
        <v>237</v>
      </c>
      <c r="C2637" s="121">
        <v>29</v>
      </c>
      <c r="D2637" s="734">
        <v>146.64915365220423</v>
      </c>
      <c r="E2637" s="733"/>
    </row>
    <row r="2638" spans="2:5">
      <c r="B2638" s="121">
        <v>237</v>
      </c>
      <c r="C2638" s="121">
        <v>30</v>
      </c>
      <c r="D2638" s="734">
        <v>146.918788225366</v>
      </c>
      <c r="E2638" s="733"/>
    </row>
    <row r="2639" spans="2:5">
      <c r="B2639" s="121">
        <v>237</v>
      </c>
      <c r="C2639" s="121">
        <v>31</v>
      </c>
      <c r="D2639" s="734">
        <v>147.2646168096768</v>
      </c>
      <c r="E2639" s="733"/>
    </row>
    <row r="2640" spans="2:5">
      <c r="B2640" s="121">
        <v>237</v>
      </c>
      <c r="C2640" s="121">
        <v>32</v>
      </c>
      <c r="D2640" s="734">
        <v>145.70695228931234</v>
      </c>
      <c r="E2640" s="733"/>
    </row>
    <row r="2641" spans="2:5">
      <c r="B2641" s="121">
        <v>237</v>
      </c>
      <c r="C2641" s="121">
        <v>33</v>
      </c>
      <c r="D2641" s="734">
        <v>142.9384961011275</v>
      </c>
      <c r="E2641" s="733"/>
    </row>
    <row r="2642" spans="2:5">
      <c r="B2642" s="121">
        <v>237</v>
      </c>
      <c r="C2642" s="121">
        <v>34</v>
      </c>
      <c r="D2642" s="734">
        <v>135.39582873148527</v>
      </c>
      <c r="E2642" s="733"/>
    </row>
    <row r="2643" spans="2:5">
      <c r="B2643" s="121">
        <v>237</v>
      </c>
      <c r="C2643" s="121">
        <v>35</v>
      </c>
      <c r="D2643" s="734">
        <v>134.22517448920721</v>
      </c>
      <c r="E2643" s="733"/>
    </row>
    <row r="2644" spans="2:5">
      <c r="B2644" s="121">
        <v>237</v>
      </c>
      <c r="C2644" s="121">
        <v>36</v>
      </c>
      <c r="D2644" s="734">
        <v>137.51374214842392</v>
      </c>
      <c r="E2644" s="733"/>
    </row>
    <row r="2645" spans="2:5">
      <c r="B2645" s="121">
        <v>238</v>
      </c>
      <c r="C2645" s="121">
        <v>1</v>
      </c>
      <c r="D2645" s="734">
        <v>5</v>
      </c>
      <c r="E2645" s="733"/>
    </row>
    <row r="2646" spans="2:5">
      <c r="B2646" s="121">
        <v>238</v>
      </c>
      <c r="C2646" s="121">
        <v>2</v>
      </c>
      <c r="D2646" s="734">
        <v>103.17069379039899</v>
      </c>
      <c r="E2646" s="733"/>
    </row>
    <row r="2647" spans="2:5">
      <c r="B2647" s="121">
        <v>238</v>
      </c>
      <c r="C2647" s="121">
        <v>3</v>
      </c>
      <c r="D2647" s="734">
        <v>122.06376345808638</v>
      </c>
      <c r="E2647" s="733"/>
    </row>
    <row r="2648" spans="2:5">
      <c r="B2648" s="121">
        <v>238</v>
      </c>
      <c r="C2648" s="121">
        <v>4</v>
      </c>
      <c r="D2648" s="734">
        <v>143.04532839503469</v>
      </c>
      <c r="E2648" s="733"/>
    </row>
    <row r="2649" spans="2:5">
      <c r="B2649" s="121">
        <v>238</v>
      </c>
      <c r="C2649" s="121">
        <v>5</v>
      </c>
      <c r="D2649" s="734">
        <v>139.34640152031062</v>
      </c>
      <c r="E2649" s="733"/>
    </row>
    <row r="2650" spans="2:5">
      <c r="B2650" s="121">
        <v>238</v>
      </c>
      <c r="C2650" s="121">
        <v>6</v>
      </c>
      <c r="D2650" s="734">
        <v>146.46734361763086</v>
      </c>
      <c r="E2650" s="733"/>
    </row>
    <row r="2651" spans="2:5">
      <c r="B2651" s="121">
        <v>238</v>
      </c>
      <c r="C2651" s="121">
        <v>7</v>
      </c>
      <c r="D2651" s="734">
        <v>142.75785967495915</v>
      </c>
      <c r="E2651" s="733"/>
    </row>
    <row r="2652" spans="2:5">
      <c r="B2652" s="121">
        <v>238</v>
      </c>
      <c r="C2652" s="121">
        <v>8</v>
      </c>
      <c r="D2652" s="734">
        <v>139.49867735401597</v>
      </c>
      <c r="E2652" s="733"/>
    </row>
    <row r="2653" spans="2:5">
      <c r="B2653" s="121">
        <v>238</v>
      </c>
      <c r="C2653" s="121">
        <v>9</v>
      </c>
      <c r="D2653" s="734">
        <v>143.06101633536861</v>
      </c>
      <c r="E2653" s="733"/>
    </row>
    <row r="2654" spans="2:5">
      <c r="B2654" s="121">
        <v>238</v>
      </c>
      <c r="C2654" s="121">
        <v>10</v>
      </c>
      <c r="D2654" s="734">
        <v>142.56057105363681</v>
      </c>
      <c r="E2654" s="733"/>
    </row>
    <row r="2655" spans="2:5">
      <c r="B2655" s="121">
        <v>238</v>
      </c>
      <c r="C2655" s="121">
        <v>11</v>
      </c>
      <c r="D2655" s="734">
        <v>133.90209366076746</v>
      </c>
      <c r="E2655" s="733"/>
    </row>
    <row r="2656" spans="2:5">
      <c r="B2656" s="121">
        <v>238</v>
      </c>
      <c r="C2656" s="121">
        <v>12</v>
      </c>
      <c r="D2656" s="734">
        <v>135.97052402173327</v>
      </c>
      <c r="E2656" s="733"/>
    </row>
    <row r="2657" spans="2:5">
      <c r="B2657" s="121">
        <v>238</v>
      </c>
      <c r="C2657" s="121">
        <v>13</v>
      </c>
      <c r="D2657" s="734">
        <v>139.20260210503832</v>
      </c>
      <c r="E2657" s="733"/>
    </row>
    <row r="2658" spans="2:5">
      <c r="B2658" s="121">
        <v>238</v>
      </c>
      <c r="C2658" s="121">
        <v>14</v>
      </c>
      <c r="D2658" s="734">
        <v>133.75878803807774</v>
      </c>
      <c r="E2658" s="733"/>
    </row>
    <row r="2659" spans="2:5">
      <c r="B2659" s="121">
        <v>238</v>
      </c>
      <c r="C2659" s="121">
        <v>15</v>
      </c>
      <c r="D2659" s="734">
        <v>141.37401115052234</v>
      </c>
      <c r="E2659" s="733"/>
    </row>
    <row r="2660" spans="2:5">
      <c r="B2660" s="121">
        <v>238</v>
      </c>
      <c r="C2660" s="121">
        <v>16</v>
      </c>
      <c r="D2660" s="734">
        <v>146.76644911414047</v>
      </c>
      <c r="E2660" s="733"/>
    </row>
    <row r="2661" spans="2:5">
      <c r="B2661" s="121">
        <v>238</v>
      </c>
      <c r="C2661" s="121">
        <v>17</v>
      </c>
      <c r="D2661" s="734">
        <v>138.78591551107317</v>
      </c>
      <c r="E2661" s="733"/>
    </row>
    <row r="2662" spans="2:5">
      <c r="B2662" s="121">
        <v>238</v>
      </c>
      <c r="C2662" s="121">
        <v>18</v>
      </c>
      <c r="D2662" s="734">
        <v>143.45028819937525</v>
      </c>
      <c r="E2662" s="733"/>
    </row>
    <row r="2663" spans="2:5">
      <c r="B2663" s="121">
        <v>238</v>
      </c>
      <c r="C2663" s="121">
        <v>19</v>
      </c>
      <c r="D2663" s="734">
        <v>145.59336518487817</v>
      </c>
      <c r="E2663" s="733"/>
    </row>
    <row r="2664" spans="2:5">
      <c r="B2664" s="121">
        <v>238</v>
      </c>
      <c r="C2664" s="121">
        <v>20</v>
      </c>
      <c r="D2664" s="734">
        <v>145.28031260020856</v>
      </c>
      <c r="E2664" s="733"/>
    </row>
    <row r="2665" spans="2:5">
      <c r="B2665" s="121">
        <v>238</v>
      </c>
      <c r="C2665" s="121">
        <v>21</v>
      </c>
      <c r="D2665" s="734">
        <v>135.86735798862205</v>
      </c>
      <c r="E2665" s="733"/>
    </row>
    <row r="2666" spans="2:5">
      <c r="B2666" s="121">
        <v>238</v>
      </c>
      <c r="C2666" s="121">
        <v>22</v>
      </c>
      <c r="D2666" s="734">
        <v>143.52865996491306</v>
      </c>
      <c r="E2666" s="733"/>
    </row>
    <row r="2667" spans="2:5">
      <c r="B2667" s="121">
        <v>238</v>
      </c>
      <c r="C2667" s="121">
        <v>23</v>
      </c>
      <c r="D2667" s="734">
        <v>136.67669830083148</v>
      </c>
      <c r="E2667" s="733"/>
    </row>
    <row r="2668" spans="2:5">
      <c r="B2668" s="121">
        <v>238</v>
      </c>
      <c r="C2668" s="121">
        <v>24</v>
      </c>
      <c r="D2668" s="734">
        <v>137.25584694762691</v>
      </c>
      <c r="E2668" s="733"/>
    </row>
    <row r="2669" spans="2:5">
      <c r="B2669" s="121">
        <v>238</v>
      </c>
      <c r="C2669" s="121">
        <v>25</v>
      </c>
      <c r="D2669" s="734">
        <v>135.16882118166839</v>
      </c>
      <c r="E2669" s="733"/>
    </row>
    <row r="2670" spans="2:5">
      <c r="B2670" s="121">
        <v>238</v>
      </c>
      <c r="C2670" s="121">
        <v>26</v>
      </c>
      <c r="D2670" s="734">
        <v>137.76501777359812</v>
      </c>
      <c r="E2670" s="733"/>
    </row>
    <row r="2671" spans="2:5">
      <c r="B2671" s="121">
        <v>238</v>
      </c>
      <c r="C2671" s="121">
        <v>27</v>
      </c>
      <c r="D2671" s="734">
        <v>134.05070622094991</v>
      </c>
      <c r="E2671" s="733"/>
    </row>
    <row r="2672" spans="2:5">
      <c r="B2672" s="121">
        <v>238</v>
      </c>
      <c r="C2672" s="121">
        <v>28</v>
      </c>
      <c r="D2672" s="734">
        <v>138.00733441605237</v>
      </c>
      <c r="E2672" s="733"/>
    </row>
    <row r="2673" spans="2:5">
      <c r="B2673" s="121">
        <v>238</v>
      </c>
      <c r="C2673" s="121">
        <v>29</v>
      </c>
      <c r="D2673" s="734">
        <v>142.49387917291358</v>
      </c>
      <c r="E2673" s="733"/>
    </row>
    <row r="2674" spans="2:5">
      <c r="B2674" s="121">
        <v>238</v>
      </c>
      <c r="C2674" s="121">
        <v>30</v>
      </c>
      <c r="D2674" s="734">
        <v>146.86815224038682</v>
      </c>
      <c r="E2674" s="733"/>
    </row>
    <row r="2675" spans="2:5">
      <c r="B2675" s="121">
        <v>238</v>
      </c>
      <c r="C2675" s="121">
        <v>31</v>
      </c>
      <c r="D2675" s="734">
        <v>139.71975348229839</v>
      </c>
      <c r="E2675" s="733"/>
    </row>
    <row r="2676" spans="2:5">
      <c r="B2676" s="121">
        <v>238</v>
      </c>
      <c r="C2676" s="121">
        <v>32</v>
      </c>
      <c r="D2676" s="734">
        <v>145.67957030810462</v>
      </c>
      <c r="E2676" s="733"/>
    </row>
    <row r="2677" spans="2:5">
      <c r="B2677" s="121">
        <v>238</v>
      </c>
      <c r="C2677" s="121">
        <v>33</v>
      </c>
      <c r="D2677" s="734">
        <v>144.38024556852767</v>
      </c>
      <c r="E2677" s="733"/>
    </row>
    <row r="2678" spans="2:5">
      <c r="B2678" s="121">
        <v>238</v>
      </c>
      <c r="C2678" s="121">
        <v>34</v>
      </c>
      <c r="D2678" s="734">
        <v>138.40467892309911</v>
      </c>
      <c r="E2678" s="733"/>
    </row>
    <row r="2679" spans="2:5">
      <c r="B2679" s="121">
        <v>238</v>
      </c>
      <c r="C2679" s="121">
        <v>35</v>
      </c>
      <c r="D2679" s="734">
        <v>135.40964988816327</v>
      </c>
      <c r="E2679" s="733"/>
    </row>
    <row r="2680" spans="2:5">
      <c r="B2680" s="121">
        <v>238</v>
      </c>
      <c r="C2680" s="121">
        <v>36</v>
      </c>
      <c r="D2680" s="734">
        <v>136.71215059805382</v>
      </c>
      <c r="E2680" s="733"/>
    </row>
    <row r="2681" spans="2:5">
      <c r="B2681" s="121">
        <v>239</v>
      </c>
      <c r="C2681" s="121">
        <v>1</v>
      </c>
      <c r="D2681" s="734">
        <v>5</v>
      </c>
      <c r="E2681" s="733"/>
    </row>
    <row r="2682" spans="2:5">
      <c r="B2682" s="121">
        <v>239</v>
      </c>
      <c r="C2682" s="121">
        <v>2</v>
      </c>
      <c r="D2682" s="734">
        <v>102.54357911085134</v>
      </c>
      <c r="E2682" s="733"/>
    </row>
    <row r="2683" spans="2:5">
      <c r="B2683" s="121">
        <v>239</v>
      </c>
      <c r="C2683" s="121">
        <v>3</v>
      </c>
      <c r="D2683" s="734">
        <v>116.16616680998682</v>
      </c>
      <c r="E2683" s="733"/>
    </row>
    <row r="2684" spans="2:5">
      <c r="B2684" s="121">
        <v>239</v>
      </c>
      <c r="C2684" s="121">
        <v>4</v>
      </c>
      <c r="D2684" s="734">
        <v>139.91639756514132</v>
      </c>
      <c r="E2684" s="733"/>
    </row>
    <row r="2685" spans="2:5">
      <c r="B2685" s="121">
        <v>239</v>
      </c>
      <c r="C2685" s="121">
        <v>5</v>
      </c>
      <c r="D2685" s="734">
        <v>138.45814862588333</v>
      </c>
      <c r="E2685" s="733"/>
    </row>
    <row r="2686" spans="2:5">
      <c r="B2686" s="121">
        <v>239</v>
      </c>
      <c r="C2686" s="121">
        <v>6</v>
      </c>
      <c r="D2686" s="734">
        <v>141.87358785048775</v>
      </c>
      <c r="E2686" s="733"/>
    </row>
    <row r="2687" spans="2:5">
      <c r="B2687" s="121">
        <v>239</v>
      </c>
      <c r="C2687" s="121">
        <v>7</v>
      </c>
      <c r="D2687" s="734">
        <v>146.75218630560539</v>
      </c>
      <c r="E2687" s="733"/>
    </row>
    <row r="2688" spans="2:5">
      <c r="B2688" s="121">
        <v>239</v>
      </c>
      <c r="C2688" s="121">
        <v>8</v>
      </c>
      <c r="D2688" s="734">
        <v>133.67265575531087</v>
      </c>
      <c r="E2688" s="733"/>
    </row>
    <row r="2689" spans="2:5">
      <c r="B2689" s="121">
        <v>239</v>
      </c>
      <c r="C2689" s="121">
        <v>9</v>
      </c>
      <c r="D2689" s="734">
        <v>146.97095310374314</v>
      </c>
      <c r="E2689" s="733"/>
    </row>
    <row r="2690" spans="2:5">
      <c r="B2690" s="121">
        <v>239</v>
      </c>
      <c r="C2690" s="121">
        <v>10</v>
      </c>
      <c r="D2690" s="734">
        <v>136.67540516296071</v>
      </c>
      <c r="E2690" s="733"/>
    </row>
    <row r="2691" spans="2:5">
      <c r="B2691" s="121">
        <v>239</v>
      </c>
      <c r="C2691" s="121">
        <v>11</v>
      </c>
      <c r="D2691" s="734">
        <v>142.91176286214244</v>
      </c>
      <c r="E2691" s="733"/>
    </row>
    <row r="2692" spans="2:5">
      <c r="B2692" s="121">
        <v>239</v>
      </c>
      <c r="C2692" s="121">
        <v>12</v>
      </c>
      <c r="D2692" s="734">
        <v>137.78168939556954</v>
      </c>
      <c r="E2692" s="733"/>
    </row>
    <row r="2693" spans="2:5">
      <c r="B2693" s="121">
        <v>239</v>
      </c>
      <c r="C2693" s="121">
        <v>13</v>
      </c>
      <c r="D2693" s="734">
        <v>134.89857186805096</v>
      </c>
      <c r="E2693" s="733"/>
    </row>
    <row r="2694" spans="2:5">
      <c r="B2694" s="121">
        <v>239</v>
      </c>
      <c r="C2694" s="121">
        <v>14</v>
      </c>
      <c r="D2694" s="734">
        <v>140.60671803874871</v>
      </c>
      <c r="E2694" s="733"/>
    </row>
    <row r="2695" spans="2:5">
      <c r="B2695" s="121">
        <v>239</v>
      </c>
      <c r="C2695" s="121">
        <v>15</v>
      </c>
      <c r="D2695" s="734">
        <v>139.91613958239537</v>
      </c>
      <c r="E2695" s="733"/>
    </row>
    <row r="2696" spans="2:5">
      <c r="B2696" s="121">
        <v>239</v>
      </c>
      <c r="C2696" s="121">
        <v>16</v>
      </c>
      <c r="D2696" s="734">
        <v>146.74930861780501</v>
      </c>
      <c r="E2696" s="733"/>
    </row>
    <row r="2697" spans="2:5">
      <c r="B2697" s="121">
        <v>239</v>
      </c>
      <c r="C2697" s="121">
        <v>17</v>
      </c>
      <c r="D2697" s="734">
        <v>142.79614757822702</v>
      </c>
      <c r="E2697" s="733"/>
    </row>
    <row r="2698" spans="2:5">
      <c r="B2698" s="121">
        <v>240</v>
      </c>
      <c r="C2698" s="121">
        <v>1</v>
      </c>
      <c r="D2698" s="734">
        <v>5</v>
      </c>
      <c r="E2698" s="733"/>
    </row>
    <row r="2699" spans="2:5">
      <c r="B2699" s="121">
        <v>240</v>
      </c>
      <c r="C2699" s="121">
        <v>2</v>
      </c>
      <c r="D2699" s="734">
        <v>97.855101696204798</v>
      </c>
      <c r="E2699" s="733"/>
    </row>
    <row r="2700" spans="2:5">
      <c r="B2700" s="121">
        <v>240</v>
      </c>
      <c r="C2700" s="121">
        <v>3</v>
      </c>
      <c r="D2700" s="734">
        <v>124.89171592898907</v>
      </c>
      <c r="E2700" s="733"/>
    </row>
    <row r="2701" spans="2:5">
      <c r="B2701" s="121">
        <v>240</v>
      </c>
      <c r="C2701" s="121">
        <v>4</v>
      </c>
      <c r="D2701" s="734">
        <v>141.97924291978839</v>
      </c>
      <c r="E2701" s="733"/>
    </row>
    <row r="2702" spans="2:5">
      <c r="B2702" s="121">
        <v>240</v>
      </c>
      <c r="C2702" s="121">
        <v>5</v>
      </c>
      <c r="D2702" s="734">
        <v>134.77004282554347</v>
      </c>
      <c r="E2702" s="733"/>
    </row>
    <row r="2703" spans="2:5">
      <c r="B2703" s="121">
        <v>240</v>
      </c>
      <c r="C2703" s="121">
        <v>6</v>
      </c>
      <c r="D2703" s="734">
        <v>135.79919857327263</v>
      </c>
      <c r="E2703" s="733"/>
    </row>
    <row r="2704" spans="2:5">
      <c r="B2704" s="121">
        <v>240</v>
      </c>
      <c r="C2704" s="121">
        <v>7</v>
      </c>
      <c r="D2704" s="734">
        <v>142.03254365221099</v>
      </c>
      <c r="E2704" s="733"/>
    </row>
    <row r="2705" spans="2:5">
      <c r="B2705" s="121">
        <v>240</v>
      </c>
      <c r="C2705" s="121">
        <v>8</v>
      </c>
      <c r="D2705" s="734">
        <v>141.70837120449758</v>
      </c>
      <c r="E2705" s="733"/>
    </row>
    <row r="2706" spans="2:5">
      <c r="B2706" s="121">
        <v>240</v>
      </c>
      <c r="C2706" s="121">
        <v>9</v>
      </c>
      <c r="D2706" s="734">
        <v>140.62792197735729</v>
      </c>
      <c r="E2706" s="733"/>
    </row>
    <row r="2707" spans="2:5">
      <c r="B2707" s="121">
        <v>240</v>
      </c>
      <c r="C2707" s="121">
        <v>10</v>
      </c>
      <c r="D2707" s="734">
        <v>143.20183165466437</v>
      </c>
      <c r="E2707" s="733"/>
    </row>
    <row r="2708" spans="2:5">
      <c r="B2708" s="121">
        <v>240</v>
      </c>
      <c r="C2708" s="121">
        <v>11</v>
      </c>
      <c r="D2708" s="734">
        <v>140.96328171266879</v>
      </c>
      <c r="E2708" s="733"/>
    </row>
    <row r="2709" spans="2:5">
      <c r="B2709" s="121">
        <v>240</v>
      </c>
      <c r="C2709" s="121">
        <v>12</v>
      </c>
      <c r="D2709" s="734">
        <v>146.22993927510808</v>
      </c>
      <c r="E2709" s="733"/>
    </row>
    <row r="2710" spans="2:5">
      <c r="B2710" s="121">
        <v>240</v>
      </c>
      <c r="C2710" s="121">
        <v>13</v>
      </c>
      <c r="D2710" s="734">
        <v>139.63153303040252</v>
      </c>
      <c r="E2710" s="733"/>
    </row>
    <row r="2711" spans="2:5">
      <c r="B2711" s="121">
        <v>240</v>
      </c>
      <c r="C2711" s="121">
        <v>14</v>
      </c>
      <c r="D2711" s="734">
        <v>143.21771447714531</v>
      </c>
      <c r="E2711" s="733"/>
    </row>
    <row r="2712" spans="2:5">
      <c r="B2712" s="121">
        <v>240</v>
      </c>
      <c r="C2712" s="121">
        <v>15</v>
      </c>
      <c r="D2712" s="734">
        <v>144.09482668400474</v>
      </c>
      <c r="E2712" s="733"/>
    </row>
    <row r="2713" spans="2:5">
      <c r="B2713" s="121">
        <v>240</v>
      </c>
      <c r="C2713" s="121">
        <v>16</v>
      </c>
      <c r="D2713" s="734">
        <v>136.06335446093877</v>
      </c>
      <c r="E2713" s="733"/>
    </row>
    <row r="2714" spans="2:5">
      <c r="B2714" s="121">
        <v>240</v>
      </c>
      <c r="C2714" s="121">
        <v>17</v>
      </c>
      <c r="D2714" s="734">
        <v>145.35462620688989</v>
      </c>
      <c r="E2714" s="733"/>
    </row>
    <row r="2715" spans="2:5">
      <c r="B2715" s="121">
        <v>240</v>
      </c>
      <c r="C2715" s="121">
        <v>18</v>
      </c>
      <c r="D2715" s="734">
        <v>141.3898749543622</v>
      </c>
      <c r="E2715" s="733"/>
    </row>
    <row r="2716" spans="2:5">
      <c r="B2716" s="121">
        <v>240</v>
      </c>
      <c r="C2716" s="121">
        <v>19</v>
      </c>
      <c r="D2716" s="734">
        <v>137.69591524202357</v>
      </c>
      <c r="E2716" s="733"/>
    </row>
    <row r="2717" spans="2:5">
      <c r="B2717" s="121">
        <v>240</v>
      </c>
      <c r="C2717" s="121">
        <v>20</v>
      </c>
      <c r="D2717" s="734">
        <v>139.06202178095484</v>
      </c>
      <c r="E2717" s="733"/>
    </row>
    <row r="2718" spans="2:5">
      <c r="B2718" s="121">
        <v>240</v>
      </c>
      <c r="C2718" s="121">
        <v>21</v>
      </c>
      <c r="D2718" s="734">
        <v>137.75236547398163</v>
      </c>
      <c r="E2718" s="733"/>
    </row>
    <row r="2719" spans="2:5">
      <c r="B2719" s="121">
        <v>240</v>
      </c>
      <c r="C2719" s="121">
        <v>22</v>
      </c>
      <c r="D2719" s="734">
        <v>136.83707567277128</v>
      </c>
      <c r="E2719" s="733"/>
    </row>
    <row r="2720" spans="2:5">
      <c r="B2720" s="121">
        <v>240</v>
      </c>
      <c r="C2720" s="121">
        <v>23</v>
      </c>
      <c r="D2720" s="734">
        <v>133.95788855427958</v>
      </c>
      <c r="E2720" s="733"/>
    </row>
    <row r="2721" spans="2:5">
      <c r="B2721" s="121">
        <v>240</v>
      </c>
      <c r="C2721" s="121">
        <v>24</v>
      </c>
      <c r="D2721" s="734">
        <v>135.91220186375139</v>
      </c>
      <c r="E2721" s="733"/>
    </row>
    <row r="2722" spans="2:5">
      <c r="B2722" s="121">
        <v>240</v>
      </c>
      <c r="C2722" s="121">
        <v>25</v>
      </c>
      <c r="D2722" s="734">
        <v>138.76041583208314</v>
      </c>
      <c r="E2722" s="733"/>
    </row>
    <row r="2723" spans="2:5">
      <c r="B2723" s="121">
        <v>240</v>
      </c>
      <c r="C2723" s="121">
        <v>26</v>
      </c>
      <c r="D2723" s="734">
        <v>135.20752240235734</v>
      </c>
      <c r="E2723" s="733"/>
    </row>
    <row r="2724" spans="2:5">
      <c r="B2724" s="121">
        <v>240</v>
      </c>
      <c r="C2724" s="121">
        <v>27</v>
      </c>
      <c r="D2724" s="734">
        <v>133.6697639946515</v>
      </c>
      <c r="E2724" s="733"/>
    </row>
    <row r="2725" spans="2:5">
      <c r="B2725" s="121">
        <v>240</v>
      </c>
      <c r="C2725" s="121">
        <v>28</v>
      </c>
      <c r="D2725" s="734">
        <v>141.27008100411072</v>
      </c>
      <c r="E2725" s="733"/>
    </row>
    <row r="2726" spans="2:5">
      <c r="B2726" s="121">
        <v>240</v>
      </c>
      <c r="C2726" s="121">
        <v>29</v>
      </c>
      <c r="D2726" s="734">
        <v>138.55141998538741</v>
      </c>
      <c r="E2726" s="733"/>
    </row>
    <row r="2727" spans="2:5">
      <c r="B2727" s="121">
        <v>240</v>
      </c>
      <c r="C2727" s="121">
        <v>30</v>
      </c>
      <c r="D2727" s="734">
        <v>134.00626757144161</v>
      </c>
      <c r="E2727" s="733"/>
    </row>
    <row r="2728" spans="2:5">
      <c r="B2728" s="121">
        <v>240</v>
      </c>
      <c r="C2728" s="121">
        <v>31</v>
      </c>
      <c r="D2728" s="734">
        <v>136.88136272128145</v>
      </c>
      <c r="E2728" s="733"/>
    </row>
    <row r="2729" spans="2:5">
      <c r="B2729" s="121">
        <v>240</v>
      </c>
      <c r="C2729" s="121">
        <v>32</v>
      </c>
      <c r="D2729" s="734">
        <v>142.97620088231815</v>
      </c>
      <c r="E2729" s="733"/>
    </row>
    <row r="2730" spans="2:5">
      <c r="B2730" s="121">
        <v>240</v>
      </c>
      <c r="C2730" s="121">
        <v>33</v>
      </c>
      <c r="D2730" s="734">
        <v>146.80031976300793</v>
      </c>
      <c r="E2730" s="733"/>
    </row>
    <row r="2731" spans="2:5">
      <c r="B2731" s="121">
        <v>240</v>
      </c>
      <c r="C2731" s="121">
        <v>34</v>
      </c>
      <c r="D2731" s="734">
        <v>143.97120234987057</v>
      </c>
      <c r="E2731" s="733"/>
    </row>
    <row r="2732" spans="2:5">
      <c r="B2732" s="121">
        <v>240</v>
      </c>
      <c r="C2732" s="121">
        <v>35</v>
      </c>
      <c r="D2732" s="734">
        <v>138.82493648472891</v>
      </c>
      <c r="E2732" s="733"/>
    </row>
    <row r="2733" spans="2:5">
      <c r="B2733" s="121">
        <v>240</v>
      </c>
      <c r="C2733" s="121">
        <v>36</v>
      </c>
      <c r="D2733" s="734">
        <v>141.27929468585654</v>
      </c>
      <c r="E2733" s="733"/>
    </row>
    <row r="2734" spans="2:5">
      <c r="B2734" s="121">
        <v>241</v>
      </c>
      <c r="C2734" s="121">
        <v>1</v>
      </c>
      <c r="D2734" s="734">
        <v>5</v>
      </c>
      <c r="E2734" s="733"/>
    </row>
    <row r="2735" spans="2:5">
      <c r="B2735" s="121">
        <v>241</v>
      </c>
      <c r="C2735" s="121">
        <v>2</v>
      </c>
      <c r="D2735" s="734">
        <v>99.090115203183331</v>
      </c>
      <c r="E2735" s="733"/>
    </row>
    <row r="2736" spans="2:5">
      <c r="B2736" s="121">
        <v>241</v>
      </c>
      <c r="C2736" s="121">
        <v>3</v>
      </c>
      <c r="D2736" s="734">
        <v>120.0280296452259</v>
      </c>
      <c r="E2736" s="733"/>
    </row>
    <row r="2737" spans="2:5">
      <c r="B2737" s="121">
        <v>241</v>
      </c>
      <c r="C2737" s="121">
        <v>4</v>
      </c>
      <c r="D2737" s="734">
        <v>142.54267280560515</v>
      </c>
      <c r="E2737" s="733"/>
    </row>
    <row r="2738" spans="2:5">
      <c r="B2738" s="121">
        <v>241</v>
      </c>
      <c r="C2738" s="121">
        <v>5</v>
      </c>
      <c r="D2738" s="734">
        <v>133.72648518472772</v>
      </c>
      <c r="E2738" s="733"/>
    </row>
    <row r="2739" spans="2:5">
      <c r="B2739" s="121">
        <v>241</v>
      </c>
      <c r="C2739" s="121">
        <v>6</v>
      </c>
      <c r="D2739" s="734">
        <v>139.54500562015292</v>
      </c>
      <c r="E2739" s="733"/>
    </row>
    <row r="2740" spans="2:5">
      <c r="B2740" s="121">
        <v>241</v>
      </c>
      <c r="C2740" s="121">
        <v>7</v>
      </c>
      <c r="D2740" s="734">
        <v>145.48719201327296</v>
      </c>
      <c r="E2740" s="733"/>
    </row>
    <row r="2741" spans="2:5">
      <c r="B2741" s="121">
        <v>241</v>
      </c>
      <c r="C2741" s="121">
        <v>8</v>
      </c>
      <c r="D2741" s="734">
        <v>145.21570495126309</v>
      </c>
      <c r="E2741" s="733"/>
    </row>
    <row r="2742" spans="2:5">
      <c r="B2742" s="121">
        <v>241</v>
      </c>
      <c r="C2742" s="121">
        <v>9</v>
      </c>
      <c r="D2742" s="734">
        <v>145.70862536968124</v>
      </c>
      <c r="E2742" s="733"/>
    </row>
    <row r="2743" spans="2:5">
      <c r="B2743" s="121">
        <v>242</v>
      </c>
      <c r="C2743" s="121">
        <v>1</v>
      </c>
      <c r="D2743" s="734">
        <v>5</v>
      </c>
      <c r="E2743" s="733"/>
    </row>
    <row r="2744" spans="2:5">
      <c r="B2744" s="121">
        <v>242</v>
      </c>
      <c r="C2744" s="121">
        <v>2</v>
      </c>
      <c r="D2744" s="734">
        <v>98.316742592947435</v>
      </c>
      <c r="E2744" s="733"/>
    </row>
    <row r="2745" spans="2:5">
      <c r="B2745" s="121">
        <v>242</v>
      </c>
      <c r="C2745" s="121">
        <v>3</v>
      </c>
      <c r="D2745" s="734">
        <v>114.97260085959701</v>
      </c>
      <c r="E2745" s="733"/>
    </row>
    <row r="2746" spans="2:5">
      <c r="B2746" s="121">
        <v>242</v>
      </c>
      <c r="C2746" s="121">
        <v>4</v>
      </c>
      <c r="D2746" s="734">
        <v>145.90974580168904</v>
      </c>
      <c r="E2746" s="733"/>
    </row>
    <row r="2747" spans="2:5">
      <c r="B2747" s="121">
        <v>242</v>
      </c>
      <c r="C2747" s="121">
        <v>5</v>
      </c>
      <c r="D2747" s="734">
        <v>135.41516087925595</v>
      </c>
      <c r="E2747" s="733"/>
    </row>
    <row r="2748" spans="2:5">
      <c r="B2748" s="121">
        <v>242</v>
      </c>
      <c r="C2748" s="121">
        <v>6</v>
      </c>
      <c r="D2748" s="734">
        <v>144.05728026720848</v>
      </c>
      <c r="E2748" s="733"/>
    </row>
    <row r="2749" spans="2:5">
      <c r="B2749" s="121">
        <v>242</v>
      </c>
      <c r="C2749" s="121">
        <v>7</v>
      </c>
      <c r="D2749" s="734">
        <v>139.31255880813043</v>
      </c>
      <c r="E2749" s="733"/>
    </row>
    <row r="2750" spans="2:5">
      <c r="B2750" s="121">
        <v>242</v>
      </c>
      <c r="C2750" s="121">
        <v>8</v>
      </c>
      <c r="D2750" s="734">
        <v>146.60992723137792</v>
      </c>
      <c r="E2750" s="733"/>
    </row>
    <row r="2751" spans="2:5">
      <c r="B2751" s="121">
        <v>242</v>
      </c>
      <c r="C2751" s="121">
        <v>9</v>
      </c>
      <c r="D2751" s="734">
        <v>144.06960853965163</v>
      </c>
      <c r="E2751" s="733"/>
    </row>
    <row r="2752" spans="2:5">
      <c r="B2752" s="121">
        <v>242</v>
      </c>
      <c r="C2752" s="121">
        <v>10</v>
      </c>
      <c r="D2752" s="734">
        <v>138.47972353459662</v>
      </c>
      <c r="E2752" s="733"/>
    </row>
    <row r="2753" spans="2:5">
      <c r="B2753" s="121">
        <v>242</v>
      </c>
      <c r="C2753" s="121">
        <v>11</v>
      </c>
      <c r="D2753" s="734">
        <v>144.30625171729267</v>
      </c>
      <c r="E2753" s="733"/>
    </row>
    <row r="2754" spans="2:5">
      <c r="B2754" s="121">
        <v>242</v>
      </c>
      <c r="C2754" s="121">
        <v>12</v>
      </c>
      <c r="D2754" s="734">
        <v>143.69941069154891</v>
      </c>
      <c r="E2754" s="733"/>
    </row>
    <row r="2755" spans="2:5">
      <c r="B2755" s="121">
        <v>242</v>
      </c>
      <c r="C2755" s="121">
        <v>13</v>
      </c>
      <c r="D2755" s="734">
        <v>145.85739636284293</v>
      </c>
      <c r="E2755" s="733"/>
    </row>
    <row r="2756" spans="2:5">
      <c r="B2756" s="121">
        <v>242</v>
      </c>
      <c r="C2756" s="121">
        <v>14</v>
      </c>
      <c r="D2756" s="734">
        <v>145.96209147996262</v>
      </c>
      <c r="E2756" s="733"/>
    </row>
    <row r="2757" spans="2:5">
      <c r="B2757" s="121">
        <v>242</v>
      </c>
      <c r="C2757" s="121">
        <v>15</v>
      </c>
      <c r="D2757" s="734">
        <v>137.51810345250291</v>
      </c>
      <c r="E2757" s="733"/>
    </row>
    <row r="2758" spans="2:5">
      <c r="B2758" s="121">
        <v>242</v>
      </c>
      <c r="C2758" s="121">
        <v>16</v>
      </c>
      <c r="D2758" s="734">
        <v>134.57548247983809</v>
      </c>
      <c r="E2758" s="733"/>
    </row>
    <row r="2759" spans="2:5">
      <c r="B2759" s="121">
        <v>242</v>
      </c>
      <c r="C2759" s="121">
        <v>17</v>
      </c>
      <c r="D2759" s="734">
        <v>136.72904661225303</v>
      </c>
      <c r="E2759" s="733"/>
    </row>
    <row r="2760" spans="2:5">
      <c r="B2760" s="121">
        <v>242</v>
      </c>
      <c r="C2760" s="121">
        <v>18</v>
      </c>
      <c r="D2760" s="734">
        <v>139.19740911760735</v>
      </c>
      <c r="E2760" s="733"/>
    </row>
    <row r="2761" spans="2:5">
      <c r="B2761" s="121">
        <v>242</v>
      </c>
      <c r="C2761" s="121">
        <v>19</v>
      </c>
      <c r="D2761" s="734">
        <v>140.8732063659171</v>
      </c>
      <c r="E2761" s="733"/>
    </row>
    <row r="2762" spans="2:5">
      <c r="B2762" s="121">
        <v>242</v>
      </c>
      <c r="C2762" s="121">
        <v>20</v>
      </c>
      <c r="D2762" s="734">
        <v>146.71681585507429</v>
      </c>
      <c r="E2762" s="733"/>
    </row>
    <row r="2763" spans="2:5">
      <c r="B2763" s="121">
        <v>242</v>
      </c>
      <c r="C2763" s="121">
        <v>21</v>
      </c>
      <c r="D2763" s="734">
        <v>145.69341061220021</v>
      </c>
      <c r="E2763" s="733"/>
    </row>
    <row r="2764" spans="2:5">
      <c r="B2764" s="121">
        <v>242</v>
      </c>
      <c r="C2764" s="121">
        <v>22</v>
      </c>
      <c r="D2764" s="734">
        <v>146.75467621269144</v>
      </c>
      <c r="E2764" s="733"/>
    </row>
    <row r="2765" spans="2:5">
      <c r="B2765" s="121">
        <v>242</v>
      </c>
      <c r="C2765" s="121">
        <v>23</v>
      </c>
      <c r="D2765" s="734">
        <v>142.03294749462532</v>
      </c>
      <c r="E2765" s="733"/>
    </row>
    <row r="2766" spans="2:5">
      <c r="B2766" s="121">
        <v>242</v>
      </c>
      <c r="C2766" s="121">
        <v>24</v>
      </c>
      <c r="D2766" s="734">
        <v>143.66650676786733</v>
      </c>
      <c r="E2766" s="733"/>
    </row>
    <row r="2767" spans="2:5">
      <c r="B2767" s="121">
        <v>242</v>
      </c>
      <c r="C2767" s="121">
        <v>25</v>
      </c>
      <c r="D2767" s="734">
        <v>146.3673828917405</v>
      </c>
      <c r="E2767" s="733"/>
    </row>
    <row r="2768" spans="2:5">
      <c r="B2768" s="121">
        <v>242</v>
      </c>
      <c r="C2768" s="121">
        <v>26</v>
      </c>
      <c r="D2768" s="734">
        <v>140.05387309845187</v>
      </c>
      <c r="E2768" s="733"/>
    </row>
    <row r="2769" spans="2:5">
      <c r="B2769" s="121">
        <v>242</v>
      </c>
      <c r="C2769" s="121">
        <v>27</v>
      </c>
      <c r="D2769" s="734">
        <v>141.89056998202156</v>
      </c>
      <c r="E2769" s="733"/>
    </row>
    <row r="2770" spans="2:5">
      <c r="B2770" s="121">
        <v>242</v>
      </c>
      <c r="C2770" s="121">
        <v>28</v>
      </c>
      <c r="D2770" s="734">
        <v>141.56681149107152</v>
      </c>
      <c r="E2770" s="733"/>
    </row>
    <row r="2771" spans="2:5">
      <c r="B2771" s="121">
        <v>242</v>
      </c>
      <c r="C2771" s="121">
        <v>29</v>
      </c>
      <c r="D2771" s="734">
        <v>133.69720193747688</v>
      </c>
      <c r="E2771" s="733"/>
    </row>
    <row r="2772" spans="2:5">
      <c r="B2772" s="121">
        <v>242</v>
      </c>
      <c r="C2772" s="121">
        <v>30</v>
      </c>
      <c r="D2772" s="734">
        <v>138.45534070268877</v>
      </c>
      <c r="E2772" s="733"/>
    </row>
    <row r="2773" spans="2:5">
      <c r="B2773" s="121">
        <v>242</v>
      </c>
      <c r="C2773" s="121">
        <v>31</v>
      </c>
      <c r="D2773" s="734">
        <v>146.82868149481095</v>
      </c>
      <c r="E2773" s="733"/>
    </row>
    <row r="2774" spans="2:5">
      <c r="B2774" s="121">
        <v>242</v>
      </c>
      <c r="C2774" s="121">
        <v>32</v>
      </c>
      <c r="D2774" s="734">
        <v>139.22135424775587</v>
      </c>
      <c r="E2774" s="733"/>
    </row>
    <row r="2775" spans="2:5">
      <c r="B2775" s="121">
        <v>242</v>
      </c>
      <c r="C2775" s="121">
        <v>33</v>
      </c>
      <c r="D2775" s="734">
        <v>144.83558497503222</v>
      </c>
      <c r="E2775" s="733"/>
    </row>
    <row r="2776" spans="2:5">
      <c r="B2776" s="121">
        <v>242</v>
      </c>
      <c r="C2776" s="121">
        <v>34</v>
      </c>
      <c r="D2776" s="734">
        <v>140.80938496239671</v>
      </c>
      <c r="E2776" s="733"/>
    </row>
    <row r="2777" spans="2:5">
      <c r="B2777" s="121">
        <v>242</v>
      </c>
      <c r="C2777" s="121">
        <v>35</v>
      </c>
      <c r="D2777" s="734">
        <v>134.29584117648821</v>
      </c>
      <c r="E2777" s="733"/>
    </row>
    <row r="2778" spans="2:5">
      <c r="B2778" s="121">
        <v>242</v>
      </c>
      <c r="C2778" s="121">
        <v>36</v>
      </c>
      <c r="D2778" s="734">
        <v>142.80780991844193</v>
      </c>
      <c r="E2778" s="733"/>
    </row>
    <row r="2779" spans="2:5">
      <c r="B2779" s="121">
        <v>243</v>
      </c>
      <c r="C2779" s="121">
        <v>1</v>
      </c>
      <c r="D2779" s="734">
        <v>5</v>
      </c>
      <c r="E2779" s="733"/>
    </row>
    <row r="2780" spans="2:5">
      <c r="B2780" s="121">
        <v>243</v>
      </c>
      <c r="C2780" s="121">
        <v>2</v>
      </c>
      <c r="D2780" s="734">
        <v>96.565715100071984</v>
      </c>
      <c r="E2780" s="733"/>
    </row>
    <row r="2781" spans="2:5">
      <c r="B2781" s="121">
        <v>243</v>
      </c>
      <c r="C2781" s="121">
        <v>3</v>
      </c>
      <c r="D2781" s="734">
        <v>123.99308531086271</v>
      </c>
      <c r="E2781" s="733"/>
    </row>
    <row r="2782" spans="2:5">
      <c r="B2782" s="121">
        <v>243</v>
      </c>
      <c r="C2782" s="121">
        <v>4</v>
      </c>
      <c r="D2782" s="734">
        <v>135.69091034532534</v>
      </c>
      <c r="E2782" s="733"/>
    </row>
    <row r="2783" spans="2:5">
      <c r="B2783" s="121">
        <v>243</v>
      </c>
      <c r="C2783" s="121">
        <v>5</v>
      </c>
      <c r="D2783" s="734">
        <v>141.9185710882056</v>
      </c>
      <c r="E2783" s="733"/>
    </row>
    <row r="2784" spans="2:5">
      <c r="B2784" s="121">
        <v>243</v>
      </c>
      <c r="C2784" s="121">
        <v>6</v>
      </c>
      <c r="D2784" s="734">
        <v>140.40637992925664</v>
      </c>
      <c r="E2784" s="733"/>
    </row>
    <row r="2785" spans="2:5">
      <c r="B2785" s="121">
        <v>243</v>
      </c>
      <c r="C2785" s="121">
        <v>7</v>
      </c>
      <c r="D2785" s="734">
        <v>141.22100861332532</v>
      </c>
      <c r="E2785" s="733"/>
    </row>
    <row r="2786" spans="2:5">
      <c r="B2786" s="121">
        <v>243</v>
      </c>
      <c r="C2786" s="121">
        <v>8</v>
      </c>
      <c r="D2786" s="734">
        <v>144.01632139082579</v>
      </c>
      <c r="E2786" s="733"/>
    </row>
    <row r="2787" spans="2:5">
      <c r="B2787" s="121">
        <v>243</v>
      </c>
      <c r="C2787" s="121">
        <v>9</v>
      </c>
      <c r="D2787" s="734">
        <v>136.48213335635043</v>
      </c>
      <c r="E2787" s="733"/>
    </row>
    <row r="2788" spans="2:5">
      <c r="B2788" s="121">
        <v>243</v>
      </c>
      <c r="C2788" s="121">
        <v>10</v>
      </c>
      <c r="D2788" s="734">
        <v>146.10824523338863</v>
      </c>
      <c r="E2788" s="733"/>
    </row>
    <row r="2789" spans="2:5">
      <c r="B2789" s="121">
        <v>243</v>
      </c>
      <c r="C2789" s="121">
        <v>11</v>
      </c>
      <c r="D2789" s="734">
        <v>142.77825912614651</v>
      </c>
      <c r="E2789" s="733"/>
    </row>
    <row r="2790" spans="2:5">
      <c r="B2790" s="121">
        <v>243</v>
      </c>
      <c r="C2790" s="121">
        <v>12</v>
      </c>
      <c r="D2790" s="734">
        <v>137.80222438686488</v>
      </c>
      <c r="E2790" s="733"/>
    </row>
    <row r="2791" spans="2:5">
      <c r="B2791" s="121">
        <v>243</v>
      </c>
      <c r="C2791" s="121">
        <v>13</v>
      </c>
      <c r="D2791" s="734">
        <v>142.76482936210982</v>
      </c>
      <c r="E2791" s="733"/>
    </row>
    <row r="2792" spans="2:5">
      <c r="B2792" s="121">
        <v>243</v>
      </c>
      <c r="C2792" s="121">
        <v>14</v>
      </c>
      <c r="D2792" s="734">
        <v>146.92948711293567</v>
      </c>
      <c r="E2792" s="733"/>
    </row>
    <row r="2793" spans="2:5">
      <c r="B2793" s="121">
        <v>244</v>
      </c>
      <c r="C2793" s="121">
        <v>1</v>
      </c>
      <c r="D2793" s="734">
        <v>5</v>
      </c>
      <c r="E2793" s="733"/>
    </row>
    <row r="2794" spans="2:5">
      <c r="B2794" s="121">
        <v>245</v>
      </c>
      <c r="C2794" s="121">
        <v>1</v>
      </c>
      <c r="D2794" s="734">
        <v>5</v>
      </c>
      <c r="E2794" s="733"/>
    </row>
    <row r="2795" spans="2:5">
      <c r="B2795" s="121">
        <v>245</v>
      </c>
      <c r="C2795" s="121">
        <v>2</v>
      </c>
      <c r="D2795" s="734">
        <v>96.591049363150844</v>
      </c>
      <c r="E2795" s="733"/>
    </row>
    <row r="2796" spans="2:5">
      <c r="B2796" s="121">
        <v>245</v>
      </c>
      <c r="C2796" s="121">
        <v>3</v>
      </c>
      <c r="D2796" s="734">
        <v>123.66582428471433</v>
      </c>
      <c r="E2796" s="733"/>
    </row>
    <row r="2797" spans="2:5">
      <c r="B2797" s="121">
        <v>245</v>
      </c>
      <c r="C2797" s="121">
        <v>4</v>
      </c>
      <c r="D2797" s="734">
        <v>135.75914613720428</v>
      </c>
      <c r="E2797" s="733"/>
    </row>
    <row r="2798" spans="2:5">
      <c r="B2798" s="121">
        <v>245</v>
      </c>
      <c r="C2798" s="121">
        <v>5</v>
      </c>
      <c r="D2798" s="734">
        <v>134.69810379514649</v>
      </c>
      <c r="E2798" s="733"/>
    </row>
    <row r="2799" spans="2:5">
      <c r="B2799" s="121">
        <v>245</v>
      </c>
      <c r="C2799" s="121">
        <v>6</v>
      </c>
      <c r="D2799" s="734">
        <v>138.78334241997408</v>
      </c>
      <c r="E2799" s="733"/>
    </row>
    <row r="2800" spans="2:5">
      <c r="B2800" s="121">
        <v>245</v>
      </c>
      <c r="C2800" s="121">
        <v>7</v>
      </c>
      <c r="D2800" s="734">
        <v>142.48168538035256</v>
      </c>
      <c r="E2800" s="733"/>
    </row>
    <row r="2801" spans="2:5">
      <c r="B2801" s="121">
        <v>245</v>
      </c>
      <c r="C2801" s="121">
        <v>8</v>
      </c>
      <c r="D2801" s="734">
        <v>139.50047170433047</v>
      </c>
      <c r="E2801" s="733"/>
    </row>
    <row r="2802" spans="2:5">
      <c r="B2802" s="121">
        <v>245</v>
      </c>
      <c r="C2802" s="121">
        <v>9</v>
      </c>
      <c r="D2802" s="734">
        <v>142.30952624672952</v>
      </c>
      <c r="E2802" s="733"/>
    </row>
    <row r="2803" spans="2:5">
      <c r="B2803" s="121">
        <v>245</v>
      </c>
      <c r="C2803" s="121">
        <v>10</v>
      </c>
      <c r="D2803" s="734">
        <v>144.80055668821998</v>
      </c>
      <c r="E2803" s="733"/>
    </row>
    <row r="2804" spans="2:5">
      <c r="B2804" s="121">
        <v>245</v>
      </c>
      <c r="C2804" s="121">
        <v>11</v>
      </c>
      <c r="D2804" s="734">
        <v>139.93716105046332</v>
      </c>
      <c r="E2804" s="733"/>
    </row>
    <row r="2805" spans="2:5">
      <c r="B2805" s="121">
        <v>245</v>
      </c>
      <c r="C2805" s="121">
        <v>12</v>
      </c>
      <c r="D2805" s="734">
        <v>143.34805793910778</v>
      </c>
      <c r="E2805" s="733"/>
    </row>
    <row r="2806" spans="2:5">
      <c r="B2806" s="121">
        <v>245</v>
      </c>
      <c r="C2806" s="121">
        <v>13</v>
      </c>
      <c r="D2806" s="734">
        <v>138.04861447435098</v>
      </c>
      <c r="E2806" s="733"/>
    </row>
    <row r="2807" spans="2:5">
      <c r="B2807" s="121">
        <v>245</v>
      </c>
      <c r="C2807" s="121">
        <v>14</v>
      </c>
      <c r="D2807" s="734">
        <v>146.82214463916333</v>
      </c>
      <c r="E2807" s="733"/>
    </row>
    <row r="2808" spans="2:5">
      <c r="B2808" s="121">
        <v>245</v>
      </c>
      <c r="C2808" s="121">
        <v>15</v>
      </c>
      <c r="D2808" s="734">
        <v>135.76549279059407</v>
      </c>
      <c r="E2808" s="733"/>
    </row>
    <row r="2809" spans="2:5">
      <c r="B2809" s="121">
        <v>245</v>
      </c>
      <c r="C2809" s="121">
        <v>16</v>
      </c>
      <c r="D2809" s="734">
        <v>134.00038833624902</v>
      </c>
      <c r="E2809" s="733"/>
    </row>
    <row r="2810" spans="2:5">
      <c r="B2810" s="121">
        <v>245</v>
      </c>
      <c r="C2810" s="121">
        <v>17</v>
      </c>
      <c r="D2810" s="734">
        <v>135.87055514177655</v>
      </c>
      <c r="E2810" s="733"/>
    </row>
    <row r="2811" spans="2:5">
      <c r="B2811" s="121">
        <v>245</v>
      </c>
      <c r="C2811" s="121">
        <v>18</v>
      </c>
      <c r="D2811" s="734">
        <v>142.71445660779062</v>
      </c>
      <c r="E2811" s="733"/>
    </row>
    <row r="2812" spans="2:5">
      <c r="B2812" s="121">
        <v>245</v>
      </c>
      <c r="C2812" s="121">
        <v>19</v>
      </c>
      <c r="D2812" s="734">
        <v>143.01126509786843</v>
      </c>
      <c r="E2812" s="733"/>
    </row>
    <row r="2813" spans="2:5">
      <c r="B2813" s="121">
        <v>245</v>
      </c>
      <c r="C2813" s="121">
        <v>20</v>
      </c>
      <c r="D2813" s="734">
        <v>146.47994915916036</v>
      </c>
      <c r="E2813" s="733"/>
    </row>
    <row r="2814" spans="2:5">
      <c r="B2814" s="121">
        <v>245</v>
      </c>
      <c r="C2814" s="121">
        <v>21</v>
      </c>
      <c r="D2814" s="734">
        <v>145.29186528106223</v>
      </c>
      <c r="E2814" s="733"/>
    </row>
    <row r="2815" spans="2:5">
      <c r="B2815" s="121">
        <v>245</v>
      </c>
      <c r="C2815" s="121">
        <v>22</v>
      </c>
      <c r="D2815" s="734">
        <v>135.25550836331917</v>
      </c>
      <c r="E2815" s="733"/>
    </row>
    <row r="2816" spans="2:5">
      <c r="B2816" s="121">
        <v>245</v>
      </c>
      <c r="C2816" s="121">
        <v>23</v>
      </c>
      <c r="D2816" s="734">
        <v>144.72831964586987</v>
      </c>
      <c r="E2816" s="733"/>
    </row>
    <row r="2817" spans="2:5">
      <c r="B2817" s="121">
        <v>245</v>
      </c>
      <c r="C2817" s="121">
        <v>24</v>
      </c>
      <c r="D2817" s="734">
        <v>143.44466417468618</v>
      </c>
      <c r="E2817" s="733"/>
    </row>
    <row r="2818" spans="2:5">
      <c r="B2818" s="121">
        <v>245</v>
      </c>
      <c r="C2818" s="121">
        <v>25</v>
      </c>
      <c r="D2818" s="734">
        <v>135.99288838695878</v>
      </c>
      <c r="E2818" s="733"/>
    </row>
    <row r="2819" spans="2:5">
      <c r="B2819" s="121">
        <v>245</v>
      </c>
      <c r="C2819" s="121">
        <v>26</v>
      </c>
      <c r="D2819" s="734">
        <v>145.92386009754759</v>
      </c>
      <c r="E2819" s="733"/>
    </row>
    <row r="2820" spans="2:5">
      <c r="B2820" s="121">
        <v>245</v>
      </c>
      <c r="C2820" s="121">
        <v>27</v>
      </c>
      <c r="D2820" s="734">
        <v>141.47688200315673</v>
      </c>
      <c r="E2820" s="733"/>
    </row>
    <row r="2821" spans="2:5">
      <c r="B2821" s="121">
        <v>245</v>
      </c>
      <c r="C2821" s="121">
        <v>28</v>
      </c>
      <c r="D2821" s="734">
        <v>146.97590368426506</v>
      </c>
      <c r="E2821" s="733"/>
    </row>
    <row r="2822" spans="2:5">
      <c r="B2822" s="121">
        <v>245</v>
      </c>
      <c r="C2822" s="121">
        <v>29</v>
      </c>
      <c r="D2822" s="734">
        <v>139.73983769593892</v>
      </c>
      <c r="E2822" s="733"/>
    </row>
    <row r="2823" spans="2:5">
      <c r="B2823" s="121">
        <v>245</v>
      </c>
      <c r="C2823" s="121">
        <v>30</v>
      </c>
      <c r="D2823" s="734">
        <v>141.26995649170189</v>
      </c>
      <c r="E2823" s="733"/>
    </row>
    <row r="2824" spans="2:5">
      <c r="B2824" s="121">
        <v>246</v>
      </c>
      <c r="C2824" s="121">
        <v>1</v>
      </c>
      <c r="D2824" s="734">
        <v>5</v>
      </c>
      <c r="E2824" s="733"/>
    </row>
    <row r="2825" spans="2:5">
      <c r="B2825" s="121">
        <v>246</v>
      </c>
      <c r="C2825" s="121">
        <v>2</v>
      </c>
      <c r="D2825" s="734">
        <v>96.312073063470564</v>
      </c>
      <c r="E2825" s="733"/>
    </row>
    <row r="2826" spans="2:5">
      <c r="B2826" s="121">
        <v>247</v>
      </c>
      <c r="C2826" s="121">
        <v>1</v>
      </c>
      <c r="D2826" s="734">
        <v>5</v>
      </c>
      <c r="E2826" s="733"/>
    </row>
    <row r="2827" spans="2:5">
      <c r="B2827" s="121">
        <v>248</v>
      </c>
      <c r="C2827" s="121">
        <v>1</v>
      </c>
      <c r="D2827" s="734">
        <v>5</v>
      </c>
      <c r="E2827" s="733"/>
    </row>
    <row r="2828" spans="2:5">
      <c r="B2828" s="121">
        <v>248</v>
      </c>
      <c r="C2828" s="121">
        <v>2</v>
      </c>
      <c r="D2828" s="734">
        <v>101.25797678052486</v>
      </c>
      <c r="E2828" s="733"/>
    </row>
    <row r="2829" spans="2:5">
      <c r="B2829" s="121">
        <v>248</v>
      </c>
      <c r="C2829" s="121">
        <v>3</v>
      </c>
      <c r="D2829" s="734">
        <v>118.45154420362734</v>
      </c>
      <c r="E2829" s="733"/>
    </row>
    <row r="2830" spans="2:5">
      <c r="B2830" s="121">
        <v>248</v>
      </c>
      <c r="C2830" s="121">
        <v>4</v>
      </c>
      <c r="D2830" s="734">
        <v>141.45121411118495</v>
      </c>
      <c r="E2830" s="733"/>
    </row>
    <row r="2831" spans="2:5">
      <c r="B2831" s="121">
        <v>248</v>
      </c>
      <c r="C2831" s="121">
        <v>5</v>
      </c>
      <c r="D2831" s="734">
        <v>139.80200348164132</v>
      </c>
      <c r="E2831" s="733"/>
    </row>
    <row r="2832" spans="2:5">
      <c r="B2832" s="121">
        <v>248</v>
      </c>
      <c r="C2832" s="121">
        <v>6</v>
      </c>
      <c r="D2832" s="734">
        <v>144.43219613830942</v>
      </c>
      <c r="E2832" s="733"/>
    </row>
    <row r="2833" spans="2:5">
      <c r="B2833" s="121">
        <v>248</v>
      </c>
      <c r="C2833" s="121">
        <v>7</v>
      </c>
      <c r="D2833" s="734">
        <v>146.62775587621348</v>
      </c>
      <c r="E2833" s="733"/>
    </row>
    <row r="2834" spans="2:5">
      <c r="B2834" s="121">
        <v>248</v>
      </c>
      <c r="C2834" s="121">
        <v>8</v>
      </c>
      <c r="D2834" s="734">
        <v>146.80300104554397</v>
      </c>
      <c r="E2834" s="733"/>
    </row>
    <row r="2835" spans="2:5">
      <c r="B2835" s="121">
        <v>248</v>
      </c>
      <c r="C2835" s="121">
        <v>9</v>
      </c>
      <c r="D2835" s="734">
        <v>136.29691293829981</v>
      </c>
      <c r="E2835" s="733"/>
    </row>
    <row r="2836" spans="2:5">
      <c r="B2836" s="121">
        <v>248</v>
      </c>
      <c r="C2836" s="121">
        <v>10</v>
      </c>
      <c r="D2836" s="734">
        <v>144.73685621635977</v>
      </c>
      <c r="E2836" s="733"/>
    </row>
    <row r="2837" spans="2:5">
      <c r="B2837" s="121">
        <v>248</v>
      </c>
      <c r="C2837" s="121">
        <v>11</v>
      </c>
      <c r="D2837" s="734">
        <v>145.90864448634869</v>
      </c>
      <c r="E2837" s="733"/>
    </row>
    <row r="2838" spans="2:5">
      <c r="B2838" s="121">
        <v>248</v>
      </c>
      <c r="C2838" s="121">
        <v>12</v>
      </c>
      <c r="D2838" s="734">
        <v>140.56942644718831</v>
      </c>
      <c r="E2838" s="733"/>
    </row>
    <row r="2839" spans="2:5">
      <c r="B2839" s="121">
        <v>248</v>
      </c>
      <c r="C2839" s="121">
        <v>13</v>
      </c>
      <c r="D2839" s="734">
        <v>140.56935483337838</v>
      </c>
      <c r="E2839" s="733"/>
    </row>
    <row r="2840" spans="2:5">
      <c r="B2840" s="121">
        <v>248</v>
      </c>
      <c r="C2840" s="121">
        <v>14</v>
      </c>
      <c r="D2840" s="734">
        <v>144.92320003044932</v>
      </c>
      <c r="E2840" s="733"/>
    </row>
    <row r="2841" spans="2:5">
      <c r="B2841" s="121">
        <v>248</v>
      </c>
      <c r="C2841" s="121">
        <v>15</v>
      </c>
      <c r="D2841" s="734">
        <v>137.01562748975579</v>
      </c>
      <c r="E2841" s="733"/>
    </row>
    <row r="2842" spans="2:5">
      <c r="B2842" s="121">
        <v>248</v>
      </c>
      <c r="C2842" s="121">
        <v>16</v>
      </c>
      <c r="D2842" s="734">
        <v>141.9167402713403</v>
      </c>
      <c r="E2842" s="733"/>
    </row>
    <row r="2843" spans="2:5">
      <c r="B2843" s="121">
        <v>248</v>
      </c>
      <c r="C2843" s="121">
        <v>17</v>
      </c>
      <c r="D2843" s="734">
        <v>138.82190412533157</v>
      </c>
      <c r="E2843" s="733"/>
    </row>
    <row r="2844" spans="2:5">
      <c r="B2844" s="121">
        <v>248</v>
      </c>
      <c r="C2844" s="121">
        <v>18</v>
      </c>
      <c r="D2844" s="734">
        <v>142.05594484652605</v>
      </c>
      <c r="E2844" s="733"/>
    </row>
    <row r="2845" spans="2:5">
      <c r="B2845" s="121">
        <v>248</v>
      </c>
      <c r="C2845" s="121">
        <v>19</v>
      </c>
      <c r="D2845" s="734">
        <v>134.67195467848649</v>
      </c>
      <c r="E2845" s="733"/>
    </row>
    <row r="2846" spans="2:5">
      <c r="B2846" s="121">
        <v>248</v>
      </c>
      <c r="C2846" s="121">
        <v>20</v>
      </c>
      <c r="D2846" s="734">
        <v>137.89524208670275</v>
      </c>
      <c r="E2846" s="733"/>
    </row>
    <row r="2847" spans="2:5">
      <c r="B2847" s="121">
        <v>248</v>
      </c>
      <c r="C2847" s="121">
        <v>21</v>
      </c>
      <c r="D2847" s="734">
        <v>140.91694636972116</v>
      </c>
      <c r="E2847" s="733"/>
    </row>
    <row r="2848" spans="2:5">
      <c r="B2848" s="121">
        <v>248</v>
      </c>
      <c r="C2848" s="121">
        <v>22</v>
      </c>
      <c r="D2848" s="734">
        <v>145.05199163971025</v>
      </c>
      <c r="E2848" s="733"/>
    </row>
    <row r="2849" spans="2:5">
      <c r="B2849" s="121">
        <v>248</v>
      </c>
      <c r="C2849" s="121">
        <v>23</v>
      </c>
      <c r="D2849" s="734">
        <v>137.77112095621644</v>
      </c>
      <c r="E2849" s="733"/>
    </row>
    <row r="2850" spans="2:5">
      <c r="B2850" s="121">
        <v>248</v>
      </c>
      <c r="C2850" s="121">
        <v>24</v>
      </c>
      <c r="D2850" s="734">
        <v>136.80846525407142</v>
      </c>
      <c r="E2850" s="733"/>
    </row>
    <row r="2851" spans="2:5">
      <c r="B2851" s="121">
        <v>248</v>
      </c>
      <c r="C2851" s="121">
        <v>25</v>
      </c>
      <c r="D2851" s="734">
        <v>146.94670901023107</v>
      </c>
      <c r="E2851" s="733"/>
    </row>
    <row r="2852" spans="2:5">
      <c r="B2852" s="121">
        <v>248</v>
      </c>
      <c r="C2852" s="121">
        <v>26</v>
      </c>
      <c r="D2852" s="734">
        <v>146.36032837576352</v>
      </c>
      <c r="E2852" s="733"/>
    </row>
    <row r="2853" spans="2:5">
      <c r="B2853" s="121">
        <v>248</v>
      </c>
      <c r="C2853" s="121">
        <v>27</v>
      </c>
      <c r="D2853" s="734">
        <v>142.08672196596396</v>
      </c>
      <c r="E2853" s="733"/>
    </row>
    <row r="2854" spans="2:5">
      <c r="B2854" s="121">
        <v>248</v>
      </c>
      <c r="C2854" s="121">
        <v>28</v>
      </c>
      <c r="D2854" s="734">
        <v>139.3291577996855</v>
      </c>
      <c r="E2854" s="733"/>
    </row>
    <row r="2855" spans="2:5">
      <c r="B2855" s="121">
        <v>248</v>
      </c>
      <c r="C2855" s="121">
        <v>29</v>
      </c>
      <c r="D2855" s="734">
        <v>143.5539418283245</v>
      </c>
      <c r="E2855" s="733"/>
    </row>
    <row r="2856" spans="2:5">
      <c r="B2856" s="121">
        <v>248</v>
      </c>
      <c r="C2856" s="121">
        <v>30</v>
      </c>
      <c r="D2856" s="734">
        <v>135.85270372352844</v>
      </c>
      <c r="E2856" s="733"/>
    </row>
    <row r="2857" spans="2:5">
      <c r="B2857" s="121">
        <v>248</v>
      </c>
      <c r="C2857" s="121">
        <v>31</v>
      </c>
      <c r="D2857" s="734">
        <v>146.41393906289969</v>
      </c>
      <c r="E2857" s="733"/>
    </row>
    <row r="2858" spans="2:5">
      <c r="B2858" s="121">
        <v>248</v>
      </c>
      <c r="C2858" s="121">
        <v>32</v>
      </c>
      <c r="D2858" s="734">
        <v>135.68380581087925</v>
      </c>
      <c r="E2858" s="733"/>
    </row>
    <row r="2859" spans="2:5">
      <c r="B2859" s="121">
        <v>248</v>
      </c>
      <c r="C2859" s="121">
        <v>33</v>
      </c>
      <c r="D2859" s="734">
        <v>142.70304882648438</v>
      </c>
      <c r="E2859" s="733"/>
    </row>
    <row r="2860" spans="2:5">
      <c r="B2860" s="121">
        <v>248</v>
      </c>
      <c r="C2860" s="121">
        <v>34</v>
      </c>
      <c r="D2860" s="734">
        <v>136.46030877921353</v>
      </c>
      <c r="E2860" s="733"/>
    </row>
    <row r="2861" spans="2:5">
      <c r="B2861" s="121">
        <v>248</v>
      </c>
      <c r="C2861" s="121">
        <v>35</v>
      </c>
      <c r="D2861" s="734">
        <v>137.86502035355502</v>
      </c>
      <c r="E2861" s="733"/>
    </row>
    <row r="2862" spans="2:5">
      <c r="B2862" s="121">
        <v>248</v>
      </c>
      <c r="C2862" s="121">
        <v>36</v>
      </c>
      <c r="D2862" s="734">
        <v>140.91771757154984</v>
      </c>
      <c r="E2862" s="733"/>
    </row>
    <row r="2863" spans="2:5">
      <c r="B2863" s="121">
        <v>249</v>
      </c>
      <c r="C2863" s="121">
        <v>1</v>
      </c>
      <c r="D2863" s="734">
        <v>5</v>
      </c>
      <c r="E2863" s="733"/>
    </row>
    <row r="2864" spans="2:5">
      <c r="B2864" s="121">
        <v>249</v>
      </c>
      <c r="C2864" s="121">
        <v>2</v>
      </c>
      <c r="D2864" s="734">
        <v>97.738314886942788</v>
      </c>
      <c r="E2864" s="733"/>
    </row>
    <row r="2865" spans="2:5">
      <c r="B2865" s="121">
        <v>249</v>
      </c>
      <c r="C2865" s="121">
        <v>3</v>
      </c>
      <c r="D2865" s="734">
        <v>117.03026561954347</v>
      </c>
      <c r="E2865" s="733"/>
    </row>
    <row r="2866" spans="2:5">
      <c r="B2866" s="121">
        <v>249</v>
      </c>
      <c r="C2866" s="121">
        <v>4</v>
      </c>
      <c r="D2866" s="734">
        <v>139.71431753722581</v>
      </c>
      <c r="E2866" s="733"/>
    </row>
    <row r="2867" spans="2:5">
      <c r="B2867" s="121">
        <v>249</v>
      </c>
      <c r="C2867" s="121">
        <v>5</v>
      </c>
      <c r="D2867" s="734">
        <v>142.67776707425875</v>
      </c>
      <c r="E2867" s="733"/>
    </row>
    <row r="2868" spans="2:5">
      <c r="B2868" s="121">
        <v>249</v>
      </c>
      <c r="C2868" s="121">
        <v>6</v>
      </c>
      <c r="D2868" s="734">
        <v>134.01271310894836</v>
      </c>
      <c r="E2868" s="733"/>
    </row>
    <row r="2869" spans="2:5">
      <c r="B2869" s="121">
        <v>249</v>
      </c>
      <c r="C2869" s="121">
        <v>7</v>
      </c>
      <c r="D2869" s="734">
        <v>134.27850349510823</v>
      </c>
      <c r="E2869" s="733"/>
    </row>
    <row r="2870" spans="2:5">
      <c r="B2870" s="121">
        <v>249</v>
      </c>
      <c r="C2870" s="121">
        <v>8</v>
      </c>
      <c r="D2870" s="734">
        <v>137.0663117345085</v>
      </c>
      <c r="E2870" s="733"/>
    </row>
    <row r="2871" spans="2:5">
      <c r="B2871" s="121">
        <v>249</v>
      </c>
      <c r="C2871" s="121">
        <v>9</v>
      </c>
      <c r="D2871" s="734">
        <v>144.80378117659799</v>
      </c>
      <c r="E2871" s="733"/>
    </row>
    <row r="2872" spans="2:5">
      <c r="B2872" s="121">
        <v>249</v>
      </c>
      <c r="C2872" s="121">
        <v>10</v>
      </c>
      <c r="D2872" s="734">
        <v>143.65725563367505</v>
      </c>
      <c r="E2872" s="733"/>
    </row>
    <row r="2873" spans="2:5">
      <c r="B2873" s="121">
        <v>249</v>
      </c>
      <c r="C2873" s="121">
        <v>11</v>
      </c>
      <c r="D2873" s="734">
        <v>139.35403808073622</v>
      </c>
      <c r="E2873" s="733"/>
    </row>
    <row r="2874" spans="2:5">
      <c r="B2874" s="121">
        <v>249</v>
      </c>
      <c r="C2874" s="121">
        <v>12</v>
      </c>
      <c r="D2874" s="734">
        <v>134.22129272070327</v>
      </c>
      <c r="E2874" s="733"/>
    </row>
    <row r="2875" spans="2:5">
      <c r="B2875" s="121">
        <v>249</v>
      </c>
      <c r="C2875" s="121">
        <v>13</v>
      </c>
      <c r="D2875" s="734">
        <v>136.53483695190997</v>
      </c>
      <c r="E2875" s="733"/>
    </row>
    <row r="2876" spans="2:5">
      <c r="B2876" s="121">
        <v>249</v>
      </c>
      <c r="C2876" s="121">
        <v>14</v>
      </c>
      <c r="D2876" s="734">
        <v>140.32961778561057</v>
      </c>
      <c r="E2876" s="733"/>
    </row>
    <row r="2877" spans="2:5">
      <c r="B2877" s="121">
        <v>249</v>
      </c>
      <c r="C2877" s="121">
        <v>15</v>
      </c>
      <c r="D2877" s="734">
        <v>145.24457999744988</v>
      </c>
      <c r="E2877" s="733"/>
    </row>
    <row r="2878" spans="2:5">
      <c r="B2878" s="121">
        <v>249</v>
      </c>
      <c r="C2878" s="121">
        <v>16</v>
      </c>
      <c r="D2878" s="734">
        <v>136.55120500533053</v>
      </c>
      <c r="E2878" s="733"/>
    </row>
    <row r="2879" spans="2:5">
      <c r="B2879" s="121">
        <v>249</v>
      </c>
      <c r="C2879" s="121">
        <v>17</v>
      </c>
      <c r="D2879" s="734">
        <v>138.36903036785097</v>
      </c>
      <c r="E2879" s="733"/>
    </row>
    <row r="2880" spans="2:5">
      <c r="B2880" s="121">
        <v>250</v>
      </c>
      <c r="C2880" s="121">
        <v>1</v>
      </c>
      <c r="D2880" s="734">
        <v>5</v>
      </c>
      <c r="E2880" s="733"/>
    </row>
    <row r="2881" spans="2:5">
      <c r="B2881" s="121">
        <v>250</v>
      </c>
      <c r="C2881" s="121">
        <v>2</v>
      </c>
      <c r="D2881" s="734">
        <v>99.790981039916204</v>
      </c>
      <c r="E2881" s="733"/>
    </row>
    <row r="2882" spans="2:5">
      <c r="B2882" s="121">
        <v>250</v>
      </c>
      <c r="C2882" s="121">
        <v>3</v>
      </c>
      <c r="D2882" s="734">
        <v>114.13734019334474</v>
      </c>
      <c r="E2882" s="733"/>
    </row>
    <row r="2883" spans="2:5">
      <c r="B2883" s="121">
        <v>250</v>
      </c>
      <c r="C2883" s="121">
        <v>4</v>
      </c>
      <c r="D2883" s="734">
        <v>144.91088118944921</v>
      </c>
      <c r="E2883" s="733"/>
    </row>
    <row r="2884" spans="2:5">
      <c r="B2884" s="121">
        <v>250</v>
      </c>
      <c r="C2884" s="121">
        <v>5</v>
      </c>
      <c r="D2884" s="734">
        <v>140.31809605883748</v>
      </c>
      <c r="E2884" s="733"/>
    </row>
    <row r="2885" spans="2:5">
      <c r="B2885" s="121">
        <v>250</v>
      </c>
      <c r="C2885" s="121">
        <v>6</v>
      </c>
      <c r="D2885" s="734">
        <v>139.00529638968996</v>
      </c>
      <c r="E2885" s="733"/>
    </row>
    <row r="2886" spans="2:5">
      <c r="B2886" s="121">
        <v>250</v>
      </c>
      <c r="C2886" s="121">
        <v>7</v>
      </c>
      <c r="D2886" s="734">
        <v>134.27957776846182</v>
      </c>
      <c r="E2886" s="733"/>
    </row>
    <row r="2887" spans="2:5">
      <c r="B2887" s="121">
        <v>250</v>
      </c>
      <c r="C2887" s="121">
        <v>8</v>
      </c>
      <c r="D2887" s="734">
        <v>134.31363265456787</v>
      </c>
      <c r="E2887" s="733"/>
    </row>
    <row r="2888" spans="2:5">
      <c r="B2888" s="121">
        <v>250</v>
      </c>
      <c r="C2888" s="121">
        <v>9</v>
      </c>
      <c r="D2888" s="734">
        <v>136.35001627507322</v>
      </c>
      <c r="E2888" s="733"/>
    </row>
    <row r="2889" spans="2:5">
      <c r="B2889" s="121">
        <v>250</v>
      </c>
      <c r="C2889" s="121">
        <v>10</v>
      </c>
      <c r="D2889" s="734">
        <v>146.80251108477131</v>
      </c>
      <c r="E2889" s="733"/>
    </row>
    <row r="2890" spans="2:5">
      <c r="B2890" s="121">
        <v>250</v>
      </c>
      <c r="C2890" s="121">
        <v>11</v>
      </c>
      <c r="D2890" s="734">
        <v>146.81539348781882</v>
      </c>
      <c r="E2890" s="733"/>
    </row>
    <row r="2891" spans="2:5">
      <c r="B2891" s="121">
        <v>250</v>
      </c>
      <c r="C2891" s="121">
        <v>12</v>
      </c>
      <c r="D2891" s="734">
        <v>137.94981995200428</v>
      </c>
      <c r="E2891" s="733"/>
    </row>
    <row r="2892" spans="2:5">
      <c r="B2892" s="121">
        <v>250</v>
      </c>
      <c r="C2892" s="121">
        <v>13</v>
      </c>
      <c r="D2892" s="734">
        <v>144.03992515086702</v>
      </c>
      <c r="E2892" s="733"/>
    </row>
    <row r="2893" spans="2:5">
      <c r="B2893" s="121">
        <v>250</v>
      </c>
      <c r="C2893" s="121">
        <v>14</v>
      </c>
      <c r="D2893" s="734">
        <v>146.21427625324898</v>
      </c>
      <c r="E2893" s="733"/>
    </row>
    <row r="2894" spans="2:5">
      <c r="B2894" s="121">
        <v>250</v>
      </c>
      <c r="C2894" s="121">
        <v>15</v>
      </c>
      <c r="D2894" s="734">
        <v>141.47692253047632</v>
      </c>
      <c r="E2894" s="733"/>
    </row>
    <row r="2895" spans="2:5">
      <c r="B2895" s="121">
        <v>250</v>
      </c>
      <c r="C2895" s="121">
        <v>16</v>
      </c>
      <c r="D2895" s="734">
        <v>136.04178854377187</v>
      </c>
      <c r="E2895" s="733"/>
    </row>
    <row r="2896" spans="2:5">
      <c r="B2896" s="121">
        <v>250</v>
      </c>
      <c r="C2896" s="121">
        <v>17</v>
      </c>
      <c r="D2896" s="734">
        <v>146.78480688817891</v>
      </c>
      <c r="E2896" s="733"/>
    </row>
    <row r="2897" spans="2:5">
      <c r="B2897" s="121">
        <v>250</v>
      </c>
      <c r="C2897" s="121">
        <v>18</v>
      </c>
      <c r="D2897" s="734">
        <v>145.47122763345291</v>
      </c>
      <c r="E2897" s="733"/>
    </row>
    <row r="2898" spans="2:5">
      <c r="B2898" s="121">
        <v>250</v>
      </c>
      <c r="C2898" s="121">
        <v>19</v>
      </c>
      <c r="D2898" s="734">
        <v>137.3813625739341</v>
      </c>
      <c r="E2898" s="733"/>
    </row>
    <row r="2899" spans="2:5">
      <c r="B2899" s="121">
        <v>250</v>
      </c>
      <c r="C2899" s="121">
        <v>20</v>
      </c>
      <c r="D2899" s="734">
        <v>136.18229230930336</v>
      </c>
      <c r="E2899" s="733"/>
    </row>
    <row r="2900" spans="2:5">
      <c r="B2900" s="121">
        <v>250</v>
      </c>
      <c r="C2900" s="121">
        <v>21</v>
      </c>
      <c r="D2900" s="734">
        <v>142.61121153846872</v>
      </c>
      <c r="E2900" s="733"/>
    </row>
    <row r="2901" spans="2:5">
      <c r="B2901" s="121">
        <v>250</v>
      </c>
      <c r="C2901" s="121">
        <v>22</v>
      </c>
      <c r="D2901" s="734">
        <v>145.74967426717279</v>
      </c>
      <c r="E2901" s="733"/>
    </row>
    <row r="2902" spans="2:5">
      <c r="B2902" s="121">
        <v>250</v>
      </c>
      <c r="C2902" s="121">
        <v>23</v>
      </c>
      <c r="D2902" s="734">
        <v>137.390589873002</v>
      </c>
      <c r="E2902" s="733"/>
    </row>
    <row r="2903" spans="2:5">
      <c r="B2903" s="121">
        <v>250</v>
      </c>
      <c r="C2903" s="121">
        <v>24</v>
      </c>
      <c r="D2903" s="734">
        <v>137.81750061318743</v>
      </c>
      <c r="E2903" s="733"/>
    </row>
    <row r="2904" spans="2:5">
      <c r="B2904" s="121">
        <v>250</v>
      </c>
      <c r="C2904" s="121">
        <v>25</v>
      </c>
      <c r="D2904" s="734">
        <v>135.77574076730278</v>
      </c>
      <c r="E2904" s="733"/>
    </row>
    <row r="2905" spans="2:5">
      <c r="B2905" s="121">
        <v>250</v>
      </c>
      <c r="C2905" s="121">
        <v>26</v>
      </c>
      <c r="D2905" s="734">
        <v>137.20589726661012</v>
      </c>
      <c r="E2905" s="733"/>
    </row>
    <row r="2906" spans="2:5">
      <c r="B2906" s="121">
        <v>250</v>
      </c>
      <c r="C2906" s="121">
        <v>27</v>
      </c>
      <c r="D2906" s="734">
        <v>138.77915594269297</v>
      </c>
      <c r="E2906" s="733"/>
    </row>
    <row r="2907" spans="2:5">
      <c r="B2907" s="121">
        <v>250</v>
      </c>
      <c r="C2907" s="121">
        <v>28</v>
      </c>
      <c r="D2907" s="734">
        <v>134.84126305670614</v>
      </c>
      <c r="E2907" s="733"/>
    </row>
    <row r="2908" spans="2:5">
      <c r="B2908" s="121">
        <v>250</v>
      </c>
      <c r="C2908" s="121">
        <v>29</v>
      </c>
      <c r="D2908" s="734">
        <v>135.42924631775242</v>
      </c>
      <c r="E2908" s="733"/>
    </row>
    <row r="2909" spans="2:5">
      <c r="B2909" s="121">
        <v>250</v>
      </c>
      <c r="C2909" s="121">
        <v>30</v>
      </c>
      <c r="D2909" s="734">
        <v>137.19936387661832</v>
      </c>
      <c r="E2909" s="733"/>
    </row>
    <row r="2910" spans="2:5">
      <c r="B2910" s="121">
        <v>250</v>
      </c>
      <c r="C2910" s="121">
        <v>31</v>
      </c>
      <c r="D2910" s="734">
        <v>134.63518233866031</v>
      </c>
      <c r="E2910" s="733"/>
    </row>
    <row r="2911" spans="2:5">
      <c r="B2911" s="121">
        <v>250</v>
      </c>
      <c r="C2911" s="121">
        <v>32</v>
      </c>
      <c r="D2911" s="734">
        <v>147.09315875291054</v>
      </c>
      <c r="E2911" s="733"/>
    </row>
    <row r="2912" spans="2:5">
      <c r="B2912" s="121">
        <v>250</v>
      </c>
      <c r="C2912" s="121">
        <v>33</v>
      </c>
      <c r="D2912" s="734">
        <v>142.74805928454012</v>
      </c>
      <c r="E2912" s="733"/>
    </row>
    <row r="2913" spans="2:5">
      <c r="B2913" s="121">
        <v>250</v>
      </c>
      <c r="C2913" s="121">
        <v>34</v>
      </c>
      <c r="D2913" s="734">
        <v>137.49108044751952</v>
      </c>
      <c r="E2913" s="733"/>
    </row>
    <row r="2914" spans="2:5">
      <c r="B2914" s="121">
        <v>250</v>
      </c>
      <c r="C2914" s="121">
        <v>35</v>
      </c>
      <c r="D2914" s="734">
        <v>137.77549014160113</v>
      </c>
      <c r="E2914" s="733"/>
    </row>
    <row r="2915" spans="2:5">
      <c r="B2915" s="121">
        <v>250</v>
      </c>
      <c r="C2915" s="121">
        <v>36</v>
      </c>
      <c r="D2915" s="734">
        <v>147.11102066077822</v>
      </c>
      <c r="E2915" s="733"/>
    </row>
    <row r="2916" spans="2:5">
      <c r="B2916" s="121">
        <v>251</v>
      </c>
      <c r="C2916" s="121">
        <v>1</v>
      </c>
      <c r="D2916" s="734">
        <v>5</v>
      </c>
      <c r="E2916" s="733"/>
    </row>
    <row r="2917" spans="2:5">
      <c r="B2917" s="121">
        <v>252</v>
      </c>
      <c r="C2917" s="121">
        <v>1</v>
      </c>
      <c r="D2917" s="734">
        <v>5</v>
      </c>
      <c r="E2917" s="733"/>
    </row>
    <row r="2918" spans="2:5">
      <c r="B2918" s="121">
        <v>252</v>
      </c>
      <c r="C2918" s="121">
        <v>2</v>
      </c>
      <c r="D2918" s="734">
        <v>98.053979939853832</v>
      </c>
      <c r="E2918" s="733"/>
    </row>
    <row r="2919" spans="2:5">
      <c r="B2919" s="121">
        <v>252</v>
      </c>
      <c r="C2919" s="121">
        <v>3</v>
      </c>
      <c r="D2919" s="734">
        <v>123.74951901756209</v>
      </c>
      <c r="E2919" s="733"/>
    </row>
    <row r="2920" spans="2:5">
      <c r="B2920" s="121">
        <v>252</v>
      </c>
      <c r="C2920" s="121">
        <v>4</v>
      </c>
      <c r="D2920" s="734">
        <v>145.27631742914076</v>
      </c>
      <c r="E2920" s="733"/>
    </row>
    <row r="2921" spans="2:5">
      <c r="B2921" s="121">
        <v>252</v>
      </c>
      <c r="C2921" s="121">
        <v>5</v>
      </c>
      <c r="D2921" s="734">
        <v>135.46632358852312</v>
      </c>
      <c r="E2921" s="733"/>
    </row>
    <row r="2922" spans="2:5">
      <c r="B2922" s="121">
        <v>252</v>
      </c>
      <c r="C2922" s="121">
        <v>6</v>
      </c>
      <c r="D2922" s="734">
        <v>142.74009977137041</v>
      </c>
      <c r="E2922" s="733"/>
    </row>
    <row r="2923" spans="2:5">
      <c r="B2923" s="121">
        <v>252</v>
      </c>
      <c r="C2923" s="121">
        <v>7</v>
      </c>
      <c r="D2923" s="734">
        <v>141.58033215217429</v>
      </c>
      <c r="E2923" s="733"/>
    </row>
    <row r="2924" spans="2:5">
      <c r="B2924" s="121">
        <v>252</v>
      </c>
      <c r="C2924" s="121">
        <v>8</v>
      </c>
      <c r="D2924" s="734">
        <v>134.67874931522624</v>
      </c>
      <c r="E2924" s="733"/>
    </row>
    <row r="2925" spans="2:5">
      <c r="B2925" s="121">
        <v>252</v>
      </c>
      <c r="C2925" s="121">
        <v>9</v>
      </c>
      <c r="D2925" s="734">
        <v>144.02771890761474</v>
      </c>
      <c r="E2925" s="733"/>
    </row>
    <row r="2926" spans="2:5">
      <c r="B2926" s="121">
        <v>252</v>
      </c>
      <c r="C2926" s="121">
        <v>10</v>
      </c>
      <c r="D2926" s="734">
        <v>142.87833023646456</v>
      </c>
      <c r="E2926" s="733"/>
    </row>
    <row r="2927" spans="2:5">
      <c r="B2927" s="121">
        <v>252</v>
      </c>
      <c r="C2927" s="121">
        <v>11</v>
      </c>
      <c r="D2927" s="734">
        <v>141.72402073873454</v>
      </c>
      <c r="E2927" s="733"/>
    </row>
    <row r="2928" spans="2:5">
      <c r="B2928" s="121">
        <v>252</v>
      </c>
      <c r="C2928" s="121">
        <v>12</v>
      </c>
      <c r="D2928" s="734">
        <v>144.28192475604928</v>
      </c>
      <c r="E2928" s="733"/>
    </row>
    <row r="2929" spans="2:5">
      <c r="B2929" s="121">
        <v>252</v>
      </c>
      <c r="C2929" s="121">
        <v>13</v>
      </c>
      <c r="D2929" s="734">
        <v>139.54129112724593</v>
      </c>
      <c r="E2929" s="733"/>
    </row>
    <row r="2930" spans="2:5">
      <c r="B2930" s="121">
        <v>252</v>
      </c>
      <c r="C2930" s="121">
        <v>14</v>
      </c>
      <c r="D2930" s="734">
        <v>134.90865438178156</v>
      </c>
      <c r="E2930" s="733"/>
    </row>
    <row r="2931" spans="2:5">
      <c r="B2931" s="121">
        <v>253</v>
      </c>
      <c r="C2931" s="121">
        <v>1</v>
      </c>
      <c r="D2931" s="734">
        <v>5</v>
      </c>
      <c r="E2931" s="733"/>
    </row>
    <row r="2932" spans="2:5">
      <c r="B2932" s="121">
        <v>254</v>
      </c>
      <c r="C2932" s="121">
        <v>1</v>
      </c>
      <c r="D2932" s="734">
        <v>5</v>
      </c>
      <c r="E2932" s="733"/>
    </row>
    <row r="2933" spans="2:5">
      <c r="B2933" s="121">
        <v>255</v>
      </c>
      <c r="C2933" s="121">
        <v>1</v>
      </c>
      <c r="D2933" s="734">
        <v>5</v>
      </c>
      <c r="E2933" s="733"/>
    </row>
    <row r="2934" spans="2:5">
      <c r="B2934" s="121">
        <v>256</v>
      </c>
      <c r="C2934" s="121">
        <v>1</v>
      </c>
      <c r="D2934" s="734">
        <v>5</v>
      </c>
      <c r="E2934" s="733"/>
    </row>
    <row r="2935" spans="2:5">
      <c r="B2935" s="121">
        <v>257</v>
      </c>
      <c r="C2935" s="121">
        <v>1</v>
      </c>
      <c r="D2935" s="734">
        <v>5</v>
      </c>
      <c r="E2935" s="733"/>
    </row>
    <row r="2936" spans="2:5">
      <c r="B2936" s="121">
        <v>258</v>
      </c>
      <c r="C2936" s="121">
        <v>1</v>
      </c>
      <c r="D2936" s="734">
        <v>5</v>
      </c>
      <c r="E2936" s="733"/>
    </row>
    <row r="2937" spans="2:5">
      <c r="B2937" s="121">
        <v>258</v>
      </c>
      <c r="C2937" s="121">
        <v>2</v>
      </c>
      <c r="D2937" s="734">
        <v>98.31049014074857</v>
      </c>
      <c r="E2937" s="733"/>
    </row>
    <row r="2938" spans="2:5">
      <c r="B2938" s="121">
        <v>258</v>
      </c>
      <c r="C2938" s="121">
        <v>3</v>
      </c>
      <c r="D2938" s="734">
        <v>122.64447230948656</v>
      </c>
      <c r="E2938" s="733"/>
    </row>
    <row r="2939" spans="2:5">
      <c r="B2939" s="121">
        <v>258</v>
      </c>
      <c r="C2939" s="121">
        <v>4</v>
      </c>
      <c r="D2939" s="734">
        <v>136.75132239408347</v>
      </c>
      <c r="E2939" s="733"/>
    </row>
    <row r="2940" spans="2:5">
      <c r="B2940" s="121">
        <v>258</v>
      </c>
      <c r="C2940" s="121">
        <v>5</v>
      </c>
      <c r="D2940" s="734">
        <v>141.9708147449453</v>
      </c>
      <c r="E2940" s="733"/>
    </row>
    <row r="2941" spans="2:5">
      <c r="B2941" s="121">
        <v>258</v>
      </c>
      <c r="C2941" s="121">
        <v>6</v>
      </c>
      <c r="D2941" s="734">
        <v>136.74411039601813</v>
      </c>
      <c r="E2941" s="733"/>
    </row>
    <row r="2942" spans="2:5">
      <c r="B2942" s="121">
        <v>259</v>
      </c>
      <c r="C2942" s="121">
        <v>1</v>
      </c>
      <c r="D2942" s="734">
        <v>5</v>
      </c>
      <c r="E2942" s="733"/>
    </row>
    <row r="2943" spans="2:5">
      <c r="B2943" s="121">
        <v>260</v>
      </c>
      <c r="C2943" s="121">
        <v>1</v>
      </c>
      <c r="D2943" s="734">
        <v>5</v>
      </c>
      <c r="E2943" s="733"/>
    </row>
    <row r="2944" spans="2:5">
      <c r="B2944" s="121">
        <v>260</v>
      </c>
      <c r="C2944" s="121">
        <v>2</v>
      </c>
      <c r="D2944" s="734">
        <v>98.355152721392713</v>
      </c>
      <c r="E2944" s="733"/>
    </row>
    <row r="2945" spans="2:5">
      <c r="B2945" s="121">
        <v>260</v>
      </c>
      <c r="C2945" s="121">
        <v>3</v>
      </c>
      <c r="D2945" s="734">
        <v>124.90782175192631</v>
      </c>
      <c r="E2945" s="733"/>
    </row>
    <row r="2946" spans="2:5">
      <c r="B2946" s="121">
        <v>260</v>
      </c>
      <c r="C2946" s="121">
        <v>4</v>
      </c>
      <c r="D2946" s="734">
        <v>144.04310871923758</v>
      </c>
      <c r="E2946" s="733"/>
    </row>
    <row r="2947" spans="2:5">
      <c r="B2947" s="121">
        <v>261</v>
      </c>
      <c r="C2947" s="121">
        <v>1</v>
      </c>
      <c r="D2947" s="734">
        <v>5</v>
      </c>
      <c r="E2947" s="733"/>
    </row>
    <row r="2948" spans="2:5">
      <c r="B2948" s="121">
        <v>261</v>
      </c>
      <c r="C2948" s="121">
        <v>2</v>
      </c>
      <c r="D2948" s="734">
        <v>99.51276537924636</v>
      </c>
      <c r="E2948" s="733"/>
    </row>
    <row r="2949" spans="2:5">
      <c r="B2949" s="121">
        <v>261</v>
      </c>
      <c r="C2949" s="121">
        <v>3</v>
      </c>
      <c r="D2949" s="734">
        <v>122.18848959962561</v>
      </c>
      <c r="E2949" s="733"/>
    </row>
    <row r="2950" spans="2:5">
      <c r="B2950" s="121">
        <v>261</v>
      </c>
      <c r="C2950" s="121">
        <v>4</v>
      </c>
      <c r="D2950" s="734">
        <v>139.33885855109628</v>
      </c>
      <c r="E2950" s="733"/>
    </row>
    <row r="2951" spans="2:5">
      <c r="B2951" s="121">
        <v>261</v>
      </c>
      <c r="C2951" s="121">
        <v>5</v>
      </c>
      <c r="D2951" s="734">
        <v>137.19482071427456</v>
      </c>
      <c r="E2951" s="733"/>
    </row>
    <row r="2952" spans="2:5">
      <c r="B2952" s="121">
        <v>262</v>
      </c>
      <c r="C2952" s="121">
        <v>1</v>
      </c>
      <c r="D2952" s="734">
        <v>5</v>
      </c>
      <c r="E2952" s="733"/>
    </row>
    <row r="2953" spans="2:5">
      <c r="B2953" s="121">
        <v>263</v>
      </c>
      <c r="C2953" s="121">
        <v>1</v>
      </c>
      <c r="D2953" s="734">
        <v>5</v>
      </c>
      <c r="E2953" s="733"/>
    </row>
    <row r="2954" spans="2:5">
      <c r="B2954" s="121">
        <v>263</v>
      </c>
      <c r="C2954" s="121">
        <v>2</v>
      </c>
      <c r="D2954" s="734">
        <v>103.56452051751145</v>
      </c>
      <c r="E2954" s="733"/>
    </row>
    <row r="2955" spans="2:5">
      <c r="B2955" s="121">
        <v>263</v>
      </c>
      <c r="C2955" s="121">
        <v>3</v>
      </c>
      <c r="D2955" s="734">
        <v>117.60006238486528</v>
      </c>
      <c r="E2955" s="733"/>
    </row>
    <row r="2956" spans="2:5">
      <c r="B2956" s="121">
        <v>263</v>
      </c>
      <c r="C2956" s="121">
        <v>4</v>
      </c>
      <c r="D2956" s="734">
        <v>135.73857675585603</v>
      </c>
      <c r="E2956" s="733"/>
    </row>
    <row r="2957" spans="2:5">
      <c r="B2957" s="121">
        <v>263</v>
      </c>
      <c r="C2957" s="121">
        <v>5</v>
      </c>
      <c r="D2957" s="734">
        <v>136.66637387273747</v>
      </c>
      <c r="E2957" s="733"/>
    </row>
    <row r="2958" spans="2:5">
      <c r="B2958" s="121">
        <v>263</v>
      </c>
      <c r="C2958" s="121">
        <v>6</v>
      </c>
      <c r="D2958" s="734">
        <v>143.72691971931056</v>
      </c>
      <c r="E2958" s="733"/>
    </row>
    <row r="2959" spans="2:5">
      <c r="B2959" s="121">
        <v>263</v>
      </c>
      <c r="C2959" s="121">
        <v>7</v>
      </c>
      <c r="D2959" s="734">
        <v>142.77632996548326</v>
      </c>
      <c r="E2959" s="733"/>
    </row>
    <row r="2960" spans="2:5">
      <c r="B2960" s="121">
        <v>263</v>
      </c>
      <c r="C2960" s="121">
        <v>8</v>
      </c>
      <c r="D2960" s="734">
        <v>137.53942752911846</v>
      </c>
      <c r="E2960" s="733"/>
    </row>
    <row r="2961" spans="2:5">
      <c r="B2961" s="121">
        <v>263</v>
      </c>
      <c r="C2961" s="121">
        <v>9</v>
      </c>
      <c r="D2961" s="734">
        <v>135.38350584910319</v>
      </c>
      <c r="E2961" s="733"/>
    </row>
    <row r="2962" spans="2:5">
      <c r="B2962" s="121">
        <v>263</v>
      </c>
      <c r="C2962" s="121">
        <v>10</v>
      </c>
      <c r="D2962" s="734">
        <v>136.48238644671741</v>
      </c>
      <c r="E2962" s="733"/>
    </row>
    <row r="2963" spans="2:5">
      <c r="B2963" s="121">
        <v>263</v>
      </c>
      <c r="C2963" s="121">
        <v>11</v>
      </c>
      <c r="D2963" s="734">
        <v>136.84585170241138</v>
      </c>
      <c r="E2963" s="733"/>
    </row>
    <row r="2964" spans="2:5">
      <c r="B2964" s="121">
        <v>263</v>
      </c>
      <c r="C2964" s="121">
        <v>12</v>
      </c>
      <c r="D2964" s="734">
        <v>142.68293218072247</v>
      </c>
      <c r="E2964" s="733"/>
    </row>
    <row r="2965" spans="2:5">
      <c r="B2965" s="121">
        <v>263</v>
      </c>
      <c r="C2965" s="121">
        <v>13</v>
      </c>
      <c r="D2965" s="734">
        <v>136.270689683135</v>
      </c>
      <c r="E2965" s="733"/>
    </row>
    <row r="2966" spans="2:5">
      <c r="B2966" s="121">
        <v>263</v>
      </c>
      <c r="C2966" s="121">
        <v>14</v>
      </c>
      <c r="D2966" s="734">
        <v>142.76772921297029</v>
      </c>
      <c r="E2966" s="733"/>
    </row>
    <row r="2967" spans="2:5">
      <c r="B2967" s="121">
        <v>263</v>
      </c>
      <c r="C2967" s="121">
        <v>15</v>
      </c>
      <c r="D2967" s="734">
        <v>142.93040366133289</v>
      </c>
      <c r="E2967" s="733"/>
    </row>
    <row r="2968" spans="2:5">
      <c r="B2968" s="121">
        <v>263</v>
      </c>
      <c r="C2968" s="121">
        <v>16</v>
      </c>
      <c r="D2968" s="734">
        <v>143.55172910505212</v>
      </c>
      <c r="E2968" s="733"/>
    </row>
    <row r="2969" spans="2:5">
      <c r="B2969" s="121">
        <v>263</v>
      </c>
      <c r="C2969" s="121">
        <v>17</v>
      </c>
      <c r="D2969" s="734">
        <v>137.22345824404923</v>
      </c>
      <c r="E2969" s="733"/>
    </row>
    <row r="2970" spans="2:5">
      <c r="B2970" s="121">
        <v>263</v>
      </c>
      <c r="C2970" s="121">
        <v>18</v>
      </c>
      <c r="D2970" s="734">
        <v>144.84244156237531</v>
      </c>
      <c r="E2970" s="733"/>
    </row>
    <row r="2971" spans="2:5">
      <c r="B2971" s="121">
        <v>263</v>
      </c>
      <c r="C2971" s="121">
        <v>19</v>
      </c>
      <c r="D2971" s="734">
        <v>134.56705922038529</v>
      </c>
      <c r="E2971" s="733"/>
    </row>
    <row r="2972" spans="2:5">
      <c r="B2972" s="121">
        <v>263</v>
      </c>
      <c r="C2972" s="121">
        <v>20</v>
      </c>
      <c r="D2972" s="734">
        <v>135.95522076938133</v>
      </c>
      <c r="E2972" s="733"/>
    </row>
    <row r="2973" spans="2:5">
      <c r="B2973" s="121">
        <v>263</v>
      </c>
      <c r="C2973" s="121">
        <v>21</v>
      </c>
      <c r="D2973" s="734">
        <v>140.63084678016585</v>
      </c>
      <c r="E2973" s="733"/>
    </row>
    <row r="2974" spans="2:5">
      <c r="B2974" s="121">
        <v>263</v>
      </c>
      <c r="C2974" s="121">
        <v>22</v>
      </c>
      <c r="D2974" s="734">
        <v>134.9511276029337</v>
      </c>
      <c r="E2974" s="733"/>
    </row>
    <row r="2975" spans="2:5">
      <c r="B2975" s="121">
        <v>263</v>
      </c>
      <c r="C2975" s="121">
        <v>23</v>
      </c>
      <c r="D2975" s="734">
        <v>140.72367473383275</v>
      </c>
      <c r="E2975" s="733"/>
    </row>
    <row r="2976" spans="2:5">
      <c r="B2976" s="121">
        <v>263</v>
      </c>
      <c r="C2976" s="121">
        <v>24</v>
      </c>
      <c r="D2976" s="734">
        <v>137.75212270011369</v>
      </c>
      <c r="E2976" s="733"/>
    </row>
    <row r="2977" spans="2:5">
      <c r="B2977" s="121">
        <v>263</v>
      </c>
      <c r="C2977" s="121">
        <v>25</v>
      </c>
      <c r="D2977" s="734">
        <v>138.21878166819971</v>
      </c>
      <c r="E2977" s="733"/>
    </row>
    <row r="2978" spans="2:5">
      <c r="B2978" s="121">
        <v>263</v>
      </c>
      <c r="C2978" s="121">
        <v>26</v>
      </c>
      <c r="D2978" s="734">
        <v>147.10195066011283</v>
      </c>
      <c r="E2978" s="733"/>
    </row>
    <row r="2979" spans="2:5">
      <c r="B2979" s="121">
        <v>263</v>
      </c>
      <c r="C2979" s="121">
        <v>27</v>
      </c>
      <c r="D2979" s="734">
        <v>144.47911913998024</v>
      </c>
      <c r="E2979" s="733"/>
    </row>
    <row r="2980" spans="2:5">
      <c r="B2980" s="121">
        <v>263</v>
      </c>
      <c r="C2980" s="121">
        <v>28</v>
      </c>
      <c r="D2980" s="734">
        <v>135.63420009388469</v>
      </c>
      <c r="E2980" s="733"/>
    </row>
    <row r="2981" spans="2:5">
      <c r="B2981" s="121">
        <v>263</v>
      </c>
      <c r="C2981" s="121">
        <v>29</v>
      </c>
      <c r="D2981" s="734">
        <v>140.20281370862159</v>
      </c>
      <c r="E2981" s="733"/>
    </row>
    <row r="2982" spans="2:5">
      <c r="B2982" s="121">
        <v>263</v>
      </c>
      <c r="C2982" s="121">
        <v>30</v>
      </c>
      <c r="D2982" s="734">
        <v>143.70844860440712</v>
      </c>
      <c r="E2982" s="733"/>
    </row>
    <row r="2983" spans="2:5">
      <c r="B2983" s="121">
        <v>263</v>
      </c>
      <c r="C2983" s="121">
        <v>31</v>
      </c>
      <c r="D2983" s="734">
        <v>141.5838332250564</v>
      </c>
      <c r="E2983" s="733"/>
    </row>
    <row r="2984" spans="2:5">
      <c r="B2984" s="121">
        <v>263</v>
      </c>
      <c r="C2984" s="121">
        <v>32</v>
      </c>
      <c r="D2984" s="734">
        <v>139.58459727274851</v>
      </c>
      <c r="E2984" s="733"/>
    </row>
    <row r="2985" spans="2:5">
      <c r="B2985" s="121">
        <v>263</v>
      </c>
      <c r="C2985" s="121">
        <v>33</v>
      </c>
      <c r="D2985" s="734">
        <v>141.8855290342695</v>
      </c>
      <c r="E2985" s="733"/>
    </row>
    <row r="2986" spans="2:5">
      <c r="B2986" s="121">
        <v>263</v>
      </c>
      <c r="C2986" s="121">
        <v>34</v>
      </c>
      <c r="D2986" s="734">
        <v>143.81480226589068</v>
      </c>
      <c r="E2986" s="733"/>
    </row>
    <row r="2987" spans="2:5">
      <c r="B2987" s="121">
        <v>263</v>
      </c>
      <c r="C2987" s="121">
        <v>35</v>
      </c>
      <c r="D2987" s="734">
        <v>145.31207554255755</v>
      </c>
      <c r="E2987" s="733"/>
    </row>
    <row r="2988" spans="2:5">
      <c r="B2988" s="121">
        <v>263</v>
      </c>
      <c r="C2988" s="121">
        <v>36</v>
      </c>
      <c r="D2988" s="734">
        <v>141.21751665106018</v>
      </c>
      <c r="E2988" s="733"/>
    </row>
    <row r="2989" spans="2:5">
      <c r="B2989" s="121">
        <v>264</v>
      </c>
      <c r="C2989" s="121">
        <v>1</v>
      </c>
      <c r="D2989" s="734">
        <v>5</v>
      </c>
      <c r="E2989" s="733"/>
    </row>
    <row r="2990" spans="2:5">
      <c r="B2990" s="121">
        <v>264</v>
      </c>
      <c r="C2990" s="121">
        <v>2</v>
      </c>
      <c r="D2990" s="734">
        <v>97.541694635196336</v>
      </c>
      <c r="E2990" s="733"/>
    </row>
    <row r="2991" spans="2:5">
      <c r="B2991" s="121">
        <v>264</v>
      </c>
      <c r="C2991" s="121">
        <v>3</v>
      </c>
      <c r="D2991" s="734">
        <v>121.65284165061693</v>
      </c>
      <c r="E2991" s="733"/>
    </row>
    <row r="2992" spans="2:5">
      <c r="B2992" s="121">
        <v>264</v>
      </c>
      <c r="C2992" s="121">
        <v>4</v>
      </c>
      <c r="D2992" s="734">
        <v>145.08387427864449</v>
      </c>
      <c r="E2992" s="733"/>
    </row>
    <row r="2993" spans="2:5">
      <c r="B2993" s="121">
        <v>264</v>
      </c>
      <c r="C2993" s="121">
        <v>5</v>
      </c>
      <c r="D2993" s="734">
        <v>135.44582233240962</v>
      </c>
      <c r="E2993" s="733"/>
    </row>
    <row r="2994" spans="2:5">
      <c r="B2994" s="121">
        <v>264</v>
      </c>
      <c r="C2994" s="121">
        <v>6</v>
      </c>
      <c r="D2994" s="734">
        <v>139.7558007424538</v>
      </c>
      <c r="E2994" s="733"/>
    </row>
    <row r="2995" spans="2:5">
      <c r="B2995" s="121">
        <v>264</v>
      </c>
      <c r="C2995" s="121">
        <v>7</v>
      </c>
      <c r="D2995" s="734">
        <v>136.52857099025584</v>
      </c>
      <c r="E2995" s="733"/>
    </row>
    <row r="2996" spans="2:5">
      <c r="B2996" s="121">
        <v>265</v>
      </c>
      <c r="C2996" s="121">
        <v>1</v>
      </c>
      <c r="D2996" s="734">
        <v>5</v>
      </c>
      <c r="E2996" s="733"/>
    </row>
    <row r="2997" spans="2:5">
      <c r="B2997" s="121">
        <v>265</v>
      </c>
      <c r="C2997" s="121">
        <v>2</v>
      </c>
      <c r="D2997" s="734">
        <v>94.747147476664693</v>
      </c>
      <c r="E2997" s="733"/>
    </row>
    <row r="2998" spans="2:5">
      <c r="B2998" s="121">
        <v>265</v>
      </c>
      <c r="C2998" s="121">
        <v>3</v>
      </c>
      <c r="D2998" s="734">
        <v>115.20921935772563</v>
      </c>
      <c r="E2998" s="733"/>
    </row>
    <row r="2999" spans="2:5">
      <c r="B2999" s="121">
        <v>265</v>
      </c>
      <c r="C2999" s="121">
        <v>4</v>
      </c>
      <c r="D2999" s="734">
        <v>143.9260142087474</v>
      </c>
      <c r="E2999" s="733"/>
    </row>
    <row r="3000" spans="2:5">
      <c r="B3000" s="121">
        <v>265</v>
      </c>
      <c r="C3000" s="121">
        <v>5</v>
      </c>
      <c r="D3000" s="734">
        <v>135.20062560658829</v>
      </c>
      <c r="E3000" s="733"/>
    </row>
    <row r="3001" spans="2:5">
      <c r="B3001" s="121">
        <v>265</v>
      </c>
      <c r="C3001" s="121">
        <v>6</v>
      </c>
      <c r="D3001" s="734">
        <v>134.79067399454846</v>
      </c>
      <c r="E3001" s="733"/>
    </row>
    <row r="3002" spans="2:5">
      <c r="B3002" s="121">
        <v>265</v>
      </c>
      <c r="C3002" s="121">
        <v>7</v>
      </c>
      <c r="D3002" s="734">
        <v>143.25340471162579</v>
      </c>
      <c r="E3002" s="733"/>
    </row>
    <row r="3003" spans="2:5">
      <c r="B3003" s="121">
        <v>265</v>
      </c>
      <c r="C3003" s="121">
        <v>8</v>
      </c>
      <c r="D3003" s="734">
        <v>140.57860295504352</v>
      </c>
      <c r="E3003" s="733"/>
    </row>
    <row r="3004" spans="2:5">
      <c r="B3004" s="121">
        <v>265</v>
      </c>
      <c r="C3004" s="121">
        <v>9</v>
      </c>
      <c r="D3004" s="734">
        <v>142.3221837882902</v>
      </c>
      <c r="E3004" s="733"/>
    </row>
    <row r="3005" spans="2:5">
      <c r="B3005" s="121">
        <v>265</v>
      </c>
      <c r="C3005" s="121">
        <v>10</v>
      </c>
      <c r="D3005" s="734">
        <v>136.50367321721706</v>
      </c>
      <c r="E3005" s="733"/>
    </row>
    <row r="3006" spans="2:5">
      <c r="B3006" s="121">
        <v>265</v>
      </c>
      <c r="C3006" s="121">
        <v>11</v>
      </c>
      <c r="D3006" s="734">
        <v>136.70300704799581</v>
      </c>
      <c r="E3006" s="733"/>
    </row>
    <row r="3007" spans="2:5">
      <c r="B3007" s="121">
        <v>265</v>
      </c>
      <c r="C3007" s="121">
        <v>12</v>
      </c>
      <c r="D3007" s="734">
        <v>139.82094845668104</v>
      </c>
      <c r="E3007" s="733"/>
    </row>
    <row r="3008" spans="2:5">
      <c r="B3008" s="121">
        <v>265</v>
      </c>
      <c r="C3008" s="121">
        <v>13</v>
      </c>
      <c r="D3008" s="734">
        <v>135.25209357856824</v>
      </c>
      <c r="E3008" s="733"/>
    </row>
    <row r="3009" spans="2:5">
      <c r="B3009" s="121">
        <v>265</v>
      </c>
      <c r="C3009" s="121">
        <v>14</v>
      </c>
      <c r="D3009" s="734">
        <v>139.576829591315</v>
      </c>
      <c r="E3009" s="733"/>
    </row>
    <row r="3010" spans="2:5">
      <c r="B3010" s="121">
        <v>265</v>
      </c>
      <c r="C3010" s="121">
        <v>15</v>
      </c>
      <c r="D3010" s="734">
        <v>141.47144957966077</v>
      </c>
      <c r="E3010" s="733"/>
    </row>
    <row r="3011" spans="2:5">
      <c r="B3011" s="121">
        <v>265</v>
      </c>
      <c r="C3011" s="121">
        <v>16</v>
      </c>
      <c r="D3011" s="734">
        <v>137.5720184861529</v>
      </c>
      <c r="E3011" s="733"/>
    </row>
    <row r="3012" spans="2:5">
      <c r="B3012" s="121">
        <v>265</v>
      </c>
      <c r="C3012" s="121">
        <v>17</v>
      </c>
      <c r="D3012" s="734">
        <v>144.04654450926262</v>
      </c>
      <c r="E3012" s="733"/>
    </row>
    <row r="3013" spans="2:5">
      <c r="B3013" s="121">
        <v>265</v>
      </c>
      <c r="C3013" s="121">
        <v>18</v>
      </c>
      <c r="D3013" s="734">
        <v>139.18586659105557</v>
      </c>
      <c r="E3013" s="733"/>
    </row>
    <row r="3014" spans="2:5">
      <c r="B3014" s="121">
        <v>265</v>
      </c>
      <c r="C3014" s="121">
        <v>19</v>
      </c>
      <c r="D3014" s="734">
        <v>138.9960288223387</v>
      </c>
      <c r="E3014" s="733"/>
    </row>
    <row r="3015" spans="2:5">
      <c r="B3015" s="121">
        <v>265</v>
      </c>
      <c r="C3015" s="121">
        <v>20</v>
      </c>
      <c r="D3015" s="734">
        <v>143.27755728673816</v>
      </c>
      <c r="E3015" s="733"/>
    </row>
    <row r="3016" spans="2:5">
      <c r="B3016" s="121">
        <v>265</v>
      </c>
      <c r="C3016" s="121">
        <v>21</v>
      </c>
      <c r="D3016" s="734">
        <v>137.0526481773264</v>
      </c>
      <c r="E3016" s="733"/>
    </row>
    <row r="3017" spans="2:5">
      <c r="B3017" s="121">
        <v>265</v>
      </c>
      <c r="C3017" s="121">
        <v>22</v>
      </c>
      <c r="D3017" s="734">
        <v>140.41845137627953</v>
      </c>
      <c r="E3017" s="733"/>
    </row>
    <row r="3018" spans="2:5">
      <c r="B3018" s="121">
        <v>265</v>
      </c>
      <c r="C3018" s="121">
        <v>23</v>
      </c>
      <c r="D3018" s="734">
        <v>141.39597825555276</v>
      </c>
      <c r="E3018" s="733"/>
    </row>
    <row r="3019" spans="2:5">
      <c r="B3019" s="121">
        <v>265</v>
      </c>
      <c r="C3019" s="121">
        <v>24</v>
      </c>
      <c r="D3019" s="734">
        <v>137.32517573869791</v>
      </c>
      <c r="E3019" s="733"/>
    </row>
    <row r="3020" spans="2:5">
      <c r="B3020" s="121">
        <v>265</v>
      </c>
      <c r="C3020" s="121">
        <v>25</v>
      </c>
      <c r="D3020" s="734">
        <v>135.57181531878479</v>
      </c>
      <c r="E3020" s="733"/>
    </row>
    <row r="3021" spans="2:5">
      <c r="B3021" s="121">
        <v>265</v>
      </c>
      <c r="C3021" s="121">
        <v>26</v>
      </c>
      <c r="D3021" s="734">
        <v>137.19601697098614</v>
      </c>
      <c r="E3021" s="733"/>
    </row>
    <row r="3022" spans="2:5">
      <c r="B3022" s="121">
        <v>265</v>
      </c>
      <c r="C3022" s="121">
        <v>27</v>
      </c>
      <c r="D3022" s="734">
        <v>144.72131766953234</v>
      </c>
      <c r="E3022" s="733"/>
    </row>
    <row r="3023" spans="2:5">
      <c r="B3023" s="121">
        <v>265</v>
      </c>
      <c r="C3023" s="121">
        <v>28</v>
      </c>
      <c r="D3023" s="734">
        <v>136.70746362518648</v>
      </c>
      <c r="E3023" s="733"/>
    </row>
    <row r="3024" spans="2:5">
      <c r="B3024" s="121">
        <v>266</v>
      </c>
      <c r="C3024" s="121">
        <v>1</v>
      </c>
      <c r="D3024" s="734">
        <v>5</v>
      </c>
      <c r="E3024" s="733"/>
    </row>
    <row r="3025" spans="2:5">
      <c r="B3025" s="121">
        <v>266</v>
      </c>
      <c r="C3025" s="121">
        <v>2</v>
      </c>
      <c r="D3025" s="734">
        <v>99.67791026594287</v>
      </c>
      <c r="E3025" s="733"/>
    </row>
    <row r="3026" spans="2:5">
      <c r="B3026" s="121">
        <v>266</v>
      </c>
      <c r="C3026" s="121">
        <v>3</v>
      </c>
      <c r="D3026" s="734">
        <v>117.1734153530211</v>
      </c>
      <c r="E3026" s="733"/>
    </row>
    <row r="3027" spans="2:5">
      <c r="B3027" s="121">
        <v>267</v>
      </c>
      <c r="C3027" s="121">
        <v>1</v>
      </c>
      <c r="D3027" s="734">
        <v>5</v>
      </c>
      <c r="E3027" s="733"/>
    </row>
    <row r="3028" spans="2:5">
      <c r="B3028" s="121">
        <v>267</v>
      </c>
      <c r="C3028" s="121">
        <v>2</v>
      </c>
      <c r="D3028" s="734">
        <v>97.94499168939636</v>
      </c>
      <c r="E3028" s="733"/>
    </row>
    <row r="3029" spans="2:5">
      <c r="B3029" s="121">
        <v>267</v>
      </c>
      <c r="C3029" s="121">
        <v>3</v>
      </c>
      <c r="D3029" s="734">
        <v>124.07404868504418</v>
      </c>
      <c r="E3029" s="733"/>
    </row>
    <row r="3030" spans="2:5">
      <c r="B3030" s="121">
        <v>267</v>
      </c>
      <c r="C3030" s="121">
        <v>4</v>
      </c>
      <c r="D3030" s="734">
        <v>139.66057196899428</v>
      </c>
      <c r="E3030" s="733"/>
    </row>
    <row r="3031" spans="2:5">
      <c r="B3031" s="121">
        <v>268</v>
      </c>
      <c r="C3031" s="121">
        <v>1</v>
      </c>
      <c r="D3031" s="734">
        <v>5</v>
      </c>
      <c r="E3031" s="733"/>
    </row>
    <row r="3032" spans="2:5">
      <c r="B3032" s="121">
        <v>268</v>
      </c>
      <c r="C3032" s="121">
        <v>2</v>
      </c>
      <c r="D3032" s="734">
        <v>101.06673573094641</v>
      </c>
      <c r="E3032" s="733"/>
    </row>
    <row r="3033" spans="2:5">
      <c r="B3033" s="121">
        <v>268</v>
      </c>
      <c r="C3033" s="121">
        <v>3</v>
      </c>
      <c r="D3033" s="734">
        <v>117.31911455353405</v>
      </c>
      <c r="E3033" s="733"/>
    </row>
    <row r="3034" spans="2:5">
      <c r="B3034" s="121">
        <v>268</v>
      </c>
      <c r="C3034" s="121">
        <v>4</v>
      </c>
      <c r="D3034" s="734">
        <v>137.22201647960708</v>
      </c>
      <c r="E3034" s="733"/>
    </row>
    <row r="3035" spans="2:5">
      <c r="B3035" s="121">
        <v>268</v>
      </c>
      <c r="C3035" s="121">
        <v>5</v>
      </c>
      <c r="D3035" s="734">
        <v>139.8794786500963</v>
      </c>
      <c r="E3035" s="733"/>
    </row>
    <row r="3036" spans="2:5">
      <c r="B3036" s="121">
        <v>268</v>
      </c>
      <c r="C3036" s="121">
        <v>6</v>
      </c>
      <c r="D3036" s="734">
        <v>137.28248755725423</v>
      </c>
      <c r="E3036" s="733"/>
    </row>
    <row r="3037" spans="2:5">
      <c r="B3037" s="121">
        <v>269</v>
      </c>
      <c r="C3037" s="121">
        <v>1</v>
      </c>
      <c r="D3037" s="734">
        <v>5</v>
      </c>
      <c r="E3037" s="733"/>
    </row>
    <row r="3038" spans="2:5">
      <c r="B3038" s="121">
        <v>269</v>
      </c>
      <c r="C3038" s="121">
        <v>2</v>
      </c>
      <c r="D3038" s="734">
        <v>100.67557576375083</v>
      </c>
      <c r="E3038" s="733"/>
    </row>
    <row r="3039" spans="2:5">
      <c r="B3039" s="121">
        <v>269</v>
      </c>
      <c r="C3039" s="121">
        <v>3</v>
      </c>
      <c r="D3039" s="734">
        <v>115.75508292087373</v>
      </c>
      <c r="E3039" s="733"/>
    </row>
    <row r="3040" spans="2:5">
      <c r="B3040" s="121">
        <v>269</v>
      </c>
      <c r="C3040" s="121">
        <v>4</v>
      </c>
      <c r="D3040" s="734">
        <v>141.37031801961109</v>
      </c>
      <c r="E3040" s="733"/>
    </row>
    <row r="3041" spans="2:5">
      <c r="B3041" s="121">
        <v>269</v>
      </c>
      <c r="C3041" s="121">
        <v>5</v>
      </c>
      <c r="D3041" s="734">
        <v>139.46094602425794</v>
      </c>
      <c r="E3041" s="733"/>
    </row>
    <row r="3042" spans="2:5">
      <c r="B3042" s="121">
        <v>269</v>
      </c>
      <c r="C3042" s="121">
        <v>6</v>
      </c>
      <c r="D3042" s="734">
        <v>139.78978031371395</v>
      </c>
      <c r="E3042" s="733"/>
    </row>
    <row r="3043" spans="2:5">
      <c r="B3043" s="121">
        <v>269</v>
      </c>
      <c r="C3043" s="121">
        <v>7</v>
      </c>
      <c r="D3043" s="734">
        <v>144.37409206141814</v>
      </c>
      <c r="E3043" s="733"/>
    </row>
    <row r="3044" spans="2:5">
      <c r="B3044" s="121">
        <v>269</v>
      </c>
      <c r="C3044" s="121">
        <v>8</v>
      </c>
      <c r="D3044" s="734">
        <v>135.30964320473163</v>
      </c>
      <c r="E3044" s="733"/>
    </row>
    <row r="3045" spans="2:5">
      <c r="B3045" s="121">
        <v>269</v>
      </c>
      <c r="C3045" s="121">
        <v>9</v>
      </c>
      <c r="D3045" s="734">
        <v>142.73527129595121</v>
      </c>
      <c r="E3045" s="733"/>
    </row>
    <row r="3046" spans="2:5">
      <c r="B3046" s="121">
        <v>269</v>
      </c>
      <c r="C3046" s="121">
        <v>10</v>
      </c>
      <c r="D3046" s="734">
        <v>142.63313344919814</v>
      </c>
      <c r="E3046" s="733"/>
    </row>
    <row r="3047" spans="2:5">
      <c r="B3047" s="121">
        <v>269</v>
      </c>
      <c r="C3047" s="121">
        <v>11</v>
      </c>
      <c r="D3047" s="734">
        <v>146.47910065494463</v>
      </c>
      <c r="E3047" s="733"/>
    </row>
    <row r="3048" spans="2:5">
      <c r="B3048" s="121">
        <v>269</v>
      </c>
      <c r="C3048" s="121">
        <v>12</v>
      </c>
      <c r="D3048" s="734">
        <v>140.3769344378525</v>
      </c>
      <c r="E3048" s="733"/>
    </row>
    <row r="3049" spans="2:5">
      <c r="B3049" s="121">
        <v>269</v>
      </c>
      <c r="C3049" s="121">
        <v>13</v>
      </c>
      <c r="D3049" s="734">
        <v>134.16765415799964</v>
      </c>
      <c r="E3049" s="733"/>
    </row>
    <row r="3050" spans="2:5">
      <c r="B3050" s="121">
        <v>269</v>
      </c>
      <c r="C3050" s="121">
        <v>14</v>
      </c>
      <c r="D3050" s="734">
        <v>134.82857656048543</v>
      </c>
      <c r="E3050" s="733"/>
    </row>
    <row r="3051" spans="2:5">
      <c r="B3051" s="121">
        <v>269</v>
      </c>
      <c r="C3051" s="121">
        <v>15</v>
      </c>
      <c r="D3051" s="734">
        <v>143.05342372359934</v>
      </c>
      <c r="E3051" s="733"/>
    </row>
    <row r="3052" spans="2:5">
      <c r="B3052" s="121">
        <v>269</v>
      </c>
      <c r="C3052" s="121">
        <v>16</v>
      </c>
      <c r="D3052" s="734">
        <v>137.18372981641693</v>
      </c>
      <c r="E3052" s="733"/>
    </row>
    <row r="3053" spans="2:5">
      <c r="B3053" s="121">
        <v>269</v>
      </c>
      <c r="C3053" s="121">
        <v>17</v>
      </c>
      <c r="D3053" s="734">
        <v>142.7218062862608</v>
      </c>
      <c r="E3053" s="733"/>
    </row>
    <row r="3054" spans="2:5">
      <c r="B3054" s="121">
        <v>269</v>
      </c>
      <c r="C3054" s="121">
        <v>18</v>
      </c>
      <c r="D3054" s="734">
        <v>138.70250145945198</v>
      </c>
      <c r="E3054" s="733"/>
    </row>
    <row r="3055" spans="2:5">
      <c r="B3055" s="121">
        <v>269</v>
      </c>
      <c r="C3055" s="121">
        <v>19</v>
      </c>
      <c r="D3055" s="734">
        <v>139.36622166594694</v>
      </c>
      <c r="E3055" s="733"/>
    </row>
    <row r="3056" spans="2:5">
      <c r="B3056" s="121">
        <v>269</v>
      </c>
      <c r="C3056" s="121">
        <v>20</v>
      </c>
      <c r="D3056" s="734">
        <v>145.69186130576813</v>
      </c>
      <c r="E3056" s="733"/>
    </row>
    <row r="3057" spans="2:5">
      <c r="B3057" s="121">
        <v>269</v>
      </c>
      <c r="C3057" s="121">
        <v>21</v>
      </c>
      <c r="D3057" s="734">
        <v>143.93896084282483</v>
      </c>
      <c r="E3057" s="733"/>
    </row>
    <row r="3058" spans="2:5">
      <c r="B3058" s="121">
        <v>269</v>
      </c>
      <c r="C3058" s="121">
        <v>22</v>
      </c>
      <c r="D3058" s="734">
        <v>136.23245363836378</v>
      </c>
      <c r="E3058" s="733"/>
    </row>
    <row r="3059" spans="2:5">
      <c r="B3059" s="121">
        <v>269</v>
      </c>
      <c r="C3059" s="121">
        <v>23</v>
      </c>
      <c r="D3059" s="734">
        <v>133.94156923710824</v>
      </c>
      <c r="E3059" s="733"/>
    </row>
    <row r="3060" spans="2:5">
      <c r="B3060" s="121">
        <v>269</v>
      </c>
      <c r="C3060" s="121">
        <v>24</v>
      </c>
      <c r="D3060" s="734">
        <v>144.21434598212858</v>
      </c>
      <c r="E3060" s="733"/>
    </row>
    <row r="3061" spans="2:5">
      <c r="B3061" s="121">
        <v>269</v>
      </c>
      <c r="C3061" s="121">
        <v>25</v>
      </c>
      <c r="D3061" s="734">
        <v>137.74457542802483</v>
      </c>
      <c r="E3061" s="733"/>
    </row>
    <row r="3062" spans="2:5">
      <c r="B3062" s="121">
        <v>269</v>
      </c>
      <c r="C3062" s="121">
        <v>26</v>
      </c>
      <c r="D3062" s="734">
        <v>134.9204959376755</v>
      </c>
      <c r="E3062" s="733"/>
    </row>
    <row r="3063" spans="2:5">
      <c r="B3063" s="121">
        <v>269</v>
      </c>
      <c r="C3063" s="121">
        <v>27</v>
      </c>
      <c r="D3063" s="734">
        <v>145.55802634334594</v>
      </c>
      <c r="E3063" s="733"/>
    </row>
    <row r="3064" spans="2:5">
      <c r="B3064" s="121">
        <v>269</v>
      </c>
      <c r="C3064" s="121">
        <v>28</v>
      </c>
      <c r="D3064" s="734">
        <v>136.55470414704561</v>
      </c>
      <c r="E3064" s="733"/>
    </row>
    <row r="3065" spans="2:5">
      <c r="B3065" s="121">
        <v>269</v>
      </c>
      <c r="C3065" s="121">
        <v>29</v>
      </c>
      <c r="D3065" s="734">
        <v>139.609912949445</v>
      </c>
      <c r="E3065" s="733"/>
    </row>
    <row r="3066" spans="2:5">
      <c r="B3066" s="121">
        <v>269</v>
      </c>
      <c r="C3066" s="121">
        <v>30</v>
      </c>
      <c r="D3066" s="734">
        <v>138.58657858042832</v>
      </c>
      <c r="E3066" s="733"/>
    </row>
    <row r="3067" spans="2:5">
      <c r="B3067" s="121">
        <v>269</v>
      </c>
      <c r="C3067" s="121">
        <v>31</v>
      </c>
      <c r="D3067" s="734">
        <v>142.98850320833535</v>
      </c>
      <c r="E3067" s="733"/>
    </row>
    <row r="3068" spans="2:5">
      <c r="B3068" s="121">
        <v>269</v>
      </c>
      <c r="C3068" s="121">
        <v>32</v>
      </c>
      <c r="D3068" s="734">
        <v>136.28460491921354</v>
      </c>
      <c r="E3068" s="733"/>
    </row>
    <row r="3069" spans="2:5">
      <c r="B3069" s="121">
        <v>269</v>
      </c>
      <c r="C3069" s="121">
        <v>33</v>
      </c>
      <c r="D3069" s="734">
        <v>134.63089266526967</v>
      </c>
      <c r="E3069" s="733"/>
    </row>
    <row r="3070" spans="2:5">
      <c r="B3070" s="121">
        <v>270</v>
      </c>
      <c r="C3070" s="121">
        <v>1</v>
      </c>
      <c r="D3070" s="734">
        <v>5</v>
      </c>
      <c r="E3070" s="733"/>
    </row>
    <row r="3071" spans="2:5">
      <c r="B3071" s="121">
        <v>271</v>
      </c>
      <c r="C3071" s="121">
        <v>1</v>
      </c>
      <c r="D3071" s="734">
        <v>5</v>
      </c>
      <c r="E3071" s="733"/>
    </row>
    <row r="3072" spans="2:5">
      <c r="B3072" s="121">
        <v>271</v>
      </c>
      <c r="C3072" s="121">
        <v>2</v>
      </c>
      <c r="D3072" s="734">
        <v>100.95980753183494</v>
      </c>
      <c r="E3072" s="733"/>
    </row>
    <row r="3073" spans="2:5">
      <c r="B3073" s="121">
        <v>271</v>
      </c>
      <c r="C3073" s="121">
        <v>3</v>
      </c>
      <c r="D3073" s="734">
        <v>116.26358198780962</v>
      </c>
      <c r="E3073" s="733"/>
    </row>
    <row r="3074" spans="2:5">
      <c r="B3074" s="121">
        <v>271</v>
      </c>
      <c r="C3074" s="121">
        <v>4</v>
      </c>
      <c r="D3074" s="734">
        <v>144.45529565392499</v>
      </c>
      <c r="E3074" s="733"/>
    </row>
    <row r="3075" spans="2:5">
      <c r="B3075" s="121">
        <v>271</v>
      </c>
      <c r="C3075" s="121">
        <v>5</v>
      </c>
      <c r="D3075" s="734">
        <v>134.17713032675536</v>
      </c>
      <c r="E3075" s="733"/>
    </row>
    <row r="3076" spans="2:5">
      <c r="B3076" s="121">
        <v>271</v>
      </c>
      <c r="C3076" s="121">
        <v>6</v>
      </c>
      <c r="D3076" s="734">
        <v>136.24747587686247</v>
      </c>
      <c r="E3076" s="733"/>
    </row>
    <row r="3077" spans="2:5">
      <c r="B3077" s="121">
        <v>271</v>
      </c>
      <c r="C3077" s="121">
        <v>7</v>
      </c>
      <c r="D3077" s="734">
        <v>134.99378756527193</v>
      </c>
      <c r="E3077" s="733"/>
    </row>
    <row r="3078" spans="2:5">
      <c r="B3078" s="121">
        <v>271</v>
      </c>
      <c r="C3078" s="121">
        <v>8</v>
      </c>
      <c r="D3078" s="734">
        <v>140.44267359114491</v>
      </c>
      <c r="E3078" s="733"/>
    </row>
    <row r="3079" spans="2:5">
      <c r="B3079" s="121">
        <v>271</v>
      </c>
      <c r="C3079" s="121">
        <v>9</v>
      </c>
      <c r="D3079" s="734">
        <v>134.97069207403422</v>
      </c>
      <c r="E3079" s="733"/>
    </row>
    <row r="3080" spans="2:5">
      <c r="B3080" s="121">
        <v>271</v>
      </c>
      <c r="C3080" s="121">
        <v>10</v>
      </c>
      <c r="D3080" s="734">
        <v>136.20880063126583</v>
      </c>
      <c r="E3080" s="733"/>
    </row>
    <row r="3081" spans="2:5">
      <c r="B3081" s="121">
        <v>271</v>
      </c>
      <c r="C3081" s="121">
        <v>11</v>
      </c>
      <c r="D3081" s="734">
        <v>143.8902951395203</v>
      </c>
      <c r="E3081" s="733"/>
    </row>
    <row r="3082" spans="2:5">
      <c r="B3082" s="121">
        <v>271</v>
      </c>
      <c r="C3082" s="121">
        <v>12</v>
      </c>
      <c r="D3082" s="734">
        <v>138.88847097151773</v>
      </c>
      <c r="E3082" s="733"/>
    </row>
    <row r="3083" spans="2:5">
      <c r="B3083" s="121">
        <v>271</v>
      </c>
      <c r="C3083" s="121">
        <v>13</v>
      </c>
      <c r="D3083" s="734">
        <v>137.51638065129092</v>
      </c>
      <c r="E3083" s="733"/>
    </row>
    <row r="3084" spans="2:5">
      <c r="B3084" s="121">
        <v>271</v>
      </c>
      <c r="C3084" s="121">
        <v>14</v>
      </c>
      <c r="D3084" s="734">
        <v>134.59471989668978</v>
      </c>
      <c r="E3084" s="733"/>
    </row>
    <row r="3085" spans="2:5">
      <c r="B3085" s="121">
        <v>271</v>
      </c>
      <c r="C3085" s="121">
        <v>15</v>
      </c>
      <c r="D3085" s="734">
        <v>142.65255057605714</v>
      </c>
      <c r="E3085" s="733"/>
    </row>
    <row r="3086" spans="2:5">
      <c r="B3086" s="121">
        <v>271</v>
      </c>
      <c r="C3086" s="121">
        <v>16</v>
      </c>
      <c r="D3086" s="734">
        <v>145.2818245115717</v>
      </c>
      <c r="E3086" s="733"/>
    </row>
    <row r="3087" spans="2:5">
      <c r="B3087" s="121">
        <v>271</v>
      </c>
      <c r="C3087" s="121">
        <v>17</v>
      </c>
      <c r="D3087" s="734">
        <v>137.88179449611403</v>
      </c>
      <c r="E3087" s="733"/>
    </row>
    <row r="3088" spans="2:5">
      <c r="B3088" s="121">
        <v>271</v>
      </c>
      <c r="C3088" s="121">
        <v>18</v>
      </c>
      <c r="D3088" s="734">
        <v>138.7356372286323</v>
      </c>
      <c r="E3088" s="733"/>
    </row>
    <row r="3089" spans="2:5">
      <c r="B3089" s="121">
        <v>271</v>
      </c>
      <c r="C3089" s="121">
        <v>19</v>
      </c>
      <c r="D3089" s="734">
        <v>144.90649071665567</v>
      </c>
      <c r="E3089" s="733"/>
    </row>
    <row r="3090" spans="2:5">
      <c r="B3090" s="121">
        <v>271</v>
      </c>
      <c r="C3090" s="121">
        <v>20</v>
      </c>
      <c r="D3090" s="734">
        <v>134.48744017268416</v>
      </c>
      <c r="E3090" s="733"/>
    </row>
    <row r="3091" spans="2:5">
      <c r="B3091" s="121">
        <v>271</v>
      </c>
      <c r="C3091" s="121">
        <v>21</v>
      </c>
      <c r="D3091" s="734">
        <v>134.82038346227293</v>
      </c>
      <c r="E3091" s="733"/>
    </row>
    <row r="3092" spans="2:5">
      <c r="B3092" s="121">
        <v>271</v>
      </c>
      <c r="C3092" s="121">
        <v>22</v>
      </c>
      <c r="D3092" s="734">
        <v>143.66550287497387</v>
      </c>
      <c r="E3092" s="733"/>
    </row>
    <row r="3093" spans="2:5">
      <c r="B3093" s="121">
        <v>271</v>
      </c>
      <c r="C3093" s="121">
        <v>23</v>
      </c>
      <c r="D3093" s="734">
        <v>137.24696153619578</v>
      </c>
      <c r="E3093" s="733"/>
    </row>
    <row r="3094" spans="2:5">
      <c r="B3094" s="121">
        <v>271</v>
      </c>
      <c r="C3094" s="121">
        <v>24</v>
      </c>
      <c r="D3094" s="734">
        <v>136.98890579096047</v>
      </c>
      <c r="E3094" s="733"/>
    </row>
    <row r="3095" spans="2:5">
      <c r="B3095" s="121">
        <v>271</v>
      </c>
      <c r="C3095" s="121">
        <v>25</v>
      </c>
      <c r="D3095" s="734">
        <v>135.21156942241859</v>
      </c>
      <c r="E3095" s="733"/>
    </row>
    <row r="3096" spans="2:5">
      <c r="B3096" s="121">
        <v>271</v>
      </c>
      <c r="C3096" s="121">
        <v>26</v>
      </c>
      <c r="D3096" s="734">
        <v>134.01352283597188</v>
      </c>
      <c r="E3096" s="733"/>
    </row>
    <row r="3097" spans="2:5">
      <c r="B3097" s="121">
        <v>271</v>
      </c>
      <c r="C3097" s="121">
        <v>27</v>
      </c>
      <c r="D3097" s="734">
        <v>134.18684676824586</v>
      </c>
      <c r="E3097" s="733"/>
    </row>
    <row r="3098" spans="2:5">
      <c r="B3098" s="121">
        <v>271</v>
      </c>
      <c r="C3098" s="121">
        <v>28</v>
      </c>
      <c r="D3098" s="734">
        <v>144.77735755695645</v>
      </c>
      <c r="E3098" s="733"/>
    </row>
    <row r="3099" spans="2:5">
      <c r="B3099" s="121">
        <v>271</v>
      </c>
      <c r="C3099" s="121">
        <v>29</v>
      </c>
      <c r="D3099" s="734">
        <v>135.30745339473634</v>
      </c>
      <c r="E3099" s="733"/>
    </row>
    <row r="3100" spans="2:5">
      <c r="B3100" s="121">
        <v>271</v>
      </c>
      <c r="C3100" s="121">
        <v>30</v>
      </c>
      <c r="D3100" s="734">
        <v>137.80671708287554</v>
      </c>
      <c r="E3100" s="733"/>
    </row>
    <row r="3101" spans="2:5">
      <c r="B3101" s="121">
        <v>271</v>
      </c>
      <c r="C3101" s="121">
        <v>31</v>
      </c>
      <c r="D3101" s="734">
        <v>145.72049163760846</v>
      </c>
      <c r="E3101" s="733"/>
    </row>
    <row r="3102" spans="2:5">
      <c r="B3102" s="121">
        <v>271</v>
      </c>
      <c r="C3102" s="121">
        <v>32</v>
      </c>
      <c r="D3102" s="734">
        <v>140.81659351019977</v>
      </c>
      <c r="E3102" s="733"/>
    </row>
    <row r="3103" spans="2:5">
      <c r="B3103" s="121">
        <v>271</v>
      </c>
      <c r="C3103" s="121">
        <v>33</v>
      </c>
      <c r="D3103" s="734">
        <v>142.4671230742866</v>
      </c>
      <c r="E3103" s="733"/>
    </row>
    <row r="3104" spans="2:5">
      <c r="B3104" s="121">
        <v>271</v>
      </c>
      <c r="C3104" s="121">
        <v>34</v>
      </c>
      <c r="D3104" s="734">
        <v>136.58635732276241</v>
      </c>
      <c r="E3104" s="733"/>
    </row>
    <row r="3105" spans="2:5">
      <c r="B3105" s="121">
        <v>271</v>
      </c>
      <c r="C3105" s="121">
        <v>35</v>
      </c>
      <c r="D3105" s="734">
        <v>140.72223530304402</v>
      </c>
      <c r="E3105" s="733"/>
    </row>
    <row r="3106" spans="2:5">
      <c r="B3106" s="121">
        <v>271</v>
      </c>
      <c r="C3106" s="121">
        <v>36</v>
      </c>
      <c r="D3106" s="734">
        <v>136.79000713614414</v>
      </c>
      <c r="E3106" s="733"/>
    </row>
    <row r="3107" spans="2:5">
      <c r="B3107" s="121">
        <v>272</v>
      </c>
      <c r="C3107" s="121">
        <v>1</v>
      </c>
      <c r="D3107" s="734">
        <v>5</v>
      </c>
      <c r="E3107" s="733"/>
    </row>
    <row r="3108" spans="2:5">
      <c r="B3108" s="121">
        <v>272</v>
      </c>
      <c r="C3108" s="121">
        <v>2</v>
      </c>
      <c r="D3108" s="734">
        <v>102.62380248173963</v>
      </c>
      <c r="E3108" s="733"/>
    </row>
    <row r="3109" spans="2:5">
      <c r="B3109" s="121">
        <v>272</v>
      </c>
      <c r="C3109" s="121">
        <v>3</v>
      </c>
      <c r="D3109" s="734">
        <v>120.59913358354258</v>
      </c>
      <c r="E3109" s="733"/>
    </row>
    <row r="3110" spans="2:5">
      <c r="B3110" s="121">
        <v>272</v>
      </c>
      <c r="C3110" s="121">
        <v>4</v>
      </c>
      <c r="D3110" s="734">
        <v>137.99471708532622</v>
      </c>
      <c r="E3110" s="733"/>
    </row>
    <row r="3111" spans="2:5">
      <c r="B3111" s="121">
        <v>272</v>
      </c>
      <c r="C3111" s="121">
        <v>5</v>
      </c>
      <c r="D3111" s="734">
        <v>144.80491362056904</v>
      </c>
      <c r="E3111" s="733"/>
    </row>
    <row r="3112" spans="2:5">
      <c r="B3112" s="121">
        <v>272</v>
      </c>
      <c r="C3112" s="121">
        <v>6</v>
      </c>
      <c r="D3112" s="734">
        <v>134.6473703478668</v>
      </c>
      <c r="E3112" s="733"/>
    </row>
    <row r="3113" spans="2:5">
      <c r="B3113" s="121">
        <v>272</v>
      </c>
      <c r="C3113" s="121">
        <v>7</v>
      </c>
      <c r="D3113" s="734">
        <v>135.74933356360125</v>
      </c>
      <c r="E3113" s="733"/>
    </row>
    <row r="3114" spans="2:5">
      <c r="B3114" s="121">
        <v>272</v>
      </c>
      <c r="C3114" s="121">
        <v>8</v>
      </c>
      <c r="D3114" s="734">
        <v>147.2613259987084</v>
      </c>
      <c r="E3114" s="733"/>
    </row>
    <row r="3115" spans="2:5">
      <c r="B3115" s="121">
        <v>272</v>
      </c>
      <c r="C3115" s="121">
        <v>9</v>
      </c>
      <c r="D3115" s="734">
        <v>144.00428884756005</v>
      </c>
      <c r="E3115" s="733"/>
    </row>
    <row r="3116" spans="2:5">
      <c r="B3116" s="121">
        <v>272</v>
      </c>
      <c r="C3116" s="121">
        <v>10</v>
      </c>
      <c r="D3116" s="734">
        <v>134.3314704928664</v>
      </c>
      <c r="E3116" s="733"/>
    </row>
    <row r="3117" spans="2:5">
      <c r="B3117" s="121">
        <v>273</v>
      </c>
      <c r="C3117" s="121">
        <v>1</v>
      </c>
      <c r="D3117" s="734">
        <v>5</v>
      </c>
      <c r="E3117" s="733"/>
    </row>
    <row r="3118" spans="2:5">
      <c r="B3118" s="121">
        <v>273</v>
      </c>
      <c r="C3118" s="121">
        <v>2</v>
      </c>
      <c r="D3118" s="734">
        <v>102.96788528949712</v>
      </c>
      <c r="E3118" s="733"/>
    </row>
    <row r="3119" spans="2:5">
      <c r="B3119" s="121">
        <v>273</v>
      </c>
      <c r="C3119" s="121">
        <v>3</v>
      </c>
      <c r="D3119" s="734">
        <v>116.04659193005541</v>
      </c>
      <c r="E3119" s="733"/>
    </row>
    <row r="3120" spans="2:5">
      <c r="B3120" s="121">
        <v>273</v>
      </c>
      <c r="C3120" s="121">
        <v>4</v>
      </c>
      <c r="D3120" s="734">
        <v>142.44467799278752</v>
      </c>
      <c r="E3120" s="733"/>
    </row>
    <row r="3121" spans="2:5">
      <c r="B3121" s="121">
        <v>273</v>
      </c>
      <c r="C3121" s="121">
        <v>5</v>
      </c>
      <c r="D3121" s="734">
        <v>146.43525861297655</v>
      </c>
      <c r="E3121" s="733"/>
    </row>
    <row r="3122" spans="2:5">
      <c r="B3122" s="121">
        <v>273</v>
      </c>
      <c r="C3122" s="121">
        <v>6</v>
      </c>
      <c r="D3122" s="734">
        <v>143.31282557776311</v>
      </c>
      <c r="E3122" s="733"/>
    </row>
    <row r="3123" spans="2:5">
      <c r="B3123" s="121">
        <v>273</v>
      </c>
      <c r="C3123" s="121">
        <v>7</v>
      </c>
      <c r="D3123" s="734">
        <v>144.46423060545089</v>
      </c>
      <c r="E3123" s="733"/>
    </row>
    <row r="3124" spans="2:5">
      <c r="B3124" s="121">
        <v>273</v>
      </c>
      <c r="C3124" s="121">
        <v>8</v>
      </c>
      <c r="D3124" s="734">
        <v>133.71504180665841</v>
      </c>
      <c r="E3124" s="733"/>
    </row>
    <row r="3125" spans="2:5">
      <c r="B3125" s="121">
        <v>273</v>
      </c>
      <c r="C3125" s="121">
        <v>9</v>
      </c>
      <c r="D3125" s="734">
        <v>136.69312291300227</v>
      </c>
      <c r="E3125" s="733"/>
    </row>
    <row r="3126" spans="2:5">
      <c r="B3126" s="121">
        <v>273</v>
      </c>
      <c r="C3126" s="121">
        <v>10</v>
      </c>
      <c r="D3126" s="734">
        <v>136.17718434912226</v>
      </c>
      <c r="E3126" s="733"/>
    </row>
    <row r="3127" spans="2:5">
      <c r="B3127" s="121">
        <v>273</v>
      </c>
      <c r="C3127" s="121">
        <v>11</v>
      </c>
      <c r="D3127" s="734">
        <v>146.82642663571502</v>
      </c>
      <c r="E3127" s="733"/>
    </row>
    <row r="3128" spans="2:5">
      <c r="B3128" s="121">
        <v>273</v>
      </c>
      <c r="C3128" s="121">
        <v>12</v>
      </c>
      <c r="D3128" s="734">
        <v>143.66507959851495</v>
      </c>
      <c r="E3128" s="733"/>
    </row>
    <row r="3129" spans="2:5">
      <c r="B3129" s="121">
        <v>273</v>
      </c>
      <c r="C3129" s="121">
        <v>13</v>
      </c>
      <c r="D3129" s="734">
        <v>135.88089672648326</v>
      </c>
      <c r="E3129" s="733"/>
    </row>
    <row r="3130" spans="2:5">
      <c r="B3130" s="121">
        <v>273</v>
      </c>
      <c r="C3130" s="121">
        <v>14</v>
      </c>
      <c r="D3130" s="734">
        <v>139.82828065831723</v>
      </c>
      <c r="E3130" s="733"/>
    </row>
    <row r="3131" spans="2:5">
      <c r="B3131" s="121">
        <v>273</v>
      </c>
      <c r="C3131" s="121">
        <v>15</v>
      </c>
      <c r="D3131" s="734">
        <v>134.72985768278159</v>
      </c>
      <c r="E3131" s="733"/>
    </row>
    <row r="3132" spans="2:5">
      <c r="B3132" s="121">
        <v>273</v>
      </c>
      <c r="C3132" s="121">
        <v>16</v>
      </c>
      <c r="D3132" s="734">
        <v>134.96935377385881</v>
      </c>
      <c r="E3132" s="733"/>
    </row>
    <row r="3133" spans="2:5">
      <c r="B3133" s="121">
        <v>273</v>
      </c>
      <c r="C3133" s="121">
        <v>17</v>
      </c>
      <c r="D3133" s="734">
        <v>144.64762719649337</v>
      </c>
      <c r="E3133" s="733"/>
    </row>
    <row r="3134" spans="2:5">
      <c r="B3134" s="121">
        <v>273</v>
      </c>
      <c r="C3134" s="121">
        <v>18</v>
      </c>
      <c r="D3134" s="734">
        <v>142.78311680396558</v>
      </c>
      <c r="E3134" s="733"/>
    </row>
    <row r="3135" spans="2:5">
      <c r="B3135" s="121">
        <v>273</v>
      </c>
      <c r="C3135" s="121">
        <v>19</v>
      </c>
      <c r="D3135" s="734">
        <v>140.64575843638195</v>
      </c>
      <c r="E3135" s="733"/>
    </row>
    <row r="3136" spans="2:5">
      <c r="B3136" s="121">
        <v>273</v>
      </c>
      <c r="C3136" s="121">
        <v>20</v>
      </c>
      <c r="D3136" s="734">
        <v>147.26449065468015</v>
      </c>
      <c r="E3136" s="733"/>
    </row>
    <row r="3137" spans="2:5">
      <c r="B3137" s="121">
        <v>273</v>
      </c>
      <c r="C3137" s="121">
        <v>21</v>
      </c>
      <c r="D3137" s="734">
        <v>144.32183440902699</v>
      </c>
      <c r="E3137" s="733"/>
    </row>
    <row r="3138" spans="2:5">
      <c r="B3138" s="121">
        <v>273</v>
      </c>
      <c r="C3138" s="121">
        <v>22</v>
      </c>
      <c r="D3138" s="734">
        <v>141.57913830611506</v>
      </c>
      <c r="E3138" s="733"/>
    </row>
    <row r="3139" spans="2:5">
      <c r="B3139" s="121">
        <v>273</v>
      </c>
      <c r="C3139" s="121">
        <v>23</v>
      </c>
      <c r="D3139" s="734">
        <v>144.75644655269474</v>
      </c>
      <c r="E3139" s="733"/>
    </row>
    <row r="3140" spans="2:5">
      <c r="B3140" s="121">
        <v>273</v>
      </c>
      <c r="C3140" s="121">
        <v>24</v>
      </c>
      <c r="D3140" s="734">
        <v>135.52928558266055</v>
      </c>
      <c r="E3140" s="733"/>
    </row>
    <row r="3141" spans="2:5">
      <c r="B3141" s="121">
        <v>273</v>
      </c>
      <c r="C3141" s="121">
        <v>25</v>
      </c>
      <c r="D3141" s="734">
        <v>138.58375672636168</v>
      </c>
      <c r="E3141" s="733"/>
    </row>
    <row r="3142" spans="2:5">
      <c r="B3142" s="121">
        <v>273</v>
      </c>
      <c r="C3142" s="121">
        <v>26</v>
      </c>
      <c r="D3142" s="734">
        <v>146.93646483517202</v>
      </c>
      <c r="E3142" s="733"/>
    </row>
    <row r="3143" spans="2:5">
      <c r="B3143" s="121">
        <v>274</v>
      </c>
      <c r="C3143" s="121">
        <v>1</v>
      </c>
      <c r="D3143" s="734">
        <v>5</v>
      </c>
      <c r="E3143" s="733"/>
    </row>
    <row r="3144" spans="2:5">
      <c r="B3144" s="121">
        <v>274</v>
      </c>
      <c r="C3144" s="121">
        <v>2</v>
      </c>
      <c r="D3144" s="734">
        <v>101.46775661250955</v>
      </c>
      <c r="E3144" s="733"/>
    </row>
    <row r="3145" spans="2:5">
      <c r="B3145" s="121">
        <v>274</v>
      </c>
      <c r="C3145" s="121">
        <v>3</v>
      </c>
      <c r="D3145" s="734">
        <v>124.07982231072346</v>
      </c>
      <c r="E3145" s="733"/>
    </row>
    <row r="3146" spans="2:5">
      <c r="B3146" s="121">
        <v>274</v>
      </c>
      <c r="C3146" s="121">
        <v>4</v>
      </c>
      <c r="D3146" s="734">
        <v>139.56318457173961</v>
      </c>
      <c r="E3146" s="733"/>
    </row>
    <row r="3147" spans="2:5">
      <c r="B3147" s="121">
        <v>274</v>
      </c>
      <c r="C3147" s="121">
        <v>5</v>
      </c>
      <c r="D3147" s="734">
        <v>135.67551221012914</v>
      </c>
      <c r="E3147" s="733"/>
    </row>
    <row r="3148" spans="2:5">
      <c r="B3148" s="121">
        <v>274</v>
      </c>
      <c r="C3148" s="121">
        <v>6</v>
      </c>
      <c r="D3148" s="734">
        <v>137.709328251036</v>
      </c>
      <c r="E3148" s="733"/>
    </row>
    <row r="3149" spans="2:5">
      <c r="B3149" s="121">
        <v>274</v>
      </c>
      <c r="C3149" s="121">
        <v>7</v>
      </c>
      <c r="D3149" s="734">
        <v>135.20901763953935</v>
      </c>
      <c r="E3149" s="733"/>
    </row>
    <row r="3150" spans="2:5">
      <c r="B3150" s="121">
        <v>274</v>
      </c>
      <c r="C3150" s="121">
        <v>8</v>
      </c>
      <c r="D3150" s="734">
        <v>144.76089506808944</v>
      </c>
      <c r="E3150" s="733"/>
    </row>
    <row r="3151" spans="2:5">
      <c r="B3151" s="121">
        <v>274</v>
      </c>
      <c r="C3151" s="121">
        <v>9</v>
      </c>
      <c r="D3151" s="734">
        <v>140.96775051621427</v>
      </c>
      <c r="E3151" s="733"/>
    </row>
    <row r="3152" spans="2:5">
      <c r="B3152" s="121">
        <v>274</v>
      </c>
      <c r="C3152" s="121">
        <v>10</v>
      </c>
      <c r="D3152" s="734">
        <v>139.73279729575296</v>
      </c>
      <c r="E3152" s="733"/>
    </row>
    <row r="3153" spans="2:5">
      <c r="B3153" s="121">
        <v>274</v>
      </c>
      <c r="C3153" s="121">
        <v>11</v>
      </c>
      <c r="D3153" s="734">
        <v>134.60436228838989</v>
      </c>
      <c r="E3153" s="733"/>
    </row>
    <row r="3154" spans="2:5">
      <c r="B3154" s="121">
        <v>274</v>
      </c>
      <c r="C3154" s="121">
        <v>12</v>
      </c>
      <c r="D3154" s="734">
        <v>137.50005694001538</v>
      </c>
      <c r="E3154" s="733"/>
    </row>
    <row r="3155" spans="2:5">
      <c r="B3155" s="121">
        <v>274</v>
      </c>
      <c r="C3155" s="121">
        <v>13</v>
      </c>
      <c r="D3155" s="734">
        <v>135.88411182606345</v>
      </c>
      <c r="E3155" s="733"/>
    </row>
    <row r="3156" spans="2:5">
      <c r="B3156" s="121">
        <v>275</v>
      </c>
      <c r="C3156" s="121">
        <v>1</v>
      </c>
      <c r="D3156" s="734">
        <v>5</v>
      </c>
      <c r="E3156" s="733"/>
    </row>
    <row r="3157" spans="2:5">
      <c r="B3157" s="121">
        <v>276</v>
      </c>
      <c r="C3157" s="121">
        <v>1</v>
      </c>
      <c r="D3157" s="734">
        <v>5</v>
      </c>
      <c r="E3157" s="733"/>
    </row>
    <row r="3158" spans="2:5">
      <c r="B3158" s="121">
        <v>276</v>
      </c>
      <c r="C3158" s="121">
        <v>2</v>
      </c>
      <c r="D3158" s="734">
        <v>98.710495656071146</v>
      </c>
      <c r="E3158" s="733"/>
    </row>
    <row r="3159" spans="2:5">
      <c r="B3159" s="121">
        <v>277</v>
      </c>
      <c r="C3159" s="121">
        <v>1</v>
      </c>
      <c r="D3159" s="734">
        <v>5</v>
      </c>
      <c r="E3159" s="733"/>
    </row>
    <row r="3160" spans="2:5">
      <c r="B3160" s="121">
        <v>277</v>
      </c>
      <c r="C3160" s="121">
        <v>2</v>
      </c>
      <c r="D3160" s="734">
        <v>102.80312905072361</v>
      </c>
      <c r="E3160" s="733"/>
    </row>
    <row r="3161" spans="2:5">
      <c r="B3161" s="121">
        <v>277</v>
      </c>
      <c r="C3161" s="121">
        <v>3</v>
      </c>
      <c r="D3161" s="734">
        <v>120.04666702217146</v>
      </c>
      <c r="E3161" s="733"/>
    </row>
    <row r="3162" spans="2:5">
      <c r="B3162" s="121">
        <v>277</v>
      </c>
      <c r="C3162" s="121">
        <v>4</v>
      </c>
      <c r="D3162" s="734">
        <v>141.84899777694642</v>
      </c>
      <c r="E3162" s="733"/>
    </row>
    <row r="3163" spans="2:5">
      <c r="B3163" s="121">
        <v>277</v>
      </c>
      <c r="C3163" s="121">
        <v>5</v>
      </c>
      <c r="D3163" s="734">
        <v>136.69565217478771</v>
      </c>
      <c r="E3163" s="733"/>
    </row>
    <row r="3164" spans="2:5">
      <c r="B3164" s="121">
        <v>277</v>
      </c>
      <c r="C3164" s="121">
        <v>6</v>
      </c>
      <c r="D3164" s="734">
        <v>136.71813742834823</v>
      </c>
      <c r="E3164" s="733"/>
    </row>
    <row r="3165" spans="2:5">
      <c r="B3165" s="121">
        <v>277</v>
      </c>
      <c r="C3165" s="121">
        <v>7</v>
      </c>
      <c r="D3165" s="734">
        <v>143.87019111347115</v>
      </c>
      <c r="E3165" s="733"/>
    </row>
    <row r="3166" spans="2:5">
      <c r="B3166" s="121">
        <v>277</v>
      </c>
      <c r="C3166" s="121">
        <v>8</v>
      </c>
      <c r="D3166" s="734">
        <v>144.37292535323149</v>
      </c>
      <c r="E3166" s="733"/>
    </row>
    <row r="3167" spans="2:5">
      <c r="B3167" s="121">
        <v>277</v>
      </c>
      <c r="C3167" s="121">
        <v>9</v>
      </c>
      <c r="D3167" s="734">
        <v>140.30876487423618</v>
      </c>
      <c r="E3167" s="733"/>
    </row>
    <row r="3168" spans="2:5">
      <c r="B3168" s="121">
        <v>277</v>
      </c>
      <c r="C3168" s="121">
        <v>10</v>
      </c>
      <c r="D3168" s="734">
        <v>143.05080061463633</v>
      </c>
      <c r="E3168" s="733"/>
    </row>
    <row r="3169" spans="2:5">
      <c r="B3169" s="121">
        <v>277</v>
      </c>
      <c r="C3169" s="121">
        <v>11</v>
      </c>
      <c r="D3169" s="734">
        <v>144.82924849879717</v>
      </c>
      <c r="E3169" s="733"/>
    </row>
    <row r="3170" spans="2:5">
      <c r="B3170" s="121">
        <v>277</v>
      </c>
      <c r="C3170" s="121">
        <v>12</v>
      </c>
      <c r="D3170" s="734">
        <v>136.06539197507468</v>
      </c>
      <c r="E3170" s="733"/>
    </row>
    <row r="3171" spans="2:5">
      <c r="B3171" s="121">
        <v>277</v>
      </c>
      <c r="C3171" s="121">
        <v>13</v>
      </c>
      <c r="D3171" s="734">
        <v>143.6642633097627</v>
      </c>
      <c r="E3171" s="733"/>
    </row>
    <row r="3172" spans="2:5">
      <c r="B3172" s="121">
        <v>277</v>
      </c>
      <c r="C3172" s="121">
        <v>14</v>
      </c>
      <c r="D3172" s="734">
        <v>135.17381856435992</v>
      </c>
      <c r="E3172" s="733"/>
    </row>
    <row r="3173" spans="2:5">
      <c r="B3173" s="121">
        <v>277</v>
      </c>
      <c r="C3173" s="121">
        <v>15</v>
      </c>
      <c r="D3173" s="734">
        <v>133.66032807041447</v>
      </c>
      <c r="E3173" s="733"/>
    </row>
    <row r="3174" spans="2:5">
      <c r="B3174" s="121">
        <v>277</v>
      </c>
      <c r="C3174" s="121">
        <v>16</v>
      </c>
      <c r="D3174" s="734">
        <v>140.05817112470157</v>
      </c>
      <c r="E3174" s="733"/>
    </row>
    <row r="3175" spans="2:5">
      <c r="B3175" s="121">
        <v>277</v>
      </c>
      <c r="C3175" s="121">
        <v>17</v>
      </c>
      <c r="D3175" s="734">
        <v>146.37839301252455</v>
      </c>
      <c r="E3175" s="733"/>
    </row>
    <row r="3176" spans="2:5">
      <c r="B3176" s="121">
        <v>277</v>
      </c>
      <c r="C3176" s="121">
        <v>18</v>
      </c>
      <c r="D3176" s="734">
        <v>135.5345503664517</v>
      </c>
      <c r="E3176" s="733"/>
    </row>
    <row r="3177" spans="2:5">
      <c r="B3177" s="121">
        <v>277</v>
      </c>
      <c r="C3177" s="121">
        <v>19</v>
      </c>
      <c r="D3177" s="734">
        <v>143.77341296955464</v>
      </c>
      <c r="E3177" s="733"/>
    </row>
    <row r="3178" spans="2:5">
      <c r="B3178" s="121">
        <v>277</v>
      </c>
      <c r="C3178" s="121">
        <v>20</v>
      </c>
      <c r="D3178" s="734">
        <v>140.06570027297121</v>
      </c>
      <c r="E3178" s="733"/>
    </row>
    <row r="3179" spans="2:5">
      <c r="B3179" s="121">
        <v>277</v>
      </c>
      <c r="C3179" s="121">
        <v>21</v>
      </c>
      <c r="D3179" s="734">
        <v>140.49589656810736</v>
      </c>
      <c r="E3179" s="733"/>
    </row>
    <row r="3180" spans="2:5">
      <c r="B3180" s="121">
        <v>277</v>
      </c>
      <c r="C3180" s="121">
        <v>22</v>
      </c>
      <c r="D3180" s="734">
        <v>136.95873251761051</v>
      </c>
      <c r="E3180" s="733"/>
    </row>
    <row r="3181" spans="2:5">
      <c r="B3181" s="121">
        <v>277</v>
      </c>
      <c r="C3181" s="121">
        <v>23</v>
      </c>
      <c r="D3181" s="734">
        <v>145.75903352396787</v>
      </c>
      <c r="E3181" s="733"/>
    </row>
    <row r="3182" spans="2:5">
      <c r="B3182" s="121">
        <v>277</v>
      </c>
      <c r="C3182" s="121">
        <v>24</v>
      </c>
      <c r="D3182" s="734">
        <v>135.95852299332014</v>
      </c>
      <c r="E3182" s="733"/>
    </row>
    <row r="3183" spans="2:5">
      <c r="B3183" s="121">
        <v>277</v>
      </c>
      <c r="C3183" s="121">
        <v>25</v>
      </c>
      <c r="D3183" s="734">
        <v>134.87586152776706</v>
      </c>
      <c r="E3183" s="733"/>
    </row>
    <row r="3184" spans="2:5">
      <c r="B3184" s="121">
        <v>278</v>
      </c>
      <c r="C3184" s="121">
        <v>1</v>
      </c>
      <c r="D3184" s="734">
        <v>5</v>
      </c>
      <c r="E3184" s="733"/>
    </row>
    <row r="3185" spans="2:5">
      <c r="B3185" s="121">
        <v>278</v>
      </c>
      <c r="C3185" s="121">
        <v>2</v>
      </c>
      <c r="D3185" s="734">
        <v>102.99987103267271</v>
      </c>
      <c r="E3185" s="733"/>
    </row>
    <row r="3186" spans="2:5">
      <c r="B3186" s="121">
        <v>279</v>
      </c>
      <c r="C3186" s="121">
        <v>1</v>
      </c>
      <c r="D3186" s="734">
        <v>5</v>
      </c>
      <c r="E3186" s="733"/>
    </row>
    <row r="3187" spans="2:5">
      <c r="B3187" s="121">
        <v>279</v>
      </c>
      <c r="C3187" s="121">
        <v>2</v>
      </c>
      <c r="D3187" s="734">
        <v>100.34885583932183</v>
      </c>
      <c r="E3187" s="733"/>
    </row>
    <row r="3188" spans="2:5">
      <c r="B3188" s="121">
        <v>280</v>
      </c>
      <c r="C3188" s="121">
        <v>1</v>
      </c>
      <c r="D3188" s="734">
        <v>5</v>
      </c>
      <c r="E3188" s="733"/>
    </row>
    <row r="3189" spans="2:5">
      <c r="B3189" s="121">
        <v>280</v>
      </c>
      <c r="C3189" s="121">
        <v>2</v>
      </c>
      <c r="D3189" s="734">
        <v>95.206073005221469</v>
      </c>
      <c r="E3189" s="733"/>
    </row>
    <row r="3190" spans="2:5">
      <c r="B3190" s="121">
        <v>281</v>
      </c>
      <c r="C3190" s="121">
        <v>1</v>
      </c>
      <c r="D3190" s="734">
        <v>5</v>
      </c>
      <c r="E3190" s="733"/>
    </row>
    <row r="3191" spans="2:5">
      <c r="B3191" s="121">
        <v>282</v>
      </c>
      <c r="C3191" s="121">
        <v>1</v>
      </c>
      <c r="D3191" s="734">
        <v>5</v>
      </c>
      <c r="E3191" s="733"/>
    </row>
    <row r="3192" spans="2:5">
      <c r="B3192" s="121">
        <v>282</v>
      </c>
      <c r="C3192" s="121">
        <v>2</v>
      </c>
      <c r="D3192" s="734">
        <v>97.89839225209181</v>
      </c>
      <c r="E3192" s="733"/>
    </row>
    <row r="3193" spans="2:5">
      <c r="B3193" s="121">
        <v>282</v>
      </c>
      <c r="C3193" s="121">
        <v>3</v>
      </c>
      <c r="D3193" s="734">
        <v>120.45958737408156</v>
      </c>
      <c r="E3193" s="733"/>
    </row>
    <row r="3194" spans="2:5">
      <c r="B3194" s="121">
        <v>282</v>
      </c>
      <c r="C3194" s="121">
        <v>4</v>
      </c>
      <c r="D3194" s="734">
        <v>143.76127613902992</v>
      </c>
      <c r="E3194" s="733"/>
    </row>
    <row r="3195" spans="2:5">
      <c r="B3195" s="121">
        <v>282</v>
      </c>
      <c r="C3195" s="121">
        <v>5</v>
      </c>
      <c r="D3195" s="734">
        <v>135.45935166046397</v>
      </c>
      <c r="E3195" s="733"/>
    </row>
    <row r="3196" spans="2:5">
      <c r="B3196" s="121">
        <v>282</v>
      </c>
      <c r="C3196" s="121">
        <v>6</v>
      </c>
      <c r="D3196" s="734">
        <v>140.82243236807366</v>
      </c>
      <c r="E3196" s="733"/>
    </row>
    <row r="3197" spans="2:5">
      <c r="B3197" s="121">
        <v>282</v>
      </c>
      <c r="C3197" s="121">
        <v>7</v>
      </c>
      <c r="D3197" s="734">
        <v>142.05860760728226</v>
      </c>
      <c r="E3197" s="733"/>
    </row>
    <row r="3198" spans="2:5">
      <c r="B3198" s="121">
        <v>282</v>
      </c>
      <c r="C3198" s="121">
        <v>8</v>
      </c>
      <c r="D3198" s="734">
        <v>135.48193355516594</v>
      </c>
      <c r="E3198" s="733"/>
    </row>
    <row r="3199" spans="2:5">
      <c r="B3199" s="121">
        <v>282</v>
      </c>
      <c r="C3199" s="121">
        <v>9</v>
      </c>
      <c r="D3199" s="734">
        <v>134.59663634543449</v>
      </c>
      <c r="E3199" s="733"/>
    </row>
    <row r="3200" spans="2:5">
      <c r="B3200" s="121">
        <v>282</v>
      </c>
      <c r="C3200" s="121">
        <v>10</v>
      </c>
      <c r="D3200" s="734">
        <v>140.3386815471799</v>
      </c>
      <c r="E3200" s="733"/>
    </row>
    <row r="3201" spans="2:5">
      <c r="B3201" s="121">
        <v>282</v>
      </c>
      <c r="C3201" s="121">
        <v>11</v>
      </c>
      <c r="D3201" s="734">
        <v>140.46449523133998</v>
      </c>
      <c r="E3201" s="733"/>
    </row>
    <row r="3202" spans="2:5">
      <c r="B3202" s="121">
        <v>282</v>
      </c>
      <c r="C3202" s="121">
        <v>12</v>
      </c>
      <c r="D3202" s="734">
        <v>136.70573642495421</v>
      </c>
      <c r="E3202" s="733"/>
    </row>
    <row r="3203" spans="2:5">
      <c r="B3203" s="121">
        <v>282</v>
      </c>
      <c r="C3203" s="121">
        <v>13</v>
      </c>
      <c r="D3203" s="734">
        <v>135.89133035665614</v>
      </c>
      <c r="E3203" s="733"/>
    </row>
    <row r="3204" spans="2:5">
      <c r="B3204" s="121">
        <v>282</v>
      </c>
      <c r="C3204" s="121">
        <v>14</v>
      </c>
      <c r="D3204" s="734">
        <v>146.26616664399685</v>
      </c>
      <c r="E3204" s="733"/>
    </row>
    <row r="3205" spans="2:5">
      <c r="B3205" s="121">
        <v>282</v>
      </c>
      <c r="C3205" s="121">
        <v>15</v>
      </c>
      <c r="D3205" s="734">
        <v>137.65276243930285</v>
      </c>
      <c r="E3205" s="733"/>
    </row>
    <row r="3206" spans="2:5">
      <c r="B3206" s="121">
        <v>282</v>
      </c>
      <c r="C3206" s="121">
        <v>16</v>
      </c>
      <c r="D3206" s="734">
        <v>138.78623266843226</v>
      </c>
      <c r="E3206" s="733"/>
    </row>
    <row r="3207" spans="2:5">
      <c r="B3207" s="121">
        <v>282</v>
      </c>
      <c r="C3207" s="121">
        <v>17</v>
      </c>
      <c r="D3207" s="734">
        <v>146.36258959387928</v>
      </c>
      <c r="E3207" s="733"/>
    </row>
    <row r="3208" spans="2:5">
      <c r="B3208" s="121">
        <v>282</v>
      </c>
      <c r="C3208" s="121">
        <v>18</v>
      </c>
      <c r="D3208" s="734">
        <v>133.98059415919499</v>
      </c>
      <c r="E3208" s="733"/>
    </row>
    <row r="3209" spans="2:5">
      <c r="B3209" s="121">
        <v>282</v>
      </c>
      <c r="C3209" s="121">
        <v>19</v>
      </c>
      <c r="D3209" s="734">
        <v>146.71828743042624</v>
      </c>
      <c r="E3209" s="733"/>
    </row>
    <row r="3210" spans="2:5">
      <c r="B3210" s="121">
        <v>282</v>
      </c>
      <c r="C3210" s="121">
        <v>20</v>
      </c>
      <c r="D3210" s="734">
        <v>142.23559854838757</v>
      </c>
      <c r="E3210" s="733"/>
    </row>
    <row r="3211" spans="2:5">
      <c r="B3211" s="121">
        <v>282</v>
      </c>
      <c r="C3211" s="121">
        <v>21</v>
      </c>
      <c r="D3211" s="734">
        <v>144.58013152919733</v>
      </c>
      <c r="E3211" s="733"/>
    </row>
    <row r="3212" spans="2:5">
      <c r="B3212" s="121">
        <v>282</v>
      </c>
      <c r="C3212" s="121">
        <v>22</v>
      </c>
      <c r="D3212" s="734">
        <v>140.05954358571483</v>
      </c>
      <c r="E3212" s="733"/>
    </row>
    <row r="3213" spans="2:5">
      <c r="B3213" s="121">
        <v>282</v>
      </c>
      <c r="C3213" s="121">
        <v>23</v>
      </c>
      <c r="D3213" s="734">
        <v>140.69085825511809</v>
      </c>
      <c r="E3213" s="733"/>
    </row>
    <row r="3214" spans="2:5">
      <c r="B3214" s="121">
        <v>282</v>
      </c>
      <c r="C3214" s="121">
        <v>24</v>
      </c>
      <c r="D3214" s="734">
        <v>142.95628805766009</v>
      </c>
      <c r="E3214" s="733"/>
    </row>
    <row r="3215" spans="2:5">
      <c r="B3215" s="121">
        <v>282</v>
      </c>
      <c r="C3215" s="121">
        <v>25</v>
      </c>
      <c r="D3215" s="734">
        <v>137.70841363955896</v>
      </c>
      <c r="E3215" s="733"/>
    </row>
    <row r="3216" spans="2:5">
      <c r="B3216" s="121">
        <v>282</v>
      </c>
      <c r="C3216" s="121">
        <v>26</v>
      </c>
      <c r="D3216" s="734">
        <v>137.89910924780543</v>
      </c>
      <c r="E3216" s="733"/>
    </row>
    <row r="3217" spans="2:5">
      <c r="B3217" s="121">
        <v>282</v>
      </c>
      <c r="C3217" s="121">
        <v>27</v>
      </c>
      <c r="D3217" s="734">
        <v>139.66005990420848</v>
      </c>
      <c r="E3217" s="733"/>
    </row>
    <row r="3218" spans="2:5">
      <c r="B3218" s="121">
        <v>282</v>
      </c>
      <c r="C3218" s="121">
        <v>28</v>
      </c>
      <c r="D3218" s="734">
        <v>147.27304736696755</v>
      </c>
      <c r="E3218" s="733"/>
    </row>
    <row r="3219" spans="2:5">
      <c r="B3219" s="121">
        <v>282</v>
      </c>
      <c r="C3219" s="121">
        <v>29</v>
      </c>
      <c r="D3219" s="734">
        <v>136.75903522581063</v>
      </c>
      <c r="E3219" s="733"/>
    </row>
    <row r="3220" spans="2:5">
      <c r="B3220" s="121">
        <v>282</v>
      </c>
      <c r="C3220" s="121">
        <v>30</v>
      </c>
      <c r="D3220" s="734">
        <v>144.9093928634334</v>
      </c>
      <c r="E3220" s="733"/>
    </row>
    <row r="3221" spans="2:5">
      <c r="B3221" s="121">
        <v>282</v>
      </c>
      <c r="C3221" s="121">
        <v>31</v>
      </c>
      <c r="D3221" s="734">
        <v>142.59224595474322</v>
      </c>
      <c r="E3221" s="733"/>
    </row>
    <row r="3222" spans="2:5">
      <c r="B3222" s="121">
        <v>282</v>
      </c>
      <c r="C3222" s="121">
        <v>32</v>
      </c>
      <c r="D3222" s="734">
        <v>142.58684568083976</v>
      </c>
      <c r="E3222" s="733"/>
    </row>
    <row r="3223" spans="2:5">
      <c r="B3223" s="121">
        <v>282</v>
      </c>
      <c r="C3223" s="121">
        <v>33</v>
      </c>
      <c r="D3223" s="734">
        <v>143.76123300997878</v>
      </c>
      <c r="E3223" s="733"/>
    </row>
    <row r="3224" spans="2:5">
      <c r="B3224" s="121">
        <v>282</v>
      </c>
      <c r="C3224" s="121">
        <v>34</v>
      </c>
      <c r="D3224" s="734">
        <v>139.82303337887069</v>
      </c>
      <c r="E3224" s="733"/>
    </row>
    <row r="3225" spans="2:5">
      <c r="B3225" s="121">
        <v>282</v>
      </c>
      <c r="C3225" s="121">
        <v>35</v>
      </c>
      <c r="D3225" s="734">
        <v>141.81168454685906</v>
      </c>
      <c r="E3225" s="733"/>
    </row>
    <row r="3226" spans="2:5">
      <c r="B3226" s="121">
        <v>282</v>
      </c>
      <c r="C3226" s="121">
        <v>36</v>
      </c>
      <c r="D3226" s="734">
        <v>137.94452663175741</v>
      </c>
      <c r="E3226" s="733"/>
    </row>
    <row r="3227" spans="2:5">
      <c r="B3227" s="121">
        <v>283</v>
      </c>
      <c r="C3227" s="121">
        <v>1</v>
      </c>
      <c r="D3227" s="734">
        <v>5</v>
      </c>
      <c r="E3227" s="733"/>
    </row>
    <row r="3228" spans="2:5">
      <c r="B3228" s="121">
        <v>283</v>
      </c>
      <c r="C3228" s="121">
        <v>2</v>
      </c>
      <c r="D3228" s="734">
        <v>94.612871300341723</v>
      </c>
      <c r="E3228" s="733"/>
    </row>
    <row r="3229" spans="2:5">
      <c r="B3229" s="121">
        <v>283</v>
      </c>
      <c r="C3229" s="121">
        <v>3</v>
      </c>
      <c r="D3229" s="734">
        <v>124.4787301232105</v>
      </c>
      <c r="E3229" s="733"/>
    </row>
    <row r="3230" spans="2:5">
      <c r="B3230" s="121">
        <v>283</v>
      </c>
      <c r="C3230" s="121">
        <v>4</v>
      </c>
      <c r="D3230" s="734">
        <v>136.18024366234727</v>
      </c>
      <c r="E3230" s="733"/>
    </row>
    <row r="3231" spans="2:5">
      <c r="B3231" s="121">
        <v>283</v>
      </c>
      <c r="C3231" s="121">
        <v>5</v>
      </c>
      <c r="D3231" s="734">
        <v>140.42863975154498</v>
      </c>
      <c r="E3231" s="733"/>
    </row>
    <row r="3232" spans="2:5">
      <c r="B3232" s="121">
        <v>283</v>
      </c>
      <c r="C3232" s="121">
        <v>6</v>
      </c>
      <c r="D3232" s="734">
        <v>146.60480229239346</v>
      </c>
      <c r="E3232" s="733"/>
    </row>
    <row r="3233" spans="2:5">
      <c r="B3233" s="121">
        <v>283</v>
      </c>
      <c r="C3233" s="121">
        <v>7</v>
      </c>
      <c r="D3233" s="734">
        <v>138.74014891504001</v>
      </c>
      <c r="E3233" s="733"/>
    </row>
    <row r="3234" spans="2:5">
      <c r="B3234" s="121">
        <v>284</v>
      </c>
      <c r="C3234" s="121">
        <v>1</v>
      </c>
      <c r="D3234" s="734">
        <v>5</v>
      </c>
      <c r="E3234" s="733"/>
    </row>
    <row r="3235" spans="2:5">
      <c r="B3235" s="121">
        <v>285</v>
      </c>
      <c r="C3235" s="121">
        <v>1</v>
      </c>
      <c r="D3235" s="734">
        <v>5</v>
      </c>
      <c r="E3235" s="733"/>
    </row>
    <row r="3236" spans="2:5">
      <c r="B3236" s="121">
        <v>286</v>
      </c>
      <c r="C3236" s="121">
        <v>1</v>
      </c>
      <c r="D3236" s="734">
        <v>5</v>
      </c>
      <c r="E3236" s="733"/>
    </row>
    <row r="3237" spans="2:5">
      <c r="B3237" s="121">
        <v>286</v>
      </c>
      <c r="C3237" s="121">
        <v>2</v>
      </c>
      <c r="D3237" s="734">
        <v>98.382668904730338</v>
      </c>
      <c r="E3237" s="733"/>
    </row>
    <row r="3238" spans="2:5">
      <c r="B3238" s="121">
        <v>286</v>
      </c>
      <c r="C3238" s="121">
        <v>3</v>
      </c>
      <c r="D3238" s="734">
        <v>119.21462607203441</v>
      </c>
      <c r="E3238" s="733"/>
    </row>
    <row r="3239" spans="2:5">
      <c r="B3239" s="121">
        <v>286</v>
      </c>
      <c r="C3239" s="121">
        <v>4</v>
      </c>
      <c r="D3239" s="734">
        <v>139.39581729489817</v>
      </c>
      <c r="E3239" s="733"/>
    </row>
    <row r="3240" spans="2:5">
      <c r="B3240" s="121">
        <v>286</v>
      </c>
      <c r="C3240" s="121">
        <v>5</v>
      </c>
      <c r="D3240" s="734">
        <v>136.56532472265283</v>
      </c>
      <c r="E3240" s="733"/>
    </row>
    <row r="3241" spans="2:5">
      <c r="B3241" s="121">
        <v>287</v>
      </c>
      <c r="C3241" s="121">
        <v>1</v>
      </c>
      <c r="D3241" s="734">
        <v>5</v>
      </c>
      <c r="E3241" s="733"/>
    </row>
    <row r="3242" spans="2:5">
      <c r="B3242" s="121">
        <v>287</v>
      </c>
      <c r="C3242" s="121">
        <v>2</v>
      </c>
      <c r="D3242" s="734">
        <v>95.908216678529428</v>
      </c>
      <c r="E3242" s="733"/>
    </row>
    <row r="3243" spans="2:5">
      <c r="B3243" s="121">
        <v>287</v>
      </c>
      <c r="C3243" s="121">
        <v>3</v>
      </c>
      <c r="D3243" s="734">
        <v>115.68847137871347</v>
      </c>
      <c r="E3243" s="733"/>
    </row>
    <row r="3244" spans="2:5">
      <c r="B3244" s="121">
        <v>288</v>
      </c>
      <c r="C3244" s="121">
        <v>1</v>
      </c>
      <c r="D3244" s="734">
        <v>5</v>
      </c>
      <c r="E3244" s="733"/>
    </row>
    <row r="3245" spans="2:5">
      <c r="B3245" s="121">
        <v>289</v>
      </c>
      <c r="C3245" s="121">
        <v>1</v>
      </c>
      <c r="D3245" s="734">
        <v>5</v>
      </c>
      <c r="E3245" s="733"/>
    </row>
    <row r="3246" spans="2:5">
      <c r="B3246" s="121">
        <v>289</v>
      </c>
      <c r="C3246" s="121">
        <v>2</v>
      </c>
      <c r="D3246" s="734">
        <v>99.004445401580483</v>
      </c>
      <c r="E3246" s="733"/>
    </row>
    <row r="3247" spans="2:5">
      <c r="B3247" s="121">
        <v>289</v>
      </c>
      <c r="C3247" s="121">
        <v>3</v>
      </c>
      <c r="D3247" s="734">
        <v>114.62026766256926</v>
      </c>
      <c r="E3247" s="733"/>
    </row>
    <row r="3248" spans="2:5">
      <c r="B3248" s="121">
        <v>290</v>
      </c>
      <c r="C3248" s="121">
        <v>1</v>
      </c>
      <c r="D3248" s="734">
        <v>5</v>
      </c>
      <c r="E3248" s="733"/>
    </row>
    <row r="3249" spans="2:5">
      <c r="B3249" s="121">
        <v>291</v>
      </c>
      <c r="C3249" s="121">
        <v>1</v>
      </c>
      <c r="D3249" s="734">
        <v>5</v>
      </c>
      <c r="E3249" s="733"/>
    </row>
    <row r="3250" spans="2:5">
      <c r="B3250" s="121">
        <v>292</v>
      </c>
      <c r="C3250" s="121">
        <v>1</v>
      </c>
      <c r="D3250" s="734">
        <v>5</v>
      </c>
      <c r="E3250" s="733"/>
    </row>
    <row r="3251" spans="2:5">
      <c r="B3251" s="121">
        <v>293</v>
      </c>
      <c r="C3251" s="121">
        <v>1</v>
      </c>
      <c r="D3251" s="734">
        <v>5</v>
      </c>
      <c r="E3251" s="733"/>
    </row>
    <row r="3252" spans="2:5">
      <c r="B3252" s="121">
        <v>294</v>
      </c>
      <c r="C3252" s="121">
        <v>1</v>
      </c>
      <c r="D3252" s="734">
        <v>5</v>
      </c>
      <c r="E3252" s="733"/>
    </row>
    <row r="3253" spans="2:5">
      <c r="B3253" s="121">
        <v>294</v>
      </c>
      <c r="C3253" s="121">
        <v>2</v>
      </c>
      <c r="D3253" s="734">
        <v>95.051217113620083</v>
      </c>
      <c r="E3253" s="733"/>
    </row>
    <row r="3254" spans="2:5">
      <c r="B3254" s="121">
        <v>294</v>
      </c>
      <c r="C3254" s="121">
        <v>3</v>
      </c>
      <c r="D3254" s="734">
        <v>122.7912615440204</v>
      </c>
      <c r="E3254" s="733"/>
    </row>
    <row r="3255" spans="2:5">
      <c r="B3255" s="121">
        <v>294</v>
      </c>
      <c r="C3255" s="121">
        <v>4</v>
      </c>
      <c r="D3255" s="734">
        <v>144.7710015685395</v>
      </c>
      <c r="E3255" s="733"/>
    </row>
    <row r="3256" spans="2:5">
      <c r="B3256" s="121">
        <v>294</v>
      </c>
      <c r="C3256" s="121">
        <v>5</v>
      </c>
      <c r="D3256" s="734">
        <v>137.83398811522832</v>
      </c>
      <c r="E3256" s="733"/>
    </row>
    <row r="3257" spans="2:5">
      <c r="B3257" s="121">
        <v>295</v>
      </c>
      <c r="C3257" s="121">
        <v>1</v>
      </c>
      <c r="D3257" s="734">
        <v>5</v>
      </c>
      <c r="E3257" s="733"/>
    </row>
    <row r="3258" spans="2:5">
      <c r="B3258" s="121">
        <v>296</v>
      </c>
      <c r="C3258" s="121">
        <v>1</v>
      </c>
      <c r="D3258" s="734">
        <v>5</v>
      </c>
      <c r="E3258" s="733"/>
    </row>
    <row r="3259" spans="2:5">
      <c r="B3259" s="121">
        <v>296</v>
      </c>
      <c r="C3259" s="121">
        <v>2</v>
      </c>
      <c r="D3259" s="734">
        <v>99.973926380536085</v>
      </c>
      <c r="E3259" s="733"/>
    </row>
    <row r="3260" spans="2:5">
      <c r="B3260" s="121">
        <v>296</v>
      </c>
      <c r="C3260" s="121">
        <v>3</v>
      </c>
      <c r="D3260" s="734">
        <v>120.7047301842513</v>
      </c>
      <c r="E3260" s="733"/>
    </row>
    <row r="3261" spans="2:5">
      <c r="B3261" s="121">
        <v>296</v>
      </c>
      <c r="C3261" s="121">
        <v>4</v>
      </c>
      <c r="D3261" s="734">
        <v>144.25370268246567</v>
      </c>
      <c r="E3261" s="733"/>
    </row>
    <row r="3262" spans="2:5">
      <c r="B3262" s="121">
        <v>296</v>
      </c>
      <c r="C3262" s="121">
        <v>5</v>
      </c>
      <c r="D3262" s="734">
        <v>143.2681142718273</v>
      </c>
      <c r="E3262" s="733"/>
    </row>
    <row r="3263" spans="2:5">
      <c r="B3263" s="121">
        <v>296</v>
      </c>
      <c r="C3263" s="121">
        <v>6</v>
      </c>
      <c r="D3263" s="734">
        <v>141.58091259699961</v>
      </c>
      <c r="E3263" s="733"/>
    </row>
    <row r="3264" spans="2:5">
      <c r="B3264" s="121">
        <v>296</v>
      </c>
      <c r="C3264" s="121">
        <v>7</v>
      </c>
      <c r="D3264" s="734">
        <v>142.96769009351061</v>
      </c>
      <c r="E3264" s="733"/>
    </row>
    <row r="3265" spans="2:5">
      <c r="B3265" s="121">
        <v>297</v>
      </c>
      <c r="C3265" s="121">
        <v>1</v>
      </c>
      <c r="D3265" s="734">
        <v>5</v>
      </c>
      <c r="E3265" s="733"/>
    </row>
    <row r="3266" spans="2:5">
      <c r="B3266" s="121">
        <v>297</v>
      </c>
      <c r="C3266" s="121">
        <v>2</v>
      </c>
      <c r="D3266" s="734">
        <v>97.936730887699127</v>
      </c>
      <c r="E3266" s="733"/>
    </row>
    <row r="3267" spans="2:5">
      <c r="B3267" s="121">
        <v>297</v>
      </c>
      <c r="C3267" s="121">
        <v>3</v>
      </c>
      <c r="D3267" s="734">
        <v>120.88420461603671</v>
      </c>
      <c r="E3267" s="733"/>
    </row>
    <row r="3268" spans="2:5">
      <c r="B3268" s="121">
        <v>297</v>
      </c>
      <c r="C3268" s="121">
        <v>4</v>
      </c>
      <c r="D3268" s="734">
        <v>142.86445363439444</v>
      </c>
      <c r="E3268" s="733"/>
    </row>
    <row r="3269" spans="2:5">
      <c r="B3269" s="121">
        <v>297</v>
      </c>
      <c r="C3269" s="121">
        <v>5</v>
      </c>
      <c r="D3269" s="734">
        <v>141.53621058326343</v>
      </c>
      <c r="E3269" s="733"/>
    </row>
    <row r="3270" spans="2:5">
      <c r="B3270" s="121">
        <v>297</v>
      </c>
      <c r="C3270" s="121">
        <v>6</v>
      </c>
      <c r="D3270" s="734">
        <v>142.6958321221978</v>
      </c>
      <c r="E3270" s="733"/>
    </row>
    <row r="3271" spans="2:5">
      <c r="B3271" s="121">
        <v>297</v>
      </c>
      <c r="C3271" s="121">
        <v>7</v>
      </c>
      <c r="D3271" s="734">
        <v>141.41146242217295</v>
      </c>
      <c r="E3271" s="733"/>
    </row>
    <row r="3272" spans="2:5">
      <c r="B3272" s="121">
        <v>297</v>
      </c>
      <c r="C3272" s="121">
        <v>8</v>
      </c>
      <c r="D3272" s="734">
        <v>134.36133697026202</v>
      </c>
      <c r="E3272" s="733"/>
    </row>
    <row r="3273" spans="2:5">
      <c r="B3273" s="121">
        <v>297</v>
      </c>
      <c r="C3273" s="121">
        <v>9</v>
      </c>
      <c r="D3273" s="734">
        <v>146.26662356293517</v>
      </c>
      <c r="E3273" s="733"/>
    </row>
    <row r="3274" spans="2:5">
      <c r="B3274" s="121">
        <v>297</v>
      </c>
      <c r="C3274" s="121">
        <v>10</v>
      </c>
      <c r="D3274" s="734">
        <v>141.93869191910176</v>
      </c>
      <c r="E3274" s="733"/>
    </row>
    <row r="3275" spans="2:5">
      <c r="B3275" s="121">
        <v>297</v>
      </c>
      <c r="C3275" s="121">
        <v>11</v>
      </c>
      <c r="D3275" s="734">
        <v>139.75072129834578</v>
      </c>
      <c r="E3275" s="733"/>
    </row>
    <row r="3276" spans="2:5">
      <c r="B3276" s="121">
        <v>297</v>
      </c>
      <c r="C3276" s="121">
        <v>12</v>
      </c>
      <c r="D3276" s="734">
        <v>144.8506204214051</v>
      </c>
      <c r="E3276" s="733"/>
    </row>
    <row r="3277" spans="2:5">
      <c r="B3277" s="121">
        <v>297</v>
      </c>
      <c r="C3277" s="121">
        <v>13</v>
      </c>
      <c r="D3277" s="734">
        <v>145.86582363076064</v>
      </c>
      <c r="E3277" s="733"/>
    </row>
    <row r="3278" spans="2:5">
      <c r="B3278" s="121">
        <v>297</v>
      </c>
      <c r="C3278" s="121">
        <v>14</v>
      </c>
      <c r="D3278" s="734">
        <v>142.8904088526491</v>
      </c>
      <c r="E3278" s="733"/>
    </row>
    <row r="3279" spans="2:5">
      <c r="B3279" s="121">
        <v>297</v>
      </c>
      <c r="C3279" s="121">
        <v>15</v>
      </c>
      <c r="D3279" s="734">
        <v>138.74131562441468</v>
      </c>
      <c r="E3279" s="733"/>
    </row>
    <row r="3280" spans="2:5">
      <c r="B3280" s="121">
        <v>297</v>
      </c>
      <c r="C3280" s="121">
        <v>16</v>
      </c>
      <c r="D3280" s="734">
        <v>133.73627012303791</v>
      </c>
      <c r="E3280" s="733"/>
    </row>
    <row r="3281" spans="2:5">
      <c r="B3281" s="121">
        <v>297</v>
      </c>
      <c r="C3281" s="121">
        <v>17</v>
      </c>
      <c r="D3281" s="734">
        <v>140.43765636278295</v>
      </c>
      <c r="E3281" s="733"/>
    </row>
    <row r="3282" spans="2:5">
      <c r="B3282" s="121">
        <v>297</v>
      </c>
      <c r="C3282" s="121">
        <v>18</v>
      </c>
      <c r="D3282" s="734">
        <v>141.71970037663189</v>
      </c>
      <c r="E3282" s="733"/>
    </row>
    <row r="3283" spans="2:5">
      <c r="B3283" s="121">
        <v>297</v>
      </c>
      <c r="C3283" s="121">
        <v>19</v>
      </c>
      <c r="D3283" s="734">
        <v>142.21977101618845</v>
      </c>
      <c r="E3283" s="733"/>
    </row>
    <row r="3284" spans="2:5">
      <c r="B3284" s="121">
        <v>297</v>
      </c>
      <c r="C3284" s="121">
        <v>20</v>
      </c>
      <c r="D3284" s="734">
        <v>144.58558728274548</v>
      </c>
      <c r="E3284" s="733"/>
    </row>
    <row r="3285" spans="2:5">
      <c r="B3285" s="121">
        <v>297</v>
      </c>
      <c r="C3285" s="121">
        <v>21</v>
      </c>
      <c r="D3285" s="734">
        <v>143.94581622773211</v>
      </c>
      <c r="E3285" s="733"/>
    </row>
    <row r="3286" spans="2:5">
      <c r="B3286" s="121">
        <v>297</v>
      </c>
      <c r="C3286" s="121">
        <v>22</v>
      </c>
      <c r="D3286" s="734">
        <v>143.34772352098122</v>
      </c>
      <c r="E3286" s="733"/>
    </row>
    <row r="3287" spans="2:5">
      <c r="B3287" s="121">
        <v>297</v>
      </c>
      <c r="C3287" s="121">
        <v>23</v>
      </c>
      <c r="D3287" s="734">
        <v>138.71773360571015</v>
      </c>
      <c r="E3287" s="733"/>
    </row>
    <row r="3288" spans="2:5">
      <c r="B3288" s="121">
        <v>297</v>
      </c>
      <c r="C3288" s="121">
        <v>24</v>
      </c>
      <c r="D3288" s="734">
        <v>136.40738295829976</v>
      </c>
      <c r="E3288" s="733"/>
    </row>
    <row r="3289" spans="2:5">
      <c r="B3289" s="121">
        <v>297</v>
      </c>
      <c r="C3289" s="121">
        <v>25</v>
      </c>
      <c r="D3289" s="734">
        <v>140.06430985961123</v>
      </c>
      <c r="E3289" s="733"/>
    </row>
    <row r="3290" spans="2:5">
      <c r="B3290" s="121">
        <v>297</v>
      </c>
      <c r="C3290" s="121">
        <v>26</v>
      </c>
      <c r="D3290" s="734">
        <v>138.01670384514222</v>
      </c>
      <c r="E3290" s="733"/>
    </row>
    <row r="3291" spans="2:5">
      <c r="B3291" s="121">
        <v>297</v>
      </c>
      <c r="C3291" s="121">
        <v>27</v>
      </c>
      <c r="D3291" s="734">
        <v>142.08325036594482</v>
      </c>
      <c r="E3291" s="733"/>
    </row>
    <row r="3292" spans="2:5">
      <c r="B3292" s="121">
        <v>297</v>
      </c>
      <c r="C3292" s="121">
        <v>28</v>
      </c>
      <c r="D3292" s="734">
        <v>140.2427601498978</v>
      </c>
      <c r="E3292" s="733"/>
    </row>
    <row r="3293" spans="2:5">
      <c r="B3293" s="121">
        <v>297</v>
      </c>
      <c r="C3293" s="121">
        <v>29</v>
      </c>
      <c r="D3293" s="734">
        <v>141.40503591722921</v>
      </c>
      <c r="E3293" s="733"/>
    </row>
    <row r="3294" spans="2:5">
      <c r="B3294" s="121">
        <v>298</v>
      </c>
      <c r="C3294" s="121">
        <v>1</v>
      </c>
      <c r="D3294" s="734">
        <v>5</v>
      </c>
      <c r="E3294" s="733"/>
    </row>
    <row r="3295" spans="2:5">
      <c r="B3295" s="121">
        <v>298</v>
      </c>
      <c r="C3295" s="121">
        <v>2</v>
      </c>
      <c r="D3295" s="734">
        <v>98.500685418789885</v>
      </c>
      <c r="E3295" s="733"/>
    </row>
    <row r="3296" spans="2:5">
      <c r="B3296" s="121">
        <v>298</v>
      </c>
      <c r="C3296" s="121">
        <v>3</v>
      </c>
      <c r="D3296" s="734">
        <v>118.67628953674517</v>
      </c>
      <c r="E3296" s="733"/>
    </row>
    <row r="3297" spans="2:5">
      <c r="B3297" s="121">
        <v>298</v>
      </c>
      <c r="C3297" s="121">
        <v>4</v>
      </c>
      <c r="D3297" s="734">
        <v>138.99802755431605</v>
      </c>
      <c r="E3297" s="733"/>
    </row>
    <row r="3298" spans="2:5">
      <c r="B3298" s="121">
        <v>298</v>
      </c>
      <c r="C3298" s="121">
        <v>5</v>
      </c>
      <c r="D3298" s="734">
        <v>135.86902690475296</v>
      </c>
      <c r="E3298" s="733"/>
    </row>
    <row r="3299" spans="2:5">
      <c r="B3299" s="121">
        <v>298</v>
      </c>
      <c r="C3299" s="121">
        <v>6</v>
      </c>
      <c r="D3299" s="734">
        <v>135.32609624561633</v>
      </c>
      <c r="E3299" s="733"/>
    </row>
    <row r="3300" spans="2:5">
      <c r="B3300" s="121">
        <v>298</v>
      </c>
      <c r="C3300" s="121">
        <v>7</v>
      </c>
      <c r="D3300" s="734">
        <v>141.72690940516213</v>
      </c>
      <c r="E3300" s="733"/>
    </row>
    <row r="3301" spans="2:5">
      <c r="B3301" s="121">
        <v>298</v>
      </c>
      <c r="C3301" s="121">
        <v>8</v>
      </c>
      <c r="D3301" s="734">
        <v>135.60414413248088</v>
      </c>
      <c r="E3301" s="733"/>
    </row>
    <row r="3302" spans="2:5">
      <c r="B3302" s="121">
        <v>298</v>
      </c>
      <c r="C3302" s="121">
        <v>9</v>
      </c>
      <c r="D3302" s="734">
        <v>134.31439472522138</v>
      </c>
      <c r="E3302" s="733"/>
    </row>
    <row r="3303" spans="2:5">
      <c r="B3303" s="121">
        <v>298</v>
      </c>
      <c r="C3303" s="121">
        <v>10</v>
      </c>
      <c r="D3303" s="734">
        <v>143.44137378609798</v>
      </c>
      <c r="E3303" s="733"/>
    </row>
    <row r="3304" spans="2:5">
      <c r="B3304" s="121">
        <v>298</v>
      </c>
      <c r="C3304" s="121">
        <v>11</v>
      </c>
      <c r="D3304" s="734">
        <v>140.7682036007468</v>
      </c>
      <c r="E3304" s="733"/>
    </row>
    <row r="3305" spans="2:5">
      <c r="B3305" s="121">
        <v>298</v>
      </c>
      <c r="C3305" s="121">
        <v>12</v>
      </c>
      <c r="D3305" s="734">
        <v>146.45662639613209</v>
      </c>
      <c r="E3305" s="733"/>
    </row>
    <row r="3306" spans="2:5">
      <c r="B3306" s="121">
        <v>298</v>
      </c>
      <c r="C3306" s="121">
        <v>13</v>
      </c>
      <c r="D3306" s="734">
        <v>146.05635456307317</v>
      </c>
      <c r="E3306" s="733"/>
    </row>
    <row r="3307" spans="2:5">
      <c r="B3307" s="121">
        <v>298</v>
      </c>
      <c r="C3307" s="121">
        <v>14</v>
      </c>
      <c r="D3307" s="734">
        <v>141.33140444849954</v>
      </c>
      <c r="E3307" s="733"/>
    </row>
    <row r="3308" spans="2:5">
      <c r="B3308" s="121">
        <v>298</v>
      </c>
      <c r="C3308" s="121">
        <v>15</v>
      </c>
      <c r="D3308" s="734">
        <v>133.74087167393614</v>
      </c>
      <c r="E3308" s="733"/>
    </row>
    <row r="3309" spans="2:5">
      <c r="B3309" s="121">
        <v>298</v>
      </c>
      <c r="C3309" s="121">
        <v>16</v>
      </c>
      <c r="D3309" s="734">
        <v>139.83550962585574</v>
      </c>
      <c r="E3309" s="733"/>
    </row>
    <row r="3310" spans="2:5">
      <c r="B3310" s="121">
        <v>298</v>
      </c>
      <c r="C3310" s="121">
        <v>17</v>
      </c>
      <c r="D3310" s="734">
        <v>141.48864891766516</v>
      </c>
      <c r="E3310" s="733"/>
    </row>
    <row r="3311" spans="2:5">
      <c r="B3311" s="121">
        <v>298</v>
      </c>
      <c r="C3311" s="121">
        <v>18</v>
      </c>
      <c r="D3311" s="734">
        <v>143.48664409994433</v>
      </c>
      <c r="E3311" s="733"/>
    </row>
    <row r="3312" spans="2:5">
      <c r="B3312" s="121">
        <v>299</v>
      </c>
      <c r="C3312" s="121">
        <v>1</v>
      </c>
      <c r="D3312" s="734">
        <v>5</v>
      </c>
      <c r="E3312" s="733"/>
    </row>
    <row r="3313" spans="2:5">
      <c r="B3313" s="121">
        <v>299</v>
      </c>
      <c r="C3313" s="121">
        <v>2</v>
      </c>
      <c r="D3313" s="734">
        <v>101.01206282187167</v>
      </c>
      <c r="E3313" s="733"/>
    </row>
    <row r="3314" spans="2:5">
      <c r="B3314" s="121">
        <v>299</v>
      </c>
      <c r="C3314" s="121">
        <v>3</v>
      </c>
      <c r="D3314" s="734">
        <v>125.0019337340421</v>
      </c>
      <c r="E3314" s="733"/>
    </row>
    <row r="3315" spans="2:5">
      <c r="B3315" s="121">
        <v>299</v>
      </c>
      <c r="C3315" s="121">
        <v>4</v>
      </c>
      <c r="D3315" s="734">
        <v>146.80832119521008</v>
      </c>
      <c r="E3315" s="733"/>
    </row>
    <row r="3316" spans="2:5">
      <c r="B3316" s="121">
        <v>299</v>
      </c>
      <c r="C3316" s="121">
        <v>5</v>
      </c>
      <c r="D3316" s="734">
        <v>140.89795163325314</v>
      </c>
      <c r="E3316" s="733"/>
    </row>
    <row r="3317" spans="2:5">
      <c r="B3317" s="121">
        <v>299</v>
      </c>
      <c r="C3317" s="121">
        <v>6</v>
      </c>
      <c r="D3317" s="734">
        <v>139.44974495763483</v>
      </c>
      <c r="E3317" s="733"/>
    </row>
    <row r="3318" spans="2:5">
      <c r="B3318" s="121">
        <v>299</v>
      </c>
      <c r="C3318" s="121">
        <v>7</v>
      </c>
      <c r="D3318" s="734">
        <v>140.03485437177608</v>
      </c>
      <c r="E3318" s="733"/>
    </row>
    <row r="3319" spans="2:5">
      <c r="B3319" s="121">
        <v>299</v>
      </c>
      <c r="C3319" s="121">
        <v>8</v>
      </c>
      <c r="D3319" s="734">
        <v>143.70186697091077</v>
      </c>
      <c r="E3319" s="733"/>
    </row>
    <row r="3320" spans="2:5">
      <c r="B3320" s="121">
        <v>299</v>
      </c>
      <c r="C3320" s="121">
        <v>9</v>
      </c>
      <c r="D3320" s="734">
        <v>138.68847262278487</v>
      </c>
      <c r="E3320" s="733"/>
    </row>
    <row r="3321" spans="2:5">
      <c r="B3321" s="121">
        <v>299</v>
      </c>
      <c r="C3321" s="121">
        <v>10</v>
      </c>
      <c r="D3321" s="734">
        <v>140.53658479188073</v>
      </c>
      <c r="E3321" s="733"/>
    </row>
    <row r="3322" spans="2:5">
      <c r="B3322" s="121">
        <v>299</v>
      </c>
      <c r="C3322" s="121">
        <v>11</v>
      </c>
      <c r="D3322" s="734">
        <v>141.42714926319732</v>
      </c>
      <c r="E3322" s="733"/>
    </row>
    <row r="3323" spans="2:5">
      <c r="B3323" s="121">
        <v>299</v>
      </c>
      <c r="C3323" s="121">
        <v>12</v>
      </c>
      <c r="D3323" s="734">
        <v>142.49764583270664</v>
      </c>
      <c r="E3323" s="733"/>
    </row>
    <row r="3324" spans="2:5">
      <c r="B3324" s="121">
        <v>299</v>
      </c>
      <c r="C3324" s="121">
        <v>13</v>
      </c>
      <c r="D3324" s="734">
        <v>140.04855455438778</v>
      </c>
      <c r="E3324" s="733"/>
    </row>
    <row r="3325" spans="2:5">
      <c r="B3325" s="121">
        <v>299</v>
      </c>
      <c r="C3325" s="121">
        <v>14</v>
      </c>
      <c r="D3325" s="734">
        <v>138.6778935411416</v>
      </c>
      <c r="E3325" s="733"/>
    </row>
    <row r="3326" spans="2:5">
      <c r="B3326" s="121">
        <v>299</v>
      </c>
      <c r="C3326" s="121">
        <v>15</v>
      </c>
      <c r="D3326" s="734">
        <v>138.25337394458575</v>
      </c>
      <c r="E3326" s="733"/>
    </row>
    <row r="3327" spans="2:5">
      <c r="B3327" s="121">
        <v>299</v>
      </c>
      <c r="C3327" s="121">
        <v>16</v>
      </c>
      <c r="D3327" s="734">
        <v>142.70762189021494</v>
      </c>
      <c r="E3327" s="733"/>
    </row>
    <row r="3328" spans="2:5">
      <c r="B3328" s="121">
        <v>299</v>
      </c>
      <c r="C3328" s="121">
        <v>17</v>
      </c>
      <c r="D3328" s="734">
        <v>136.22717009973354</v>
      </c>
      <c r="E3328" s="733"/>
    </row>
    <row r="3329" spans="2:5">
      <c r="B3329" s="121">
        <v>299</v>
      </c>
      <c r="C3329" s="121">
        <v>18</v>
      </c>
      <c r="D3329" s="734">
        <v>143.73449571357486</v>
      </c>
      <c r="E3329" s="733"/>
    </row>
    <row r="3330" spans="2:5">
      <c r="B3330" s="121">
        <v>299</v>
      </c>
      <c r="C3330" s="121">
        <v>19</v>
      </c>
      <c r="D3330" s="734">
        <v>139.31887811198919</v>
      </c>
      <c r="E3330" s="733"/>
    </row>
    <row r="3331" spans="2:5">
      <c r="B3331" s="121">
        <v>299</v>
      </c>
      <c r="C3331" s="121">
        <v>20</v>
      </c>
      <c r="D3331" s="734">
        <v>141.5731167445137</v>
      </c>
      <c r="E3331" s="733"/>
    </row>
    <row r="3332" spans="2:5">
      <c r="B3332" s="121">
        <v>299</v>
      </c>
      <c r="C3332" s="121">
        <v>21</v>
      </c>
      <c r="D3332" s="734">
        <v>140.29982696133087</v>
      </c>
      <c r="E3332" s="733"/>
    </row>
    <row r="3333" spans="2:5">
      <c r="B3333" s="121">
        <v>299</v>
      </c>
      <c r="C3333" s="121">
        <v>22</v>
      </c>
      <c r="D3333" s="734">
        <v>137.28173555046737</v>
      </c>
      <c r="E3333" s="733"/>
    </row>
    <row r="3334" spans="2:5">
      <c r="B3334" s="121">
        <v>299</v>
      </c>
      <c r="C3334" s="121">
        <v>23</v>
      </c>
      <c r="D3334" s="734">
        <v>136.42978398649174</v>
      </c>
      <c r="E3334" s="733"/>
    </row>
    <row r="3335" spans="2:5">
      <c r="B3335" s="121">
        <v>299</v>
      </c>
      <c r="C3335" s="121">
        <v>24</v>
      </c>
      <c r="D3335" s="734">
        <v>140.85976944188397</v>
      </c>
      <c r="E3335" s="733"/>
    </row>
    <row r="3336" spans="2:5">
      <c r="B3336" s="121">
        <v>299</v>
      </c>
      <c r="C3336" s="121">
        <v>25</v>
      </c>
      <c r="D3336" s="734">
        <v>138.76903993463461</v>
      </c>
      <c r="E3336" s="733"/>
    </row>
    <row r="3337" spans="2:5">
      <c r="B3337" s="121">
        <v>299</v>
      </c>
      <c r="C3337" s="121">
        <v>26</v>
      </c>
      <c r="D3337" s="734">
        <v>145.93028605550623</v>
      </c>
      <c r="E3337" s="733"/>
    </row>
    <row r="3338" spans="2:5">
      <c r="B3338" s="121">
        <v>299</v>
      </c>
      <c r="C3338" s="121">
        <v>27</v>
      </c>
      <c r="D3338" s="734">
        <v>133.6909696340781</v>
      </c>
      <c r="E3338" s="733"/>
    </row>
    <row r="3339" spans="2:5">
      <c r="B3339" s="121">
        <v>299</v>
      </c>
      <c r="C3339" s="121">
        <v>28</v>
      </c>
      <c r="D3339" s="734">
        <v>136.99527033993954</v>
      </c>
      <c r="E3339" s="733"/>
    </row>
    <row r="3340" spans="2:5">
      <c r="B3340" s="121">
        <v>299</v>
      </c>
      <c r="C3340" s="121">
        <v>29</v>
      </c>
      <c r="D3340" s="734">
        <v>144.33026223418204</v>
      </c>
      <c r="E3340" s="733"/>
    </row>
    <row r="3341" spans="2:5">
      <c r="B3341" s="121">
        <v>299</v>
      </c>
      <c r="C3341" s="121">
        <v>30</v>
      </c>
      <c r="D3341" s="734">
        <v>138.99891989222542</v>
      </c>
      <c r="E3341" s="733"/>
    </row>
    <row r="3342" spans="2:5">
      <c r="B3342" s="121">
        <v>299</v>
      </c>
      <c r="C3342" s="121">
        <v>31</v>
      </c>
      <c r="D3342" s="734">
        <v>142.96980281875014</v>
      </c>
      <c r="E3342" s="733"/>
    </row>
    <row r="3343" spans="2:5">
      <c r="B3343" s="121">
        <v>299</v>
      </c>
      <c r="C3343" s="121">
        <v>32</v>
      </c>
      <c r="D3343" s="734">
        <v>136.96088218913346</v>
      </c>
      <c r="E3343" s="733"/>
    </row>
    <row r="3344" spans="2:5">
      <c r="B3344" s="121">
        <v>299</v>
      </c>
      <c r="C3344" s="121">
        <v>33</v>
      </c>
      <c r="D3344" s="734">
        <v>136.84012820968604</v>
      </c>
      <c r="E3344" s="733"/>
    </row>
    <row r="3345" spans="2:5">
      <c r="B3345" s="121">
        <v>299</v>
      </c>
      <c r="C3345" s="121">
        <v>34</v>
      </c>
      <c r="D3345" s="734">
        <v>144.54430235941888</v>
      </c>
      <c r="E3345" s="733"/>
    </row>
    <row r="3346" spans="2:5">
      <c r="B3346" s="121">
        <v>299</v>
      </c>
      <c r="C3346" s="121">
        <v>35</v>
      </c>
      <c r="D3346" s="734">
        <v>143.69529577416449</v>
      </c>
      <c r="E3346" s="733"/>
    </row>
    <row r="3347" spans="2:5">
      <c r="B3347" s="121">
        <v>299</v>
      </c>
      <c r="C3347" s="121">
        <v>36</v>
      </c>
      <c r="D3347" s="734">
        <v>140.53133177394159</v>
      </c>
      <c r="E3347" s="733"/>
    </row>
    <row r="3348" spans="2:5">
      <c r="B3348" s="121">
        <v>300</v>
      </c>
      <c r="C3348" s="121">
        <v>1</v>
      </c>
      <c r="D3348" s="734">
        <v>5</v>
      </c>
      <c r="E3348" s="733"/>
    </row>
    <row r="3349" spans="2:5">
      <c r="B3349" s="121">
        <v>300</v>
      </c>
      <c r="C3349" s="121">
        <v>2</v>
      </c>
      <c r="D3349" s="734">
        <v>96.256965799927727</v>
      </c>
      <c r="E3349" s="733"/>
    </row>
    <row r="3350" spans="2:5">
      <c r="B3350" s="121">
        <v>300</v>
      </c>
      <c r="C3350" s="121">
        <v>3</v>
      </c>
      <c r="D3350" s="734">
        <v>117.86524550654784</v>
      </c>
      <c r="E3350" s="733"/>
    </row>
    <row r="3351" spans="2:5">
      <c r="B3351" s="121">
        <v>300</v>
      </c>
      <c r="C3351" s="121">
        <v>4</v>
      </c>
      <c r="D3351" s="734">
        <v>144.61430801784277</v>
      </c>
      <c r="E3351" s="733"/>
    </row>
    <row r="3352" spans="2:5">
      <c r="B3352" s="121">
        <v>300</v>
      </c>
      <c r="C3352" s="121">
        <v>5</v>
      </c>
      <c r="D3352" s="734">
        <v>135.7520841132029</v>
      </c>
      <c r="E3352" s="733"/>
    </row>
    <row r="3353" spans="2:5">
      <c r="B3353" s="121">
        <v>300</v>
      </c>
      <c r="C3353" s="121">
        <v>6</v>
      </c>
      <c r="D3353" s="734">
        <v>141.70656321152788</v>
      </c>
      <c r="E3353" s="733"/>
    </row>
    <row r="3354" spans="2:5">
      <c r="B3354" s="121">
        <v>300</v>
      </c>
      <c r="C3354" s="121">
        <v>7</v>
      </c>
      <c r="D3354" s="734">
        <v>138.71444945179462</v>
      </c>
      <c r="E3354" s="733"/>
    </row>
    <row r="3355" spans="2:5">
      <c r="B3355" s="121">
        <v>301</v>
      </c>
      <c r="C3355" s="121">
        <v>1</v>
      </c>
      <c r="D3355" s="734">
        <v>5</v>
      </c>
      <c r="E3355" s="733"/>
    </row>
    <row r="3356" spans="2:5">
      <c r="B3356" s="121">
        <v>301</v>
      </c>
      <c r="C3356" s="121">
        <v>2</v>
      </c>
      <c r="D3356" s="734">
        <v>97.608051626236445</v>
      </c>
      <c r="E3356" s="733"/>
    </row>
    <row r="3357" spans="2:5">
      <c r="B3357" s="121">
        <v>301</v>
      </c>
      <c r="C3357" s="121">
        <v>3</v>
      </c>
      <c r="D3357" s="734">
        <v>120.66938634156499</v>
      </c>
      <c r="E3357" s="733"/>
    </row>
    <row r="3358" spans="2:5">
      <c r="B3358" s="121">
        <v>301</v>
      </c>
      <c r="C3358" s="121">
        <v>4</v>
      </c>
      <c r="D3358" s="734">
        <v>134.65444400123795</v>
      </c>
      <c r="E3358" s="733"/>
    </row>
    <row r="3359" spans="2:5">
      <c r="B3359" s="121">
        <v>301</v>
      </c>
      <c r="C3359" s="121">
        <v>5</v>
      </c>
      <c r="D3359" s="734">
        <v>143.79421312917984</v>
      </c>
      <c r="E3359" s="733"/>
    </row>
    <row r="3360" spans="2:5">
      <c r="B3360" s="121">
        <v>301</v>
      </c>
      <c r="C3360" s="121">
        <v>6</v>
      </c>
      <c r="D3360" s="734">
        <v>141.97968140280551</v>
      </c>
      <c r="E3360" s="733"/>
    </row>
    <row r="3361" spans="2:5">
      <c r="B3361" s="121">
        <v>301</v>
      </c>
      <c r="C3361" s="121">
        <v>7</v>
      </c>
      <c r="D3361" s="734">
        <v>141.89420317938612</v>
      </c>
      <c r="E3361" s="733"/>
    </row>
    <row r="3362" spans="2:5">
      <c r="B3362" s="121">
        <v>301</v>
      </c>
      <c r="C3362" s="121">
        <v>8</v>
      </c>
      <c r="D3362" s="734">
        <v>142.57006082887483</v>
      </c>
      <c r="E3362" s="733"/>
    </row>
    <row r="3363" spans="2:5">
      <c r="B3363" s="121">
        <v>301</v>
      </c>
      <c r="C3363" s="121">
        <v>9</v>
      </c>
      <c r="D3363" s="734">
        <v>147.09490490390658</v>
      </c>
      <c r="E3363" s="733"/>
    </row>
    <row r="3364" spans="2:5">
      <c r="B3364" s="121">
        <v>301</v>
      </c>
      <c r="C3364" s="121">
        <v>10</v>
      </c>
      <c r="D3364" s="734">
        <v>145.97794570779726</v>
      </c>
      <c r="E3364" s="733"/>
    </row>
    <row r="3365" spans="2:5">
      <c r="B3365" s="121">
        <v>301</v>
      </c>
      <c r="C3365" s="121">
        <v>11</v>
      </c>
      <c r="D3365" s="734">
        <v>139.71552680970086</v>
      </c>
      <c r="E3365" s="733"/>
    </row>
    <row r="3366" spans="2:5">
      <c r="B3366" s="121">
        <v>301</v>
      </c>
      <c r="C3366" s="121">
        <v>12</v>
      </c>
      <c r="D3366" s="734">
        <v>142.65653481547858</v>
      </c>
      <c r="E3366" s="733"/>
    </row>
    <row r="3367" spans="2:5">
      <c r="B3367" s="121">
        <v>301</v>
      </c>
      <c r="C3367" s="121">
        <v>13</v>
      </c>
      <c r="D3367" s="734">
        <v>145.31347995325635</v>
      </c>
      <c r="E3367" s="733"/>
    </row>
    <row r="3368" spans="2:5">
      <c r="B3368" s="121">
        <v>302</v>
      </c>
      <c r="C3368" s="121">
        <v>1</v>
      </c>
      <c r="D3368" s="734">
        <v>5</v>
      </c>
      <c r="E3368" s="733"/>
    </row>
    <row r="3369" spans="2:5">
      <c r="B3369" s="121">
        <v>302</v>
      </c>
      <c r="C3369" s="121">
        <v>2</v>
      </c>
      <c r="D3369" s="734">
        <v>94.197946137499017</v>
      </c>
      <c r="E3369" s="733"/>
    </row>
    <row r="3370" spans="2:5">
      <c r="B3370" s="121">
        <v>302</v>
      </c>
      <c r="C3370" s="121">
        <v>3</v>
      </c>
      <c r="D3370" s="734">
        <v>117.92353255480648</v>
      </c>
      <c r="E3370" s="733"/>
    </row>
    <row r="3371" spans="2:5">
      <c r="B3371" s="121">
        <v>302</v>
      </c>
      <c r="C3371" s="121">
        <v>4</v>
      </c>
      <c r="D3371" s="734">
        <v>147.1022883926031</v>
      </c>
      <c r="E3371" s="733"/>
    </row>
    <row r="3372" spans="2:5">
      <c r="B3372" s="121">
        <v>302</v>
      </c>
      <c r="C3372" s="121">
        <v>5</v>
      </c>
      <c r="D3372" s="734">
        <v>146.9281450866826</v>
      </c>
      <c r="E3372" s="733"/>
    </row>
    <row r="3373" spans="2:5">
      <c r="B3373" s="121">
        <v>302</v>
      </c>
      <c r="C3373" s="121">
        <v>6</v>
      </c>
      <c r="D3373" s="734">
        <v>134.49670856205503</v>
      </c>
      <c r="E3373" s="733"/>
    </row>
    <row r="3374" spans="2:5">
      <c r="B3374" s="121">
        <v>302</v>
      </c>
      <c r="C3374" s="121">
        <v>7</v>
      </c>
      <c r="D3374" s="734">
        <v>137.51541430190991</v>
      </c>
      <c r="E3374" s="733"/>
    </row>
    <row r="3375" spans="2:5">
      <c r="B3375" s="121">
        <v>302</v>
      </c>
      <c r="C3375" s="121">
        <v>8</v>
      </c>
      <c r="D3375" s="734">
        <v>136.61687341408316</v>
      </c>
      <c r="E3375" s="733"/>
    </row>
    <row r="3376" spans="2:5">
      <c r="B3376" s="121">
        <v>302</v>
      </c>
      <c r="C3376" s="121">
        <v>9</v>
      </c>
      <c r="D3376" s="734">
        <v>143.42385089893364</v>
      </c>
      <c r="E3376" s="733"/>
    </row>
    <row r="3377" spans="2:5">
      <c r="B3377" s="121">
        <v>302</v>
      </c>
      <c r="C3377" s="121">
        <v>10</v>
      </c>
      <c r="D3377" s="734">
        <v>143.51037497421788</v>
      </c>
      <c r="E3377" s="733"/>
    </row>
    <row r="3378" spans="2:5">
      <c r="B3378" s="121">
        <v>302</v>
      </c>
      <c r="C3378" s="121">
        <v>11</v>
      </c>
      <c r="D3378" s="734">
        <v>138.63771735582824</v>
      </c>
      <c r="E3378" s="733"/>
    </row>
    <row r="3379" spans="2:5">
      <c r="B3379" s="121">
        <v>302</v>
      </c>
      <c r="C3379" s="121">
        <v>12</v>
      </c>
      <c r="D3379" s="734">
        <v>138.7506457382211</v>
      </c>
      <c r="E3379" s="733"/>
    </row>
    <row r="3380" spans="2:5">
      <c r="B3380" s="121">
        <v>302</v>
      </c>
      <c r="C3380" s="121">
        <v>13</v>
      </c>
      <c r="D3380" s="734">
        <v>143.07721532181426</v>
      </c>
      <c r="E3380" s="733"/>
    </row>
    <row r="3381" spans="2:5">
      <c r="B3381" s="121">
        <v>302</v>
      </c>
      <c r="C3381" s="121">
        <v>14</v>
      </c>
      <c r="D3381" s="734">
        <v>134.92180552901877</v>
      </c>
      <c r="E3381" s="733"/>
    </row>
    <row r="3382" spans="2:5">
      <c r="B3382" s="121">
        <v>302</v>
      </c>
      <c r="C3382" s="121">
        <v>15</v>
      </c>
      <c r="D3382" s="734">
        <v>142.38785186667496</v>
      </c>
      <c r="E3382" s="733"/>
    </row>
    <row r="3383" spans="2:5">
      <c r="B3383" s="121">
        <v>302</v>
      </c>
      <c r="C3383" s="121">
        <v>16</v>
      </c>
      <c r="D3383" s="734">
        <v>134.90297488298481</v>
      </c>
      <c r="E3383" s="733"/>
    </row>
    <row r="3384" spans="2:5">
      <c r="B3384" s="121">
        <v>302</v>
      </c>
      <c r="C3384" s="121">
        <v>17</v>
      </c>
      <c r="D3384" s="734">
        <v>140.39921135702312</v>
      </c>
      <c r="E3384" s="733"/>
    </row>
    <row r="3385" spans="2:5">
      <c r="B3385" s="121">
        <v>302</v>
      </c>
      <c r="C3385" s="121">
        <v>18</v>
      </c>
      <c r="D3385" s="734">
        <v>136.72535111784904</v>
      </c>
      <c r="E3385" s="733"/>
    </row>
    <row r="3386" spans="2:5">
      <c r="B3386" s="121">
        <v>302</v>
      </c>
      <c r="C3386" s="121">
        <v>19</v>
      </c>
      <c r="D3386" s="734">
        <v>138.79045625604297</v>
      </c>
      <c r="E3386" s="733"/>
    </row>
    <row r="3387" spans="2:5">
      <c r="B3387" s="121">
        <v>302</v>
      </c>
      <c r="C3387" s="121">
        <v>20</v>
      </c>
      <c r="D3387" s="734">
        <v>136.05941368702003</v>
      </c>
      <c r="E3387" s="733"/>
    </row>
    <row r="3388" spans="2:5">
      <c r="B3388" s="121">
        <v>302</v>
      </c>
      <c r="C3388" s="121">
        <v>21</v>
      </c>
      <c r="D3388" s="734">
        <v>145.72900259733137</v>
      </c>
      <c r="E3388" s="733"/>
    </row>
    <row r="3389" spans="2:5">
      <c r="B3389" s="121">
        <v>302</v>
      </c>
      <c r="C3389" s="121">
        <v>22</v>
      </c>
      <c r="D3389" s="734">
        <v>142.93559292979293</v>
      </c>
      <c r="E3389" s="733"/>
    </row>
    <row r="3390" spans="2:5">
      <c r="B3390" s="121">
        <v>302</v>
      </c>
      <c r="C3390" s="121">
        <v>23</v>
      </c>
      <c r="D3390" s="734">
        <v>146.86411354803454</v>
      </c>
      <c r="E3390" s="733"/>
    </row>
    <row r="3391" spans="2:5">
      <c r="B3391" s="121">
        <v>302</v>
      </c>
      <c r="C3391" s="121">
        <v>24</v>
      </c>
      <c r="D3391" s="734">
        <v>134.70029327812406</v>
      </c>
      <c r="E3391" s="733"/>
    </row>
    <row r="3392" spans="2:5">
      <c r="B3392" s="121">
        <v>302</v>
      </c>
      <c r="C3392" s="121">
        <v>25</v>
      </c>
      <c r="D3392" s="734">
        <v>138.24625625819675</v>
      </c>
      <c r="E3392" s="733"/>
    </row>
    <row r="3393" spans="2:5">
      <c r="B3393" s="121">
        <v>302</v>
      </c>
      <c r="C3393" s="121">
        <v>26</v>
      </c>
      <c r="D3393" s="734">
        <v>140.40989542712435</v>
      </c>
      <c r="E3393" s="733"/>
    </row>
    <row r="3394" spans="2:5">
      <c r="B3394" s="121">
        <v>302</v>
      </c>
      <c r="C3394" s="121">
        <v>27</v>
      </c>
      <c r="D3394" s="734">
        <v>133.96027136577248</v>
      </c>
      <c r="E3394" s="733"/>
    </row>
    <row r="3395" spans="2:5">
      <c r="B3395" s="121">
        <v>303</v>
      </c>
      <c r="C3395" s="121">
        <v>1</v>
      </c>
      <c r="D3395" s="734">
        <v>5</v>
      </c>
      <c r="E3395" s="733"/>
    </row>
    <row r="3396" spans="2:5">
      <c r="B3396" s="121">
        <v>303</v>
      </c>
      <c r="C3396" s="121">
        <v>2</v>
      </c>
      <c r="D3396" s="734">
        <v>95.532448449347612</v>
      </c>
      <c r="E3396" s="733"/>
    </row>
    <row r="3397" spans="2:5">
      <c r="B3397" s="121">
        <v>303</v>
      </c>
      <c r="C3397" s="121">
        <v>3</v>
      </c>
      <c r="D3397" s="734">
        <v>124.86251182663243</v>
      </c>
      <c r="E3397" s="733"/>
    </row>
    <row r="3398" spans="2:5">
      <c r="B3398" s="121">
        <v>303</v>
      </c>
      <c r="C3398" s="121">
        <v>4</v>
      </c>
      <c r="D3398" s="734">
        <v>137.71988685470902</v>
      </c>
      <c r="E3398" s="733"/>
    </row>
    <row r="3399" spans="2:5">
      <c r="B3399" s="121">
        <v>303</v>
      </c>
      <c r="C3399" s="121">
        <v>5</v>
      </c>
      <c r="D3399" s="734">
        <v>136.56880158045433</v>
      </c>
      <c r="E3399" s="733"/>
    </row>
    <row r="3400" spans="2:5">
      <c r="B3400" s="121">
        <v>303</v>
      </c>
      <c r="C3400" s="121">
        <v>6</v>
      </c>
      <c r="D3400" s="734">
        <v>134.89047345475072</v>
      </c>
      <c r="E3400" s="733"/>
    </row>
    <row r="3401" spans="2:5">
      <c r="B3401" s="121">
        <v>303</v>
      </c>
      <c r="C3401" s="121">
        <v>7</v>
      </c>
      <c r="D3401" s="734">
        <v>140.24483320942051</v>
      </c>
      <c r="E3401" s="733"/>
    </row>
    <row r="3402" spans="2:5">
      <c r="B3402" s="121">
        <v>303</v>
      </c>
      <c r="C3402" s="121">
        <v>8</v>
      </c>
      <c r="D3402" s="734">
        <v>133.75048575409767</v>
      </c>
      <c r="E3402" s="733"/>
    </row>
    <row r="3403" spans="2:5">
      <c r="B3403" s="121">
        <v>303</v>
      </c>
      <c r="C3403" s="121">
        <v>9</v>
      </c>
      <c r="D3403" s="734">
        <v>138.67469945984294</v>
      </c>
      <c r="E3403" s="733"/>
    </row>
    <row r="3404" spans="2:5">
      <c r="B3404" s="121">
        <v>303</v>
      </c>
      <c r="C3404" s="121">
        <v>10</v>
      </c>
      <c r="D3404" s="734">
        <v>143.48243587009782</v>
      </c>
      <c r="E3404" s="733"/>
    </row>
    <row r="3405" spans="2:5">
      <c r="B3405" s="121">
        <v>303</v>
      </c>
      <c r="C3405" s="121">
        <v>11</v>
      </c>
      <c r="D3405" s="734">
        <v>145.9831026787158</v>
      </c>
      <c r="E3405" s="733"/>
    </row>
    <row r="3406" spans="2:5">
      <c r="B3406" s="121">
        <v>303</v>
      </c>
      <c r="C3406" s="121">
        <v>12</v>
      </c>
      <c r="D3406" s="734">
        <v>137.88030486776626</v>
      </c>
      <c r="E3406" s="733"/>
    </row>
    <row r="3407" spans="2:5">
      <c r="B3407" s="121">
        <v>303</v>
      </c>
      <c r="C3407" s="121">
        <v>13</v>
      </c>
      <c r="D3407" s="734">
        <v>139.48622807669133</v>
      </c>
      <c r="E3407" s="733"/>
    </row>
    <row r="3408" spans="2:5">
      <c r="B3408" s="121">
        <v>303</v>
      </c>
      <c r="C3408" s="121">
        <v>14</v>
      </c>
      <c r="D3408" s="734">
        <v>143.7864709311431</v>
      </c>
      <c r="E3408" s="733"/>
    </row>
    <row r="3409" spans="2:5">
      <c r="B3409" s="121">
        <v>303</v>
      </c>
      <c r="C3409" s="121">
        <v>15</v>
      </c>
      <c r="D3409" s="734">
        <v>138.55405382216395</v>
      </c>
      <c r="E3409" s="733"/>
    </row>
    <row r="3410" spans="2:5">
      <c r="B3410" s="121">
        <v>303</v>
      </c>
      <c r="C3410" s="121">
        <v>16</v>
      </c>
      <c r="D3410" s="734">
        <v>139.04905759629958</v>
      </c>
      <c r="E3410" s="733"/>
    </row>
    <row r="3411" spans="2:5">
      <c r="B3411" s="121">
        <v>303</v>
      </c>
      <c r="C3411" s="121">
        <v>17</v>
      </c>
      <c r="D3411" s="734">
        <v>136.35981797699287</v>
      </c>
      <c r="E3411" s="733"/>
    </row>
    <row r="3412" spans="2:5">
      <c r="B3412" s="121">
        <v>303</v>
      </c>
      <c r="C3412" s="121">
        <v>18</v>
      </c>
      <c r="D3412" s="734">
        <v>134.28949598962177</v>
      </c>
      <c r="E3412" s="733"/>
    </row>
    <row r="3413" spans="2:5">
      <c r="B3413" s="121">
        <v>303</v>
      </c>
      <c r="C3413" s="121">
        <v>19</v>
      </c>
      <c r="D3413" s="734">
        <v>136.94161788612021</v>
      </c>
      <c r="E3413" s="733"/>
    </row>
    <row r="3414" spans="2:5">
      <c r="B3414" s="121">
        <v>303</v>
      </c>
      <c r="C3414" s="121">
        <v>20</v>
      </c>
      <c r="D3414" s="734">
        <v>145.99940858801554</v>
      </c>
      <c r="E3414" s="733"/>
    </row>
    <row r="3415" spans="2:5">
      <c r="B3415" s="121">
        <v>303</v>
      </c>
      <c r="C3415" s="121">
        <v>21</v>
      </c>
      <c r="D3415" s="734">
        <v>140.96428998471436</v>
      </c>
      <c r="E3415" s="733"/>
    </row>
    <row r="3416" spans="2:5">
      <c r="B3416" s="121">
        <v>303</v>
      </c>
      <c r="C3416" s="121">
        <v>22</v>
      </c>
      <c r="D3416" s="734">
        <v>136.99953836388667</v>
      </c>
      <c r="E3416" s="733"/>
    </row>
    <row r="3417" spans="2:5">
      <c r="B3417" s="121">
        <v>303</v>
      </c>
      <c r="C3417" s="121">
        <v>23</v>
      </c>
      <c r="D3417" s="734">
        <v>145.34905077698795</v>
      </c>
      <c r="E3417" s="733"/>
    </row>
    <row r="3418" spans="2:5">
      <c r="B3418" s="121">
        <v>303</v>
      </c>
      <c r="C3418" s="121">
        <v>24</v>
      </c>
      <c r="D3418" s="734">
        <v>139.28293627746996</v>
      </c>
      <c r="E3418" s="733"/>
    </row>
    <row r="3419" spans="2:5">
      <c r="B3419" s="121">
        <v>303</v>
      </c>
      <c r="C3419" s="121">
        <v>25</v>
      </c>
      <c r="D3419" s="734">
        <v>144.53796741448818</v>
      </c>
      <c r="E3419" s="733"/>
    </row>
    <row r="3420" spans="2:5">
      <c r="B3420" s="121">
        <v>303</v>
      </c>
      <c r="C3420" s="121">
        <v>26</v>
      </c>
      <c r="D3420" s="734">
        <v>137.72296380661442</v>
      </c>
      <c r="E3420" s="733"/>
    </row>
    <row r="3421" spans="2:5">
      <c r="B3421" s="121">
        <v>303</v>
      </c>
      <c r="C3421" s="121">
        <v>27</v>
      </c>
      <c r="D3421" s="734">
        <v>136.45883526083924</v>
      </c>
      <c r="E3421" s="733"/>
    </row>
    <row r="3422" spans="2:5">
      <c r="B3422" s="121">
        <v>303</v>
      </c>
      <c r="C3422" s="121">
        <v>28</v>
      </c>
      <c r="D3422" s="734">
        <v>134.91814205420303</v>
      </c>
      <c r="E3422" s="733"/>
    </row>
    <row r="3423" spans="2:5">
      <c r="B3423" s="121">
        <v>304</v>
      </c>
      <c r="C3423" s="121">
        <v>1</v>
      </c>
      <c r="D3423" s="734">
        <v>5</v>
      </c>
      <c r="E3423" s="733"/>
    </row>
    <row r="3424" spans="2:5">
      <c r="B3424" s="121">
        <v>305</v>
      </c>
      <c r="C3424" s="121">
        <v>1</v>
      </c>
      <c r="D3424" s="734">
        <v>5</v>
      </c>
      <c r="E3424" s="733"/>
    </row>
    <row r="3425" spans="2:5">
      <c r="B3425" s="121">
        <v>305</v>
      </c>
      <c r="C3425" s="121">
        <v>2</v>
      </c>
      <c r="D3425" s="734">
        <v>99.972041432477553</v>
      </c>
      <c r="E3425" s="733"/>
    </row>
    <row r="3426" spans="2:5">
      <c r="B3426" s="121">
        <v>305</v>
      </c>
      <c r="C3426" s="121">
        <v>3</v>
      </c>
      <c r="D3426" s="734">
        <v>122.71660457926176</v>
      </c>
      <c r="E3426" s="733"/>
    </row>
    <row r="3427" spans="2:5">
      <c r="B3427" s="121">
        <v>305</v>
      </c>
      <c r="C3427" s="121">
        <v>4</v>
      </c>
      <c r="D3427" s="734">
        <v>138.61268306602665</v>
      </c>
      <c r="E3427" s="733"/>
    </row>
    <row r="3428" spans="2:5">
      <c r="B3428" s="121">
        <v>306</v>
      </c>
      <c r="C3428" s="121">
        <v>1</v>
      </c>
      <c r="D3428" s="734">
        <v>5</v>
      </c>
      <c r="E3428" s="733"/>
    </row>
    <row r="3429" spans="2:5">
      <c r="B3429" s="121">
        <v>306</v>
      </c>
      <c r="C3429" s="121">
        <v>2</v>
      </c>
      <c r="D3429" s="734">
        <v>100.77446435832076</v>
      </c>
      <c r="E3429" s="733"/>
    </row>
    <row r="3430" spans="2:5">
      <c r="B3430" s="121">
        <v>306</v>
      </c>
      <c r="C3430" s="121">
        <v>3</v>
      </c>
      <c r="D3430" s="734">
        <v>122.47538051619397</v>
      </c>
      <c r="E3430" s="733"/>
    </row>
    <row r="3431" spans="2:5">
      <c r="B3431" s="121">
        <v>307</v>
      </c>
      <c r="C3431" s="121">
        <v>1</v>
      </c>
      <c r="D3431" s="734">
        <v>5</v>
      </c>
      <c r="E3431" s="733"/>
    </row>
    <row r="3432" spans="2:5">
      <c r="B3432" s="121">
        <v>307</v>
      </c>
      <c r="C3432" s="121">
        <v>2</v>
      </c>
      <c r="D3432" s="734">
        <v>101.74171277780077</v>
      </c>
      <c r="E3432" s="733"/>
    </row>
    <row r="3433" spans="2:5">
      <c r="B3433" s="121">
        <v>307</v>
      </c>
      <c r="C3433" s="121">
        <v>3</v>
      </c>
      <c r="D3433" s="734">
        <v>123.89836450848334</v>
      </c>
      <c r="E3433" s="733"/>
    </row>
    <row r="3434" spans="2:5">
      <c r="B3434" s="121">
        <v>307</v>
      </c>
      <c r="C3434" s="121">
        <v>4</v>
      </c>
      <c r="D3434" s="734">
        <v>139.69968772061472</v>
      </c>
      <c r="E3434" s="733"/>
    </row>
    <row r="3435" spans="2:5">
      <c r="B3435" s="121">
        <v>307</v>
      </c>
      <c r="C3435" s="121">
        <v>5</v>
      </c>
      <c r="D3435" s="734">
        <v>139.67579227791651</v>
      </c>
      <c r="E3435" s="733"/>
    </row>
    <row r="3436" spans="2:5">
      <c r="B3436" s="121">
        <v>307</v>
      </c>
      <c r="C3436" s="121">
        <v>6</v>
      </c>
      <c r="D3436" s="734">
        <v>138.73239923967648</v>
      </c>
      <c r="E3436" s="733"/>
    </row>
    <row r="3437" spans="2:5">
      <c r="B3437" s="121">
        <v>307</v>
      </c>
      <c r="C3437" s="121">
        <v>7</v>
      </c>
      <c r="D3437" s="734">
        <v>142.42576726918995</v>
      </c>
      <c r="E3437" s="733"/>
    </row>
    <row r="3438" spans="2:5">
      <c r="B3438" s="121">
        <v>307</v>
      </c>
      <c r="C3438" s="121">
        <v>8</v>
      </c>
      <c r="D3438" s="734">
        <v>138.21794826927956</v>
      </c>
      <c r="E3438" s="733"/>
    </row>
    <row r="3439" spans="2:5">
      <c r="B3439" s="121">
        <v>307</v>
      </c>
      <c r="C3439" s="121">
        <v>9</v>
      </c>
      <c r="D3439" s="734">
        <v>141.59641645087257</v>
      </c>
      <c r="E3439" s="733"/>
    </row>
    <row r="3440" spans="2:5">
      <c r="B3440" s="121">
        <v>308</v>
      </c>
      <c r="C3440" s="121">
        <v>1</v>
      </c>
      <c r="D3440" s="734">
        <v>5</v>
      </c>
      <c r="E3440" s="733"/>
    </row>
    <row r="3441" spans="2:5">
      <c r="B3441" s="121">
        <v>308</v>
      </c>
      <c r="C3441" s="121">
        <v>2</v>
      </c>
      <c r="D3441" s="734">
        <v>103.05988601448655</v>
      </c>
      <c r="E3441" s="733"/>
    </row>
    <row r="3442" spans="2:5">
      <c r="B3442" s="121">
        <v>308</v>
      </c>
      <c r="C3442" s="121">
        <v>3</v>
      </c>
      <c r="D3442" s="734">
        <v>118.49166694106287</v>
      </c>
      <c r="E3442" s="733"/>
    </row>
    <row r="3443" spans="2:5">
      <c r="B3443" s="121">
        <v>308</v>
      </c>
      <c r="C3443" s="121">
        <v>4</v>
      </c>
      <c r="D3443" s="734">
        <v>144.26054262149154</v>
      </c>
      <c r="E3443" s="733"/>
    </row>
    <row r="3444" spans="2:5">
      <c r="B3444" s="121">
        <v>308</v>
      </c>
      <c r="C3444" s="121">
        <v>5</v>
      </c>
      <c r="D3444" s="734">
        <v>140.20847821198882</v>
      </c>
      <c r="E3444" s="733"/>
    </row>
    <row r="3445" spans="2:5">
      <c r="B3445" s="121">
        <v>308</v>
      </c>
      <c r="C3445" s="121">
        <v>6</v>
      </c>
      <c r="D3445" s="734">
        <v>136.6055567293497</v>
      </c>
      <c r="E3445" s="733"/>
    </row>
    <row r="3446" spans="2:5">
      <c r="B3446" s="121">
        <v>308</v>
      </c>
      <c r="C3446" s="121">
        <v>7</v>
      </c>
      <c r="D3446" s="734">
        <v>137.89649415967043</v>
      </c>
      <c r="E3446" s="733"/>
    </row>
    <row r="3447" spans="2:5">
      <c r="B3447" s="121">
        <v>308</v>
      </c>
      <c r="C3447" s="121">
        <v>8</v>
      </c>
      <c r="D3447" s="734">
        <v>140.56604623303346</v>
      </c>
      <c r="E3447" s="733"/>
    </row>
    <row r="3448" spans="2:5">
      <c r="B3448" s="121">
        <v>308</v>
      </c>
      <c r="C3448" s="121">
        <v>9</v>
      </c>
      <c r="D3448" s="734">
        <v>140.55760292712051</v>
      </c>
      <c r="E3448" s="733"/>
    </row>
    <row r="3449" spans="2:5">
      <c r="B3449" s="121">
        <v>308</v>
      </c>
      <c r="C3449" s="121">
        <v>10</v>
      </c>
      <c r="D3449" s="734">
        <v>134.04135039872656</v>
      </c>
      <c r="E3449" s="733"/>
    </row>
    <row r="3450" spans="2:5">
      <c r="B3450" s="121">
        <v>308</v>
      </c>
      <c r="C3450" s="121">
        <v>11</v>
      </c>
      <c r="D3450" s="734">
        <v>140.04041327481048</v>
      </c>
      <c r="E3450" s="733"/>
    </row>
    <row r="3451" spans="2:5">
      <c r="B3451" s="121">
        <v>308</v>
      </c>
      <c r="C3451" s="121">
        <v>12</v>
      </c>
      <c r="D3451" s="734">
        <v>145.8989071147632</v>
      </c>
      <c r="E3451" s="733"/>
    </row>
    <row r="3452" spans="2:5">
      <c r="B3452" s="121">
        <v>308</v>
      </c>
      <c r="C3452" s="121">
        <v>13</v>
      </c>
      <c r="D3452" s="734">
        <v>136.97708033692092</v>
      </c>
      <c r="E3452" s="733"/>
    </row>
    <row r="3453" spans="2:5">
      <c r="B3453" s="121">
        <v>308</v>
      </c>
      <c r="C3453" s="121">
        <v>14</v>
      </c>
      <c r="D3453" s="734">
        <v>145.50641521097731</v>
      </c>
      <c r="E3453" s="733"/>
    </row>
    <row r="3454" spans="2:5">
      <c r="B3454" s="121">
        <v>308</v>
      </c>
      <c r="C3454" s="121">
        <v>15</v>
      </c>
      <c r="D3454" s="734">
        <v>135.75043990387226</v>
      </c>
      <c r="E3454" s="733"/>
    </row>
    <row r="3455" spans="2:5">
      <c r="B3455" s="121">
        <v>308</v>
      </c>
      <c r="C3455" s="121">
        <v>16</v>
      </c>
      <c r="D3455" s="734">
        <v>143.98365418431672</v>
      </c>
      <c r="E3455" s="733"/>
    </row>
    <row r="3456" spans="2:5">
      <c r="B3456" s="121">
        <v>308</v>
      </c>
      <c r="C3456" s="121">
        <v>17</v>
      </c>
      <c r="D3456" s="734">
        <v>136.71380207045939</v>
      </c>
      <c r="E3456" s="733"/>
    </row>
    <row r="3457" spans="2:5">
      <c r="B3457" s="121">
        <v>309</v>
      </c>
      <c r="C3457" s="121">
        <v>1</v>
      </c>
      <c r="D3457" s="734">
        <v>5</v>
      </c>
      <c r="E3457" s="733"/>
    </row>
    <row r="3458" spans="2:5">
      <c r="B3458" s="121">
        <v>310</v>
      </c>
      <c r="C3458" s="121">
        <v>1</v>
      </c>
      <c r="D3458" s="734">
        <v>5</v>
      </c>
      <c r="E3458" s="733"/>
    </row>
    <row r="3459" spans="2:5">
      <c r="B3459" s="121">
        <v>311</v>
      </c>
      <c r="C3459" s="121">
        <v>1</v>
      </c>
      <c r="D3459" s="734">
        <v>5</v>
      </c>
      <c r="E3459" s="733"/>
    </row>
    <row r="3460" spans="2:5">
      <c r="B3460" s="121">
        <v>312</v>
      </c>
      <c r="C3460" s="121">
        <v>1</v>
      </c>
      <c r="D3460" s="734">
        <v>5</v>
      </c>
      <c r="E3460" s="733"/>
    </row>
    <row r="3461" spans="2:5">
      <c r="B3461" s="121">
        <v>312</v>
      </c>
      <c r="C3461" s="121">
        <v>2</v>
      </c>
      <c r="D3461" s="734">
        <v>99.638263731809062</v>
      </c>
      <c r="E3461" s="733"/>
    </row>
    <row r="3462" spans="2:5">
      <c r="B3462" s="121">
        <v>312</v>
      </c>
      <c r="C3462" s="121">
        <v>3</v>
      </c>
      <c r="D3462" s="734">
        <v>120.0071952262908</v>
      </c>
      <c r="E3462" s="733"/>
    </row>
    <row r="3463" spans="2:5">
      <c r="B3463" s="121">
        <v>312</v>
      </c>
      <c r="C3463" s="121">
        <v>4</v>
      </c>
      <c r="D3463" s="734">
        <v>134.4417674823286</v>
      </c>
      <c r="E3463" s="733"/>
    </row>
    <row r="3464" spans="2:5">
      <c r="B3464" s="121">
        <v>312</v>
      </c>
      <c r="C3464" s="121">
        <v>5</v>
      </c>
      <c r="D3464" s="734">
        <v>134.35326111968175</v>
      </c>
      <c r="E3464" s="733"/>
    </row>
    <row r="3465" spans="2:5">
      <c r="B3465" s="121">
        <v>312</v>
      </c>
      <c r="C3465" s="121">
        <v>6</v>
      </c>
      <c r="D3465" s="734">
        <v>141.00067662279253</v>
      </c>
      <c r="E3465" s="733"/>
    </row>
    <row r="3466" spans="2:5">
      <c r="B3466" s="121">
        <v>312</v>
      </c>
      <c r="C3466" s="121">
        <v>7</v>
      </c>
      <c r="D3466" s="734">
        <v>142.31920473783453</v>
      </c>
      <c r="E3466" s="733"/>
    </row>
    <row r="3467" spans="2:5">
      <c r="B3467" s="121">
        <v>312</v>
      </c>
      <c r="C3467" s="121">
        <v>8</v>
      </c>
      <c r="D3467" s="734">
        <v>142.71949295359587</v>
      </c>
      <c r="E3467" s="733"/>
    </row>
    <row r="3468" spans="2:5">
      <c r="B3468" s="121">
        <v>312</v>
      </c>
      <c r="C3468" s="121">
        <v>9</v>
      </c>
      <c r="D3468" s="734">
        <v>143.44935487238166</v>
      </c>
      <c r="E3468" s="733"/>
    </row>
    <row r="3469" spans="2:5">
      <c r="B3469" s="121">
        <v>312</v>
      </c>
      <c r="C3469" s="121">
        <v>10</v>
      </c>
      <c r="D3469" s="734">
        <v>143.34775061078068</v>
      </c>
      <c r="E3469" s="733"/>
    </row>
    <row r="3470" spans="2:5">
      <c r="B3470" s="121">
        <v>312</v>
      </c>
      <c r="C3470" s="121">
        <v>11</v>
      </c>
      <c r="D3470" s="734">
        <v>146.28565787713319</v>
      </c>
      <c r="E3470" s="733"/>
    </row>
    <row r="3471" spans="2:5">
      <c r="B3471" s="121">
        <v>312</v>
      </c>
      <c r="C3471" s="121">
        <v>12</v>
      </c>
      <c r="D3471" s="734">
        <v>138.41839293854818</v>
      </c>
      <c r="E3471" s="733"/>
    </row>
    <row r="3472" spans="2:5">
      <c r="B3472" s="121">
        <v>312</v>
      </c>
      <c r="C3472" s="121">
        <v>13</v>
      </c>
      <c r="D3472" s="734">
        <v>139.6975695989909</v>
      </c>
      <c r="E3472" s="733"/>
    </row>
    <row r="3473" spans="2:5">
      <c r="B3473" s="121">
        <v>312</v>
      </c>
      <c r="C3473" s="121">
        <v>14</v>
      </c>
      <c r="D3473" s="734">
        <v>135.83134127625928</v>
      </c>
      <c r="E3473" s="733"/>
    </row>
    <row r="3474" spans="2:5">
      <c r="B3474" s="121">
        <v>312</v>
      </c>
      <c r="C3474" s="121">
        <v>15</v>
      </c>
      <c r="D3474" s="734">
        <v>145.41551056851443</v>
      </c>
      <c r="E3474" s="733"/>
    </row>
    <row r="3475" spans="2:5">
      <c r="B3475" s="121">
        <v>312</v>
      </c>
      <c r="C3475" s="121">
        <v>16</v>
      </c>
      <c r="D3475" s="734">
        <v>134.35484944231118</v>
      </c>
      <c r="E3475" s="733"/>
    </row>
    <row r="3476" spans="2:5">
      <c r="B3476" s="121">
        <v>312</v>
      </c>
      <c r="C3476" s="121">
        <v>17</v>
      </c>
      <c r="D3476" s="734">
        <v>143.45887121347639</v>
      </c>
      <c r="E3476" s="733"/>
    </row>
    <row r="3477" spans="2:5">
      <c r="B3477" s="121">
        <v>312</v>
      </c>
      <c r="C3477" s="121">
        <v>18</v>
      </c>
      <c r="D3477" s="734">
        <v>143.73336522223408</v>
      </c>
      <c r="E3477" s="733"/>
    </row>
    <row r="3478" spans="2:5">
      <c r="B3478" s="121">
        <v>312</v>
      </c>
      <c r="C3478" s="121">
        <v>19</v>
      </c>
      <c r="D3478" s="734">
        <v>136.98342272458382</v>
      </c>
      <c r="E3478" s="733"/>
    </row>
    <row r="3479" spans="2:5">
      <c r="B3479" s="121">
        <v>312</v>
      </c>
      <c r="C3479" s="121">
        <v>20</v>
      </c>
      <c r="D3479" s="734">
        <v>146.29702198615067</v>
      </c>
      <c r="E3479" s="733"/>
    </row>
    <row r="3480" spans="2:5">
      <c r="B3480" s="121">
        <v>312</v>
      </c>
      <c r="C3480" s="121">
        <v>21</v>
      </c>
      <c r="D3480" s="734">
        <v>134.92652983100098</v>
      </c>
      <c r="E3480" s="733"/>
    </row>
    <row r="3481" spans="2:5">
      <c r="B3481" s="121">
        <v>312</v>
      </c>
      <c r="C3481" s="121">
        <v>22</v>
      </c>
      <c r="D3481" s="734">
        <v>147.24412029896138</v>
      </c>
      <c r="E3481" s="733"/>
    </row>
    <row r="3482" spans="2:5">
      <c r="B3482" s="121">
        <v>312</v>
      </c>
      <c r="C3482" s="121">
        <v>23</v>
      </c>
      <c r="D3482" s="734">
        <v>146.64747510649343</v>
      </c>
      <c r="E3482" s="733"/>
    </row>
    <row r="3483" spans="2:5">
      <c r="B3483" s="121">
        <v>312</v>
      </c>
      <c r="C3483" s="121">
        <v>24</v>
      </c>
      <c r="D3483" s="734">
        <v>142.78824223315885</v>
      </c>
      <c r="E3483" s="733"/>
    </row>
    <row r="3484" spans="2:5">
      <c r="B3484" s="121">
        <v>312</v>
      </c>
      <c r="C3484" s="121">
        <v>25</v>
      </c>
      <c r="D3484" s="734">
        <v>136.77865027384107</v>
      </c>
      <c r="E3484" s="733"/>
    </row>
    <row r="3485" spans="2:5">
      <c r="B3485" s="121">
        <v>312</v>
      </c>
      <c r="C3485" s="121">
        <v>26</v>
      </c>
      <c r="D3485" s="734">
        <v>144.72179342985726</v>
      </c>
      <c r="E3485" s="733"/>
    </row>
    <row r="3486" spans="2:5">
      <c r="B3486" s="121">
        <v>312</v>
      </c>
      <c r="C3486" s="121">
        <v>27</v>
      </c>
      <c r="D3486" s="734">
        <v>145.83560082448048</v>
      </c>
      <c r="E3486" s="733"/>
    </row>
    <row r="3487" spans="2:5">
      <c r="B3487" s="121">
        <v>312</v>
      </c>
      <c r="C3487" s="121">
        <v>28</v>
      </c>
      <c r="D3487" s="734">
        <v>144.04336979297099</v>
      </c>
      <c r="E3487" s="733"/>
    </row>
    <row r="3488" spans="2:5">
      <c r="B3488" s="121">
        <v>312</v>
      </c>
      <c r="C3488" s="121">
        <v>29</v>
      </c>
      <c r="D3488" s="734">
        <v>137.77234367360867</v>
      </c>
      <c r="E3488" s="733"/>
    </row>
    <row r="3489" spans="2:5">
      <c r="B3489" s="121">
        <v>312</v>
      </c>
      <c r="C3489" s="121">
        <v>30</v>
      </c>
      <c r="D3489" s="734">
        <v>143.71587184645193</v>
      </c>
      <c r="E3489" s="733"/>
    </row>
    <row r="3490" spans="2:5">
      <c r="B3490" s="121">
        <v>312</v>
      </c>
      <c r="C3490" s="121">
        <v>31</v>
      </c>
      <c r="D3490" s="734">
        <v>136.73037966778827</v>
      </c>
      <c r="E3490" s="733"/>
    </row>
    <row r="3491" spans="2:5">
      <c r="B3491" s="121">
        <v>312</v>
      </c>
      <c r="C3491" s="121">
        <v>32</v>
      </c>
      <c r="D3491" s="734">
        <v>138.76470682970196</v>
      </c>
      <c r="E3491" s="733"/>
    </row>
    <row r="3492" spans="2:5">
      <c r="B3492" s="121">
        <v>312</v>
      </c>
      <c r="C3492" s="121">
        <v>33</v>
      </c>
      <c r="D3492" s="734">
        <v>137.61613487094505</v>
      </c>
      <c r="E3492" s="733"/>
    </row>
    <row r="3493" spans="2:5">
      <c r="B3493" s="121">
        <v>312</v>
      </c>
      <c r="C3493" s="121">
        <v>34</v>
      </c>
      <c r="D3493" s="734">
        <v>136.42387289943522</v>
      </c>
      <c r="E3493" s="733"/>
    </row>
    <row r="3494" spans="2:5">
      <c r="B3494" s="121">
        <v>312</v>
      </c>
      <c r="C3494" s="121">
        <v>35</v>
      </c>
      <c r="D3494" s="734">
        <v>135.91053458682376</v>
      </c>
      <c r="E3494" s="733"/>
    </row>
    <row r="3495" spans="2:5">
      <c r="B3495" s="121">
        <v>312</v>
      </c>
      <c r="C3495" s="121">
        <v>36</v>
      </c>
      <c r="D3495" s="734">
        <v>146.70157234869774</v>
      </c>
      <c r="E3495" s="733"/>
    </row>
    <row r="3496" spans="2:5">
      <c r="B3496" s="121">
        <v>313</v>
      </c>
      <c r="C3496" s="121">
        <v>1</v>
      </c>
      <c r="D3496" s="734">
        <v>5</v>
      </c>
      <c r="E3496" s="733"/>
    </row>
    <row r="3497" spans="2:5">
      <c r="B3497" s="121">
        <v>314</v>
      </c>
      <c r="C3497" s="121">
        <v>1</v>
      </c>
      <c r="D3497" s="734">
        <v>5</v>
      </c>
      <c r="E3497" s="733"/>
    </row>
    <row r="3498" spans="2:5">
      <c r="B3498" s="121">
        <v>314</v>
      </c>
      <c r="C3498" s="121">
        <v>2</v>
      </c>
      <c r="D3498" s="734">
        <v>95.333682180631087</v>
      </c>
      <c r="E3498" s="733"/>
    </row>
    <row r="3499" spans="2:5">
      <c r="B3499" s="121">
        <v>314</v>
      </c>
      <c r="C3499" s="121">
        <v>3</v>
      </c>
      <c r="D3499" s="734">
        <v>120.80599643818989</v>
      </c>
      <c r="E3499" s="733"/>
    </row>
    <row r="3500" spans="2:5">
      <c r="B3500" s="121">
        <v>314</v>
      </c>
      <c r="C3500" s="121">
        <v>4</v>
      </c>
      <c r="D3500" s="734">
        <v>145.00474799129518</v>
      </c>
      <c r="E3500" s="733"/>
    </row>
    <row r="3501" spans="2:5">
      <c r="B3501" s="121">
        <v>314</v>
      </c>
      <c r="C3501" s="121">
        <v>5</v>
      </c>
      <c r="D3501" s="734">
        <v>139.85029934679775</v>
      </c>
      <c r="E3501" s="733"/>
    </row>
    <row r="3502" spans="2:5">
      <c r="B3502" s="121">
        <v>314</v>
      </c>
      <c r="C3502" s="121">
        <v>6</v>
      </c>
      <c r="D3502" s="734">
        <v>143.78257560550156</v>
      </c>
      <c r="E3502" s="733"/>
    </row>
    <row r="3503" spans="2:5">
      <c r="B3503" s="121">
        <v>314</v>
      </c>
      <c r="C3503" s="121">
        <v>7</v>
      </c>
      <c r="D3503" s="734">
        <v>139.28250526632385</v>
      </c>
      <c r="E3503" s="733"/>
    </row>
    <row r="3504" spans="2:5">
      <c r="B3504" s="121">
        <v>314</v>
      </c>
      <c r="C3504" s="121">
        <v>8</v>
      </c>
      <c r="D3504" s="734">
        <v>134.72195133224406</v>
      </c>
      <c r="E3504" s="733"/>
    </row>
    <row r="3505" spans="2:5">
      <c r="B3505" s="121">
        <v>314</v>
      </c>
      <c r="C3505" s="121">
        <v>9</v>
      </c>
      <c r="D3505" s="734">
        <v>144.06509051595373</v>
      </c>
      <c r="E3505" s="733"/>
    </row>
    <row r="3506" spans="2:5">
      <c r="B3506" s="121">
        <v>314</v>
      </c>
      <c r="C3506" s="121">
        <v>10</v>
      </c>
      <c r="D3506" s="734">
        <v>139.48578228227359</v>
      </c>
      <c r="E3506" s="733"/>
    </row>
    <row r="3507" spans="2:5">
      <c r="B3507" s="121">
        <v>314</v>
      </c>
      <c r="C3507" s="121">
        <v>11</v>
      </c>
      <c r="D3507" s="734">
        <v>140.22497861274834</v>
      </c>
      <c r="E3507" s="733"/>
    </row>
    <row r="3508" spans="2:5">
      <c r="B3508" s="121">
        <v>314</v>
      </c>
      <c r="C3508" s="121">
        <v>12</v>
      </c>
      <c r="D3508" s="734">
        <v>134.90505914090755</v>
      </c>
      <c r="E3508" s="733"/>
    </row>
    <row r="3509" spans="2:5">
      <c r="B3509" s="121">
        <v>315</v>
      </c>
      <c r="C3509" s="121">
        <v>1</v>
      </c>
      <c r="D3509" s="734">
        <v>5</v>
      </c>
      <c r="E3509" s="733"/>
    </row>
    <row r="3510" spans="2:5">
      <c r="B3510" s="121">
        <v>315</v>
      </c>
      <c r="C3510" s="121">
        <v>2</v>
      </c>
      <c r="D3510" s="734">
        <v>95.066838591217333</v>
      </c>
      <c r="E3510" s="733"/>
    </row>
    <row r="3511" spans="2:5">
      <c r="B3511" s="121">
        <v>316</v>
      </c>
      <c r="C3511" s="121">
        <v>1</v>
      </c>
      <c r="D3511" s="734">
        <v>5</v>
      </c>
      <c r="E3511" s="733"/>
    </row>
    <row r="3512" spans="2:5">
      <c r="B3512" s="121">
        <v>316</v>
      </c>
      <c r="C3512" s="121">
        <v>2</v>
      </c>
      <c r="D3512" s="734">
        <v>95.799103689290575</v>
      </c>
      <c r="E3512" s="733"/>
    </row>
    <row r="3513" spans="2:5">
      <c r="B3513" s="121">
        <v>316</v>
      </c>
      <c r="C3513" s="121">
        <v>3</v>
      </c>
      <c r="D3513" s="734">
        <v>122.85579648468101</v>
      </c>
      <c r="E3513" s="733"/>
    </row>
    <row r="3514" spans="2:5">
      <c r="B3514" s="121">
        <v>316</v>
      </c>
      <c r="C3514" s="121">
        <v>4</v>
      </c>
      <c r="D3514" s="734">
        <v>133.67031753351094</v>
      </c>
      <c r="E3514" s="733"/>
    </row>
    <row r="3515" spans="2:5">
      <c r="B3515" s="121">
        <v>316</v>
      </c>
      <c r="C3515" s="121">
        <v>5</v>
      </c>
      <c r="D3515" s="734">
        <v>133.9128974838857</v>
      </c>
      <c r="E3515" s="733"/>
    </row>
    <row r="3516" spans="2:5">
      <c r="B3516" s="121">
        <v>316</v>
      </c>
      <c r="C3516" s="121">
        <v>6</v>
      </c>
      <c r="D3516" s="734">
        <v>138.30370173846666</v>
      </c>
      <c r="E3516" s="733"/>
    </row>
    <row r="3517" spans="2:5">
      <c r="B3517" s="121">
        <v>316</v>
      </c>
      <c r="C3517" s="121">
        <v>7</v>
      </c>
      <c r="D3517" s="734">
        <v>139.68602748410697</v>
      </c>
      <c r="E3517" s="733"/>
    </row>
    <row r="3518" spans="2:5">
      <c r="B3518" s="121">
        <v>316</v>
      </c>
      <c r="C3518" s="121">
        <v>8</v>
      </c>
      <c r="D3518" s="734">
        <v>143.90650698885216</v>
      </c>
      <c r="E3518" s="733"/>
    </row>
    <row r="3519" spans="2:5">
      <c r="B3519" s="121">
        <v>316</v>
      </c>
      <c r="C3519" s="121">
        <v>9</v>
      </c>
      <c r="D3519" s="734">
        <v>146.04260750256344</v>
      </c>
      <c r="E3519" s="733"/>
    </row>
    <row r="3520" spans="2:5">
      <c r="B3520" s="121">
        <v>316</v>
      </c>
      <c r="C3520" s="121">
        <v>10</v>
      </c>
      <c r="D3520" s="734">
        <v>142.49762040711516</v>
      </c>
      <c r="E3520" s="733"/>
    </row>
    <row r="3521" spans="2:5">
      <c r="B3521" s="121">
        <v>316</v>
      </c>
      <c r="C3521" s="121">
        <v>11</v>
      </c>
      <c r="D3521" s="734">
        <v>138.84995849241218</v>
      </c>
      <c r="E3521" s="733"/>
    </row>
    <row r="3522" spans="2:5">
      <c r="B3522" s="121">
        <v>316</v>
      </c>
      <c r="C3522" s="121">
        <v>12</v>
      </c>
      <c r="D3522" s="734">
        <v>135.86439424881206</v>
      </c>
      <c r="E3522" s="733"/>
    </row>
    <row r="3523" spans="2:5">
      <c r="B3523" s="121">
        <v>316</v>
      </c>
      <c r="C3523" s="121">
        <v>13</v>
      </c>
      <c r="D3523" s="734">
        <v>141.94832612452583</v>
      </c>
      <c r="E3523" s="733"/>
    </row>
    <row r="3524" spans="2:5">
      <c r="B3524" s="121">
        <v>316</v>
      </c>
      <c r="C3524" s="121">
        <v>14</v>
      </c>
      <c r="D3524" s="734">
        <v>136.82244266008863</v>
      </c>
      <c r="E3524" s="733"/>
    </row>
    <row r="3525" spans="2:5">
      <c r="B3525" s="121">
        <v>316</v>
      </c>
      <c r="C3525" s="121">
        <v>15</v>
      </c>
      <c r="D3525" s="734">
        <v>141.04996005472918</v>
      </c>
      <c r="E3525" s="733"/>
    </row>
    <row r="3526" spans="2:5">
      <c r="B3526" s="121">
        <v>316</v>
      </c>
      <c r="C3526" s="121">
        <v>16</v>
      </c>
      <c r="D3526" s="734">
        <v>137.94320905102953</v>
      </c>
      <c r="E3526" s="733"/>
    </row>
    <row r="3527" spans="2:5">
      <c r="B3527" s="121">
        <v>316</v>
      </c>
      <c r="C3527" s="121">
        <v>17</v>
      </c>
      <c r="D3527" s="734">
        <v>143.73633803008588</v>
      </c>
      <c r="E3527" s="733"/>
    </row>
    <row r="3528" spans="2:5">
      <c r="B3528" s="121">
        <v>316</v>
      </c>
      <c r="C3528" s="121">
        <v>18</v>
      </c>
      <c r="D3528" s="734">
        <v>138.82400049650602</v>
      </c>
      <c r="E3528" s="733"/>
    </row>
    <row r="3529" spans="2:5">
      <c r="B3529" s="121">
        <v>316</v>
      </c>
      <c r="C3529" s="121">
        <v>19</v>
      </c>
      <c r="D3529" s="734">
        <v>143.05012173438834</v>
      </c>
      <c r="E3529" s="733"/>
    </row>
    <row r="3530" spans="2:5">
      <c r="B3530" s="121">
        <v>316</v>
      </c>
      <c r="C3530" s="121">
        <v>20</v>
      </c>
      <c r="D3530" s="734">
        <v>134.71235795175747</v>
      </c>
      <c r="E3530" s="733"/>
    </row>
    <row r="3531" spans="2:5">
      <c r="B3531" s="121">
        <v>316</v>
      </c>
      <c r="C3531" s="121">
        <v>21</v>
      </c>
      <c r="D3531" s="734">
        <v>146.97530097249756</v>
      </c>
      <c r="E3531" s="733"/>
    </row>
    <row r="3532" spans="2:5">
      <c r="B3532" s="121">
        <v>316</v>
      </c>
      <c r="C3532" s="121">
        <v>22</v>
      </c>
      <c r="D3532" s="734">
        <v>135.33030410968345</v>
      </c>
      <c r="E3532" s="733"/>
    </row>
    <row r="3533" spans="2:5">
      <c r="B3533" s="121">
        <v>316</v>
      </c>
      <c r="C3533" s="121">
        <v>23</v>
      </c>
      <c r="D3533" s="734">
        <v>136.72995643493272</v>
      </c>
      <c r="E3533" s="733"/>
    </row>
    <row r="3534" spans="2:5">
      <c r="B3534" s="121">
        <v>316</v>
      </c>
      <c r="C3534" s="121">
        <v>24</v>
      </c>
      <c r="D3534" s="734">
        <v>141.46057459900214</v>
      </c>
      <c r="E3534" s="733"/>
    </row>
    <row r="3535" spans="2:5">
      <c r="B3535" s="121">
        <v>316</v>
      </c>
      <c r="C3535" s="121">
        <v>25</v>
      </c>
      <c r="D3535" s="734">
        <v>136.58932075378718</v>
      </c>
      <c r="E3535" s="733"/>
    </row>
    <row r="3536" spans="2:5">
      <c r="B3536" s="121">
        <v>316</v>
      </c>
      <c r="C3536" s="121">
        <v>26</v>
      </c>
      <c r="D3536" s="734">
        <v>134.01893862971616</v>
      </c>
      <c r="E3536" s="733"/>
    </row>
    <row r="3537" spans="2:5">
      <c r="B3537" s="121">
        <v>316</v>
      </c>
      <c r="C3537" s="121">
        <v>27</v>
      </c>
      <c r="D3537" s="734">
        <v>142.8949448824803</v>
      </c>
      <c r="E3537" s="733"/>
    </row>
    <row r="3538" spans="2:5">
      <c r="B3538" s="121">
        <v>316</v>
      </c>
      <c r="C3538" s="121">
        <v>28</v>
      </c>
      <c r="D3538" s="734">
        <v>137.38267370995661</v>
      </c>
      <c r="E3538" s="733"/>
    </row>
    <row r="3539" spans="2:5">
      <c r="B3539" s="121">
        <v>316</v>
      </c>
      <c r="C3539" s="121">
        <v>29</v>
      </c>
      <c r="D3539" s="734">
        <v>141.19786286877559</v>
      </c>
      <c r="E3539" s="733"/>
    </row>
    <row r="3540" spans="2:5">
      <c r="B3540" s="121">
        <v>316</v>
      </c>
      <c r="C3540" s="121">
        <v>30</v>
      </c>
      <c r="D3540" s="734">
        <v>137.85041220682305</v>
      </c>
      <c r="E3540" s="733"/>
    </row>
    <row r="3541" spans="2:5">
      <c r="B3541" s="121">
        <v>317</v>
      </c>
      <c r="C3541" s="121">
        <v>1</v>
      </c>
      <c r="D3541" s="734">
        <v>5</v>
      </c>
      <c r="E3541" s="733"/>
    </row>
    <row r="3542" spans="2:5">
      <c r="B3542" s="121">
        <v>317</v>
      </c>
      <c r="C3542" s="121">
        <v>2</v>
      </c>
      <c r="D3542" s="734">
        <v>100.32063138083754</v>
      </c>
      <c r="E3542" s="733"/>
    </row>
    <row r="3543" spans="2:5">
      <c r="B3543" s="121">
        <v>317</v>
      </c>
      <c r="C3543" s="121">
        <v>3</v>
      </c>
      <c r="D3543" s="734">
        <v>114.32692776922993</v>
      </c>
      <c r="E3543" s="733"/>
    </row>
    <row r="3544" spans="2:5">
      <c r="B3544" s="121">
        <v>317</v>
      </c>
      <c r="C3544" s="121">
        <v>4</v>
      </c>
      <c r="D3544" s="734">
        <v>135.70226770514284</v>
      </c>
      <c r="E3544" s="733"/>
    </row>
    <row r="3545" spans="2:5">
      <c r="B3545" s="121">
        <v>317</v>
      </c>
      <c r="C3545" s="121">
        <v>5</v>
      </c>
      <c r="D3545" s="734">
        <v>140.75583088795051</v>
      </c>
      <c r="E3545" s="733"/>
    </row>
    <row r="3546" spans="2:5">
      <c r="B3546" s="121">
        <v>317</v>
      </c>
      <c r="C3546" s="121">
        <v>6</v>
      </c>
      <c r="D3546" s="734">
        <v>143.25599896934426</v>
      </c>
      <c r="E3546" s="733"/>
    </row>
    <row r="3547" spans="2:5">
      <c r="B3547" s="121">
        <v>317</v>
      </c>
      <c r="C3547" s="121">
        <v>7</v>
      </c>
      <c r="D3547" s="734">
        <v>134.52797210943811</v>
      </c>
      <c r="E3547" s="733"/>
    </row>
    <row r="3548" spans="2:5">
      <c r="B3548" s="121">
        <v>317</v>
      </c>
      <c r="C3548" s="121">
        <v>8</v>
      </c>
      <c r="D3548" s="734">
        <v>137.83229225701186</v>
      </c>
      <c r="E3548" s="733"/>
    </row>
    <row r="3549" spans="2:5">
      <c r="B3549" s="121">
        <v>317</v>
      </c>
      <c r="C3549" s="121">
        <v>9</v>
      </c>
      <c r="D3549" s="734">
        <v>135.49983515085268</v>
      </c>
      <c r="E3549" s="733"/>
    </row>
    <row r="3550" spans="2:5">
      <c r="B3550" s="121">
        <v>317</v>
      </c>
      <c r="C3550" s="121">
        <v>10</v>
      </c>
      <c r="D3550" s="734">
        <v>143.74111503188516</v>
      </c>
      <c r="E3550" s="733"/>
    </row>
    <row r="3551" spans="2:5">
      <c r="B3551" s="121">
        <v>317</v>
      </c>
      <c r="C3551" s="121">
        <v>11</v>
      </c>
      <c r="D3551" s="734">
        <v>134.928410753799</v>
      </c>
      <c r="E3551" s="733"/>
    </row>
    <row r="3552" spans="2:5">
      <c r="B3552" s="121">
        <v>317</v>
      </c>
      <c r="C3552" s="121">
        <v>12</v>
      </c>
      <c r="D3552" s="734">
        <v>137.35893100200869</v>
      </c>
      <c r="E3552" s="733"/>
    </row>
    <row r="3553" spans="2:5">
      <c r="B3553" s="121">
        <v>317</v>
      </c>
      <c r="C3553" s="121">
        <v>13</v>
      </c>
      <c r="D3553" s="734">
        <v>147.2505686077277</v>
      </c>
      <c r="E3553" s="733"/>
    </row>
    <row r="3554" spans="2:5">
      <c r="B3554" s="121">
        <v>317</v>
      </c>
      <c r="C3554" s="121">
        <v>14</v>
      </c>
      <c r="D3554" s="734">
        <v>146.80621543805299</v>
      </c>
      <c r="E3554" s="733"/>
    </row>
    <row r="3555" spans="2:5">
      <c r="B3555" s="121">
        <v>317</v>
      </c>
      <c r="C3555" s="121">
        <v>15</v>
      </c>
      <c r="D3555" s="734">
        <v>145.72254361207649</v>
      </c>
      <c r="E3555" s="733"/>
    </row>
    <row r="3556" spans="2:5">
      <c r="B3556" s="121">
        <v>317</v>
      </c>
      <c r="C3556" s="121">
        <v>16</v>
      </c>
      <c r="D3556" s="734">
        <v>143.01556756645888</v>
      </c>
      <c r="E3556" s="733"/>
    </row>
    <row r="3557" spans="2:5">
      <c r="B3557" s="121">
        <v>317</v>
      </c>
      <c r="C3557" s="121">
        <v>17</v>
      </c>
      <c r="D3557" s="734">
        <v>138.65697556484787</v>
      </c>
      <c r="E3557" s="733"/>
    </row>
    <row r="3558" spans="2:5">
      <c r="B3558" s="121">
        <v>317</v>
      </c>
      <c r="C3558" s="121">
        <v>18</v>
      </c>
      <c r="D3558" s="734">
        <v>142.75590856522649</v>
      </c>
      <c r="E3558" s="733"/>
    </row>
    <row r="3559" spans="2:5">
      <c r="B3559" s="121">
        <v>317</v>
      </c>
      <c r="C3559" s="121">
        <v>19</v>
      </c>
      <c r="D3559" s="734">
        <v>140.90597472637799</v>
      </c>
      <c r="E3559" s="733"/>
    </row>
    <row r="3560" spans="2:5">
      <c r="B3560" s="121">
        <v>317</v>
      </c>
      <c r="C3560" s="121">
        <v>20</v>
      </c>
      <c r="D3560" s="734">
        <v>144.2526389926918</v>
      </c>
      <c r="E3560" s="733"/>
    </row>
    <row r="3561" spans="2:5">
      <c r="B3561" s="121">
        <v>317</v>
      </c>
      <c r="C3561" s="121">
        <v>21</v>
      </c>
      <c r="D3561" s="734">
        <v>137.37047483330801</v>
      </c>
      <c r="E3561" s="733"/>
    </row>
    <row r="3562" spans="2:5">
      <c r="B3562" s="121">
        <v>317</v>
      </c>
      <c r="C3562" s="121">
        <v>22</v>
      </c>
      <c r="D3562" s="734">
        <v>140.57067000465929</v>
      </c>
      <c r="E3562" s="733"/>
    </row>
    <row r="3563" spans="2:5">
      <c r="B3563" s="121">
        <v>317</v>
      </c>
      <c r="C3563" s="121">
        <v>23</v>
      </c>
      <c r="D3563" s="734">
        <v>142.72303082037908</v>
      </c>
      <c r="E3563" s="733"/>
    </row>
    <row r="3564" spans="2:5">
      <c r="B3564" s="121">
        <v>317</v>
      </c>
      <c r="C3564" s="121">
        <v>24</v>
      </c>
      <c r="D3564" s="734">
        <v>145.64131675129025</v>
      </c>
      <c r="E3564" s="733"/>
    </row>
    <row r="3565" spans="2:5">
      <c r="B3565" s="121">
        <v>317</v>
      </c>
      <c r="C3565" s="121">
        <v>25</v>
      </c>
      <c r="D3565" s="734">
        <v>134.29993288802279</v>
      </c>
      <c r="E3565" s="733"/>
    </row>
    <row r="3566" spans="2:5">
      <c r="B3566" s="121">
        <v>317</v>
      </c>
      <c r="C3566" s="121">
        <v>26</v>
      </c>
      <c r="D3566" s="734">
        <v>139.40183566399102</v>
      </c>
      <c r="E3566" s="733"/>
    </row>
    <row r="3567" spans="2:5">
      <c r="B3567" s="121">
        <v>317</v>
      </c>
      <c r="C3567" s="121">
        <v>27</v>
      </c>
      <c r="D3567" s="734">
        <v>142.78260658845667</v>
      </c>
      <c r="E3567" s="733"/>
    </row>
    <row r="3568" spans="2:5">
      <c r="B3568" s="121">
        <v>317</v>
      </c>
      <c r="C3568" s="121">
        <v>28</v>
      </c>
      <c r="D3568" s="734">
        <v>144.04425401095554</v>
      </c>
      <c r="E3568" s="733"/>
    </row>
    <row r="3569" spans="2:5">
      <c r="B3569" s="121">
        <v>317</v>
      </c>
      <c r="C3569" s="121">
        <v>29</v>
      </c>
      <c r="D3569" s="734">
        <v>146.45936425347995</v>
      </c>
      <c r="E3569" s="733"/>
    </row>
    <row r="3570" spans="2:5">
      <c r="B3570" s="121">
        <v>317</v>
      </c>
      <c r="C3570" s="121">
        <v>30</v>
      </c>
      <c r="D3570" s="734">
        <v>143.85684153619172</v>
      </c>
      <c r="E3570" s="733"/>
    </row>
    <row r="3571" spans="2:5">
      <c r="B3571" s="121">
        <v>317</v>
      </c>
      <c r="C3571" s="121">
        <v>31</v>
      </c>
      <c r="D3571" s="734">
        <v>136.6035017543185</v>
      </c>
      <c r="E3571" s="733"/>
    </row>
    <row r="3572" spans="2:5">
      <c r="B3572" s="121">
        <v>317</v>
      </c>
      <c r="C3572" s="121">
        <v>32</v>
      </c>
      <c r="D3572" s="734">
        <v>141.38084165412906</v>
      </c>
      <c r="E3572" s="733"/>
    </row>
    <row r="3573" spans="2:5">
      <c r="B3573" s="121">
        <v>317</v>
      </c>
      <c r="C3573" s="121">
        <v>33</v>
      </c>
      <c r="D3573" s="734">
        <v>142.43222740491515</v>
      </c>
      <c r="E3573" s="733"/>
    </row>
    <row r="3574" spans="2:5">
      <c r="B3574" s="121">
        <v>317</v>
      </c>
      <c r="C3574" s="121">
        <v>34</v>
      </c>
      <c r="D3574" s="734">
        <v>139.21926996799834</v>
      </c>
      <c r="E3574" s="733"/>
    </row>
    <row r="3575" spans="2:5">
      <c r="B3575" s="121">
        <v>317</v>
      </c>
      <c r="C3575" s="121">
        <v>35</v>
      </c>
      <c r="D3575" s="734">
        <v>133.73021808110062</v>
      </c>
      <c r="E3575" s="733"/>
    </row>
    <row r="3576" spans="2:5">
      <c r="B3576" s="121">
        <v>317</v>
      </c>
      <c r="C3576" s="121">
        <v>36</v>
      </c>
      <c r="D3576" s="734">
        <v>133.75330935650538</v>
      </c>
      <c r="E3576" s="733"/>
    </row>
    <row r="3577" spans="2:5">
      <c r="B3577" s="121">
        <v>318</v>
      </c>
      <c r="C3577" s="121">
        <v>1</v>
      </c>
      <c r="D3577" s="734">
        <v>5</v>
      </c>
      <c r="E3577" s="733"/>
    </row>
    <row r="3578" spans="2:5">
      <c r="B3578" s="121">
        <v>318</v>
      </c>
      <c r="C3578" s="121">
        <v>2</v>
      </c>
      <c r="D3578" s="734">
        <v>102.46493835948031</v>
      </c>
      <c r="E3578" s="733"/>
    </row>
    <row r="3579" spans="2:5">
      <c r="B3579" s="121">
        <v>318</v>
      </c>
      <c r="C3579" s="121">
        <v>3</v>
      </c>
      <c r="D3579" s="734">
        <v>124.24469167069927</v>
      </c>
      <c r="E3579" s="733"/>
    </row>
    <row r="3580" spans="2:5">
      <c r="B3580" s="121">
        <v>318</v>
      </c>
      <c r="C3580" s="121">
        <v>4</v>
      </c>
      <c r="D3580" s="734">
        <v>141.39422714012454</v>
      </c>
      <c r="E3580" s="733"/>
    </row>
    <row r="3581" spans="2:5">
      <c r="B3581" s="121">
        <v>318</v>
      </c>
      <c r="C3581" s="121">
        <v>5</v>
      </c>
      <c r="D3581" s="734">
        <v>142.05543528883666</v>
      </c>
      <c r="E3581" s="733"/>
    </row>
    <row r="3582" spans="2:5">
      <c r="B3582" s="121">
        <v>318</v>
      </c>
      <c r="C3582" s="121">
        <v>6</v>
      </c>
      <c r="D3582" s="734">
        <v>142.77763323996578</v>
      </c>
      <c r="E3582" s="733"/>
    </row>
    <row r="3583" spans="2:5">
      <c r="B3583" s="121">
        <v>318</v>
      </c>
      <c r="C3583" s="121">
        <v>7</v>
      </c>
      <c r="D3583" s="734">
        <v>138.24351650839631</v>
      </c>
      <c r="E3583" s="733"/>
    </row>
    <row r="3584" spans="2:5">
      <c r="B3584" s="121">
        <v>318</v>
      </c>
      <c r="C3584" s="121">
        <v>8</v>
      </c>
      <c r="D3584" s="734">
        <v>140.84649180538335</v>
      </c>
      <c r="E3584" s="733"/>
    </row>
    <row r="3585" spans="2:5">
      <c r="B3585" s="121">
        <v>318</v>
      </c>
      <c r="C3585" s="121">
        <v>9</v>
      </c>
      <c r="D3585" s="734">
        <v>140.46197661411827</v>
      </c>
      <c r="E3585" s="733"/>
    </row>
    <row r="3586" spans="2:5">
      <c r="B3586" s="121">
        <v>318</v>
      </c>
      <c r="C3586" s="121">
        <v>10</v>
      </c>
      <c r="D3586" s="734">
        <v>141.55471608051178</v>
      </c>
      <c r="E3586" s="733"/>
    </row>
    <row r="3587" spans="2:5">
      <c r="B3587" s="121">
        <v>318</v>
      </c>
      <c r="C3587" s="121">
        <v>11</v>
      </c>
      <c r="D3587" s="734">
        <v>137.99899863748379</v>
      </c>
      <c r="E3587" s="733"/>
    </row>
    <row r="3588" spans="2:5">
      <c r="B3588" s="121">
        <v>318</v>
      </c>
      <c r="C3588" s="121">
        <v>12</v>
      </c>
      <c r="D3588" s="734">
        <v>143.5909300560416</v>
      </c>
      <c r="E3588" s="733"/>
    </row>
    <row r="3589" spans="2:5">
      <c r="B3589" s="121">
        <v>318</v>
      </c>
      <c r="C3589" s="121">
        <v>13</v>
      </c>
      <c r="D3589" s="734">
        <v>136.34673166926706</v>
      </c>
      <c r="E3589" s="733"/>
    </row>
    <row r="3590" spans="2:5">
      <c r="B3590" s="121">
        <v>318</v>
      </c>
      <c r="C3590" s="121">
        <v>14</v>
      </c>
      <c r="D3590" s="734">
        <v>141.98199178539392</v>
      </c>
      <c r="E3590" s="733"/>
    </row>
    <row r="3591" spans="2:5">
      <c r="B3591" s="121">
        <v>318</v>
      </c>
      <c r="C3591" s="121">
        <v>15</v>
      </c>
      <c r="D3591" s="734">
        <v>140.98897490930199</v>
      </c>
      <c r="E3591" s="733"/>
    </row>
    <row r="3592" spans="2:5">
      <c r="B3592" s="121">
        <v>318</v>
      </c>
      <c r="C3592" s="121">
        <v>16</v>
      </c>
      <c r="D3592" s="734">
        <v>143.89536925463133</v>
      </c>
      <c r="E3592" s="733"/>
    </row>
    <row r="3593" spans="2:5">
      <c r="B3593" s="121">
        <v>318</v>
      </c>
      <c r="C3593" s="121">
        <v>17</v>
      </c>
      <c r="D3593" s="734">
        <v>135.66921318441126</v>
      </c>
      <c r="E3593" s="733"/>
    </row>
    <row r="3594" spans="2:5">
      <c r="B3594" s="121">
        <v>318</v>
      </c>
      <c r="C3594" s="121">
        <v>18</v>
      </c>
      <c r="D3594" s="734">
        <v>144.70737732409057</v>
      </c>
      <c r="E3594" s="733"/>
    </row>
    <row r="3595" spans="2:5">
      <c r="B3595" s="121">
        <v>318</v>
      </c>
      <c r="C3595" s="121">
        <v>19</v>
      </c>
      <c r="D3595" s="734">
        <v>143.33281983999663</v>
      </c>
      <c r="E3595" s="733"/>
    </row>
    <row r="3596" spans="2:5">
      <c r="B3596" s="121">
        <v>318</v>
      </c>
      <c r="C3596" s="121">
        <v>20</v>
      </c>
      <c r="D3596" s="734">
        <v>145.76830332447048</v>
      </c>
      <c r="E3596" s="733"/>
    </row>
    <row r="3597" spans="2:5">
      <c r="B3597" s="121">
        <v>318</v>
      </c>
      <c r="C3597" s="121">
        <v>21</v>
      </c>
      <c r="D3597" s="734">
        <v>142.85001132489961</v>
      </c>
      <c r="E3597" s="733"/>
    </row>
    <row r="3598" spans="2:5">
      <c r="B3598" s="121">
        <v>318</v>
      </c>
      <c r="C3598" s="121">
        <v>22</v>
      </c>
      <c r="D3598" s="734">
        <v>138.91209248285739</v>
      </c>
      <c r="E3598" s="733"/>
    </row>
    <row r="3599" spans="2:5">
      <c r="B3599" s="121">
        <v>318</v>
      </c>
      <c r="C3599" s="121">
        <v>23</v>
      </c>
      <c r="D3599" s="734">
        <v>141.36868883855888</v>
      </c>
      <c r="E3599" s="733"/>
    </row>
    <row r="3600" spans="2:5">
      <c r="B3600" s="121">
        <v>318</v>
      </c>
      <c r="C3600" s="121">
        <v>24</v>
      </c>
      <c r="D3600" s="734">
        <v>142.74629104031715</v>
      </c>
      <c r="E3600" s="733"/>
    </row>
    <row r="3601" spans="2:5">
      <c r="B3601" s="121">
        <v>318</v>
      </c>
      <c r="C3601" s="121">
        <v>25</v>
      </c>
      <c r="D3601" s="734">
        <v>140.05273455336732</v>
      </c>
      <c r="E3601" s="733"/>
    </row>
    <row r="3602" spans="2:5">
      <c r="B3602" s="121">
        <v>318</v>
      </c>
      <c r="C3602" s="121">
        <v>26</v>
      </c>
      <c r="D3602" s="734">
        <v>137.06332126260349</v>
      </c>
      <c r="E3602" s="733"/>
    </row>
    <row r="3603" spans="2:5">
      <c r="B3603" s="121">
        <v>318</v>
      </c>
      <c r="C3603" s="121">
        <v>27</v>
      </c>
      <c r="D3603" s="734">
        <v>143.3787351696138</v>
      </c>
      <c r="E3603" s="733"/>
    </row>
    <row r="3604" spans="2:5">
      <c r="B3604" s="121">
        <v>318</v>
      </c>
      <c r="C3604" s="121">
        <v>28</v>
      </c>
      <c r="D3604" s="734">
        <v>134.69638857239221</v>
      </c>
      <c r="E3604" s="733"/>
    </row>
    <row r="3605" spans="2:5">
      <c r="B3605" s="121">
        <v>318</v>
      </c>
      <c r="C3605" s="121">
        <v>29</v>
      </c>
      <c r="D3605" s="734">
        <v>134.9867692136726</v>
      </c>
      <c r="E3605" s="733"/>
    </row>
    <row r="3606" spans="2:5">
      <c r="B3606" s="121">
        <v>318</v>
      </c>
      <c r="C3606" s="121">
        <v>30</v>
      </c>
      <c r="D3606" s="734">
        <v>137.46794830849291</v>
      </c>
      <c r="E3606" s="733"/>
    </row>
    <row r="3607" spans="2:5">
      <c r="B3607" s="121">
        <v>318</v>
      </c>
      <c r="C3607" s="121">
        <v>31</v>
      </c>
      <c r="D3607" s="734">
        <v>147.2508549504837</v>
      </c>
      <c r="E3607" s="733"/>
    </row>
    <row r="3608" spans="2:5">
      <c r="B3608" s="121">
        <v>318</v>
      </c>
      <c r="C3608" s="121">
        <v>32</v>
      </c>
      <c r="D3608" s="734">
        <v>138.06272054340766</v>
      </c>
      <c r="E3608" s="733"/>
    </row>
    <row r="3609" spans="2:5">
      <c r="B3609" s="121">
        <v>318</v>
      </c>
      <c r="C3609" s="121">
        <v>33</v>
      </c>
      <c r="D3609" s="734">
        <v>136.03795024779376</v>
      </c>
      <c r="E3609" s="733"/>
    </row>
    <row r="3610" spans="2:5">
      <c r="B3610" s="121">
        <v>318</v>
      </c>
      <c r="C3610" s="121">
        <v>34</v>
      </c>
      <c r="D3610" s="734">
        <v>146.7164475529913</v>
      </c>
      <c r="E3610" s="733"/>
    </row>
    <row r="3611" spans="2:5">
      <c r="B3611" s="121">
        <v>318</v>
      </c>
      <c r="C3611" s="121">
        <v>35</v>
      </c>
      <c r="D3611" s="734">
        <v>135.57080672590658</v>
      </c>
      <c r="E3611" s="733"/>
    </row>
    <row r="3612" spans="2:5">
      <c r="B3612" s="121">
        <v>318</v>
      </c>
      <c r="C3612" s="121">
        <v>36</v>
      </c>
      <c r="D3612" s="734">
        <v>143.04045814209397</v>
      </c>
      <c r="E3612" s="733"/>
    </row>
    <row r="3613" spans="2:5">
      <c r="B3613" s="121">
        <v>319</v>
      </c>
      <c r="C3613" s="121">
        <v>1</v>
      </c>
      <c r="D3613" s="734">
        <v>5</v>
      </c>
      <c r="E3613" s="733"/>
    </row>
    <row r="3614" spans="2:5">
      <c r="B3614" s="121">
        <v>319</v>
      </c>
      <c r="C3614" s="121">
        <v>2</v>
      </c>
      <c r="D3614" s="734">
        <v>94.914448821983697</v>
      </c>
      <c r="E3614" s="733"/>
    </row>
    <row r="3615" spans="2:5">
      <c r="B3615" s="121">
        <v>319</v>
      </c>
      <c r="C3615" s="121">
        <v>3</v>
      </c>
      <c r="D3615" s="734">
        <v>115.65646844285959</v>
      </c>
      <c r="E3615" s="733"/>
    </row>
    <row r="3616" spans="2:5">
      <c r="B3616" s="121">
        <v>319</v>
      </c>
      <c r="C3616" s="121">
        <v>4</v>
      </c>
      <c r="D3616" s="734">
        <v>137.35447052214661</v>
      </c>
      <c r="E3616" s="733"/>
    </row>
    <row r="3617" spans="2:5">
      <c r="B3617" s="121">
        <v>319</v>
      </c>
      <c r="C3617" s="121">
        <v>5</v>
      </c>
      <c r="D3617" s="734">
        <v>135.65197958735649</v>
      </c>
      <c r="E3617" s="733"/>
    </row>
    <row r="3618" spans="2:5">
      <c r="B3618" s="121">
        <v>319</v>
      </c>
      <c r="C3618" s="121">
        <v>6</v>
      </c>
      <c r="D3618" s="734">
        <v>136.70309042341526</v>
      </c>
      <c r="E3618" s="733"/>
    </row>
    <row r="3619" spans="2:5">
      <c r="B3619" s="121">
        <v>319</v>
      </c>
      <c r="C3619" s="121">
        <v>7</v>
      </c>
      <c r="D3619" s="734">
        <v>134.05363734983672</v>
      </c>
      <c r="E3619" s="733"/>
    </row>
    <row r="3620" spans="2:5">
      <c r="B3620" s="121">
        <v>319</v>
      </c>
      <c r="C3620" s="121">
        <v>8</v>
      </c>
      <c r="D3620" s="734">
        <v>142.97868177799123</v>
      </c>
      <c r="E3620" s="733"/>
    </row>
    <row r="3621" spans="2:5">
      <c r="B3621" s="121">
        <v>319</v>
      </c>
      <c r="C3621" s="121">
        <v>9</v>
      </c>
      <c r="D3621" s="734">
        <v>140.46715411493147</v>
      </c>
      <c r="E3621" s="733"/>
    </row>
    <row r="3622" spans="2:5">
      <c r="B3622" s="121">
        <v>319</v>
      </c>
      <c r="C3622" s="121">
        <v>10</v>
      </c>
      <c r="D3622" s="734">
        <v>144.27261534902237</v>
      </c>
      <c r="E3622" s="733"/>
    </row>
    <row r="3623" spans="2:5">
      <c r="B3623" s="121">
        <v>319</v>
      </c>
      <c r="C3623" s="121">
        <v>11</v>
      </c>
      <c r="D3623" s="734">
        <v>135.50361556619609</v>
      </c>
      <c r="E3623" s="733"/>
    </row>
    <row r="3624" spans="2:5">
      <c r="B3624" s="121">
        <v>319</v>
      </c>
      <c r="C3624" s="121">
        <v>12</v>
      </c>
      <c r="D3624" s="734">
        <v>141.02842087875416</v>
      </c>
      <c r="E3624" s="733"/>
    </row>
    <row r="3625" spans="2:5">
      <c r="B3625" s="121">
        <v>319</v>
      </c>
      <c r="C3625" s="121">
        <v>13</v>
      </c>
      <c r="D3625" s="734">
        <v>141.24527163731915</v>
      </c>
      <c r="E3625" s="733"/>
    </row>
    <row r="3626" spans="2:5">
      <c r="B3626" s="121">
        <v>319</v>
      </c>
      <c r="C3626" s="121">
        <v>14</v>
      </c>
      <c r="D3626" s="734">
        <v>144.96094626789557</v>
      </c>
      <c r="E3626" s="733"/>
    </row>
    <row r="3627" spans="2:5">
      <c r="B3627" s="121">
        <v>319</v>
      </c>
      <c r="C3627" s="121">
        <v>15</v>
      </c>
      <c r="D3627" s="734">
        <v>139.80738580782381</v>
      </c>
      <c r="E3627" s="733"/>
    </row>
    <row r="3628" spans="2:5">
      <c r="B3628" s="121">
        <v>319</v>
      </c>
      <c r="C3628" s="121">
        <v>16</v>
      </c>
      <c r="D3628" s="734">
        <v>138.00512255950747</v>
      </c>
      <c r="E3628" s="733"/>
    </row>
    <row r="3629" spans="2:5">
      <c r="B3629" s="121">
        <v>319</v>
      </c>
      <c r="C3629" s="121">
        <v>17</v>
      </c>
      <c r="D3629" s="734">
        <v>143.35809228121067</v>
      </c>
      <c r="E3629" s="733"/>
    </row>
    <row r="3630" spans="2:5">
      <c r="B3630" s="121">
        <v>319</v>
      </c>
      <c r="C3630" s="121">
        <v>18</v>
      </c>
      <c r="D3630" s="734">
        <v>144.72055059996768</v>
      </c>
      <c r="E3630" s="733"/>
    </row>
    <row r="3631" spans="2:5">
      <c r="B3631" s="121">
        <v>319</v>
      </c>
      <c r="C3631" s="121">
        <v>19</v>
      </c>
      <c r="D3631" s="734">
        <v>146.65047915352147</v>
      </c>
      <c r="E3631" s="733"/>
    </row>
    <row r="3632" spans="2:5">
      <c r="B3632" s="121">
        <v>319</v>
      </c>
      <c r="C3632" s="121">
        <v>20</v>
      </c>
      <c r="D3632" s="734">
        <v>137.79895537405162</v>
      </c>
      <c r="E3632" s="733"/>
    </row>
    <row r="3633" spans="2:5">
      <c r="B3633" s="121">
        <v>319</v>
      </c>
      <c r="C3633" s="121">
        <v>21</v>
      </c>
      <c r="D3633" s="734">
        <v>137.99105325173747</v>
      </c>
      <c r="E3633" s="733"/>
    </row>
    <row r="3634" spans="2:5">
      <c r="B3634" s="121">
        <v>319</v>
      </c>
      <c r="C3634" s="121">
        <v>22</v>
      </c>
      <c r="D3634" s="734">
        <v>146.81613216947412</v>
      </c>
      <c r="E3634" s="733"/>
    </row>
    <row r="3635" spans="2:5">
      <c r="B3635" s="121">
        <v>319</v>
      </c>
      <c r="C3635" s="121">
        <v>23</v>
      </c>
      <c r="D3635" s="734">
        <v>146.5242780030317</v>
      </c>
      <c r="E3635" s="733"/>
    </row>
    <row r="3636" spans="2:5">
      <c r="B3636" s="121">
        <v>319</v>
      </c>
      <c r="C3636" s="121">
        <v>24</v>
      </c>
      <c r="D3636" s="734">
        <v>140.83365249292569</v>
      </c>
      <c r="E3636" s="733"/>
    </row>
    <row r="3637" spans="2:5">
      <c r="B3637" s="121">
        <v>319</v>
      </c>
      <c r="C3637" s="121">
        <v>25</v>
      </c>
      <c r="D3637" s="734">
        <v>143.98478623558009</v>
      </c>
      <c r="E3637" s="733"/>
    </row>
    <row r="3638" spans="2:5">
      <c r="B3638" s="121">
        <v>319</v>
      </c>
      <c r="C3638" s="121">
        <v>26</v>
      </c>
      <c r="D3638" s="734">
        <v>137.26300166712301</v>
      </c>
      <c r="E3638" s="733"/>
    </row>
    <row r="3639" spans="2:5">
      <c r="B3639" s="121">
        <v>319</v>
      </c>
      <c r="C3639" s="121">
        <v>27</v>
      </c>
      <c r="D3639" s="734">
        <v>142.81590879173604</v>
      </c>
      <c r="E3639" s="733"/>
    </row>
    <row r="3640" spans="2:5">
      <c r="B3640" s="121">
        <v>319</v>
      </c>
      <c r="C3640" s="121">
        <v>28</v>
      </c>
      <c r="D3640" s="734">
        <v>146.74667797255492</v>
      </c>
      <c r="E3640" s="733"/>
    </row>
    <row r="3641" spans="2:5">
      <c r="B3641" s="121">
        <v>319</v>
      </c>
      <c r="C3641" s="121">
        <v>29</v>
      </c>
      <c r="D3641" s="734">
        <v>135.21080898194268</v>
      </c>
      <c r="E3641" s="733"/>
    </row>
    <row r="3642" spans="2:5">
      <c r="B3642" s="121">
        <v>319</v>
      </c>
      <c r="C3642" s="121">
        <v>30</v>
      </c>
      <c r="D3642" s="734">
        <v>137.71685792295094</v>
      </c>
      <c r="E3642" s="733"/>
    </row>
    <row r="3643" spans="2:5">
      <c r="B3643" s="121">
        <v>319</v>
      </c>
      <c r="C3643" s="121">
        <v>31</v>
      </c>
      <c r="D3643" s="734">
        <v>141.78876779739724</v>
      </c>
      <c r="E3643" s="733"/>
    </row>
    <row r="3644" spans="2:5">
      <c r="B3644" s="121">
        <v>319</v>
      </c>
      <c r="C3644" s="121">
        <v>32</v>
      </c>
      <c r="D3644" s="734">
        <v>141.05860615609345</v>
      </c>
      <c r="E3644" s="733"/>
    </row>
    <row r="3645" spans="2:5">
      <c r="B3645" s="121">
        <v>319</v>
      </c>
      <c r="C3645" s="121">
        <v>33</v>
      </c>
      <c r="D3645" s="734">
        <v>139.31625752774391</v>
      </c>
      <c r="E3645" s="733"/>
    </row>
    <row r="3646" spans="2:5">
      <c r="B3646" s="121">
        <v>319</v>
      </c>
      <c r="C3646" s="121">
        <v>34</v>
      </c>
      <c r="D3646" s="734">
        <v>146.61743404256552</v>
      </c>
      <c r="E3646" s="733"/>
    </row>
    <row r="3647" spans="2:5">
      <c r="B3647" s="121">
        <v>319</v>
      </c>
      <c r="C3647" s="121">
        <v>35</v>
      </c>
      <c r="D3647" s="734">
        <v>144.94892379243709</v>
      </c>
      <c r="E3647" s="733"/>
    </row>
    <row r="3648" spans="2:5">
      <c r="B3648" s="121">
        <v>319</v>
      </c>
      <c r="C3648" s="121">
        <v>36</v>
      </c>
      <c r="D3648" s="734">
        <v>143.07370358392828</v>
      </c>
      <c r="E3648" s="733"/>
    </row>
    <row r="3649" spans="2:5">
      <c r="B3649" s="121">
        <v>320</v>
      </c>
      <c r="C3649" s="121">
        <v>1</v>
      </c>
      <c r="D3649" s="734">
        <v>5</v>
      </c>
      <c r="E3649" s="733"/>
    </row>
    <row r="3650" spans="2:5">
      <c r="B3650" s="121">
        <v>321</v>
      </c>
      <c r="C3650" s="121">
        <v>1</v>
      </c>
      <c r="D3650" s="734">
        <v>5</v>
      </c>
      <c r="E3650" s="733"/>
    </row>
    <row r="3651" spans="2:5">
      <c r="B3651" s="121">
        <v>321</v>
      </c>
      <c r="C3651" s="121">
        <v>2</v>
      </c>
      <c r="D3651" s="734">
        <v>99.009881719944275</v>
      </c>
      <c r="E3651" s="733"/>
    </row>
    <row r="3652" spans="2:5">
      <c r="B3652" s="121">
        <v>321</v>
      </c>
      <c r="C3652" s="121">
        <v>3</v>
      </c>
      <c r="D3652" s="734">
        <v>120.91675472851735</v>
      </c>
      <c r="E3652" s="733"/>
    </row>
    <row r="3653" spans="2:5">
      <c r="B3653" s="121">
        <v>321</v>
      </c>
      <c r="C3653" s="121">
        <v>4</v>
      </c>
      <c r="D3653" s="734">
        <v>146.45290073433557</v>
      </c>
      <c r="E3653" s="733"/>
    </row>
    <row r="3654" spans="2:5">
      <c r="B3654" s="121">
        <v>321</v>
      </c>
      <c r="C3654" s="121">
        <v>5</v>
      </c>
      <c r="D3654" s="734">
        <v>137.73462032917965</v>
      </c>
      <c r="E3654" s="733"/>
    </row>
    <row r="3655" spans="2:5">
      <c r="B3655" s="121">
        <v>321</v>
      </c>
      <c r="C3655" s="121">
        <v>6</v>
      </c>
      <c r="D3655" s="734">
        <v>143.52386953104312</v>
      </c>
      <c r="E3655" s="733"/>
    </row>
    <row r="3656" spans="2:5">
      <c r="B3656" s="121">
        <v>321</v>
      </c>
      <c r="C3656" s="121">
        <v>7</v>
      </c>
      <c r="D3656" s="734">
        <v>136.44618182675956</v>
      </c>
      <c r="E3656" s="733"/>
    </row>
    <row r="3657" spans="2:5">
      <c r="B3657" s="121">
        <v>321</v>
      </c>
      <c r="C3657" s="121">
        <v>8</v>
      </c>
      <c r="D3657" s="734">
        <v>138.54271890799293</v>
      </c>
      <c r="E3657" s="733"/>
    </row>
    <row r="3658" spans="2:5">
      <c r="B3658" s="121">
        <v>321</v>
      </c>
      <c r="C3658" s="121">
        <v>9</v>
      </c>
      <c r="D3658" s="734">
        <v>140.77594442425448</v>
      </c>
      <c r="E3658" s="733"/>
    </row>
    <row r="3659" spans="2:5">
      <c r="B3659" s="121">
        <v>321</v>
      </c>
      <c r="C3659" s="121">
        <v>10</v>
      </c>
      <c r="D3659" s="734">
        <v>137.36852389372942</v>
      </c>
      <c r="E3659" s="733"/>
    </row>
    <row r="3660" spans="2:5">
      <c r="B3660" s="121">
        <v>321</v>
      </c>
      <c r="C3660" s="121">
        <v>11</v>
      </c>
      <c r="D3660" s="734">
        <v>145.42128621902768</v>
      </c>
      <c r="E3660" s="733"/>
    </row>
    <row r="3661" spans="2:5">
      <c r="B3661" s="121">
        <v>322</v>
      </c>
      <c r="C3661" s="121">
        <v>1</v>
      </c>
      <c r="D3661" s="734">
        <v>5</v>
      </c>
      <c r="E3661" s="733"/>
    </row>
    <row r="3662" spans="2:5">
      <c r="B3662" s="121">
        <v>323</v>
      </c>
      <c r="C3662" s="121">
        <v>1</v>
      </c>
      <c r="D3662" s="734">
        <v>5</v>
      </c>
      <c r="E3662" s="733"/>
    </row>
    <row r="3663" spans="2:5">
      <c r="B3663" s="121">
        <v>323</v>
      </c>
      <c r="C3663" s="121">
        <v>2</v>
      </c>
      <c r="D3663" s="734">
        <v>100.02497636729926</v>
      </c>
      <c r="E3663" s="733"/>
    </row>
    <row r="3664" spans="2:5">
      <c r="B3664" s="121">
        <v>323</v>
      </c>
      <c r="C3664" s="121">
        <v>3</v>
      </c>
      <c r="D3664" s="734">
        <v>118.74898337164241</v>
      </c>
      <c r="E3664" s="733"/>
    </row>
    <row r="3665" spans="2:5">
      <c r="B3665" s="121">
        <v>323</v>
      </c>
      <c r="C3665" s="121">
        <v>4</v>
      </c>
      <c r="D3665" s="734">
        <v>143.75047961394537</v>
      </c>
      <c r="E3665" s="733"/>
    </row>
    <row r="3666" spans="2:5">
      <c r="B3666" s="121">
        <v>323</v>
      </c>
      <c r="C3666" s="121">
        <v>5</v>
      </c>
      <c r="D3666" s="734">
        <v>134.76320173018826</v>
      </c>
      <c r="E3666" s="733"/>
    </row>
    <row r="3667" spans="2:5">
      <c r="B3667" s="121">
        <v>323</v>
      </c>
      <c r="C3667" s="121">
        <v>6</v>
      </c>
      <c r="D3667" s="734">
        <v>138.19857247096672</v>
      </c>
      <c r="E3667" s="733"/>
    </row>
    <row r="3668" spans="2:5">
      <c r="B3668" s="121">
        <v>323</v>
      </c>
      <c r="C3668" s="121">
        <v>7</v>
      </c>
      <c r="D3668" s="734">
        <v>143.32604102140871</v>
      </c>
      <c r="E3668" s="733"/>
    </row>
    <row r="3669" spans="2:5">
      <c r="B3669" s="121">
        <v>323</v>
      </c>
      <c r="C3669" s="121">
        <v>8</v>
      </c>
      <c r="D3669" s="734">
        <v>145.07572311322755</v>
      </c>
      <c r="E3669" s="733"/>
    </row>
    <row r="3670" spans="2:5">
      <c r="B3670" s="121">
        <v>323</v>
      </c>
      <c r="C3670" s="121">
        <v>9</v>
      </c>
      <c r="D3670" s="734">
        <v>135.43958628413904</v>
      </c>
      <c r="E3670" s="733"/>
    </row>
    <row r="3671" spans="2:5">
      <c r="B3671" s="121">
        <v>323</v>
      </c>
      <c r="C3671" s="121">
        <v>10</v>
      </c>
      <c r="D3671" s="734">
        <v>142.68593365325486</v>
      </c>
      <c r="E3671" s="733"/>
    </row>
    <row r="3672" spans="2:5">
      <c r="B3672" s="121">
        <v>324</v>
      </c>
      <c r="C3672" s="121">
        <v>1</v>
      </c>
      <c r="D3672" s="734">
        <v>5</v>
      </c>
      <c r="E3672" s="733"/>
    </row>
    <row r="3673" spans="2:5">
      <c r="B3673" s="121">
        <v>325</v>
      </c>
      <c r="C3673" s="121">
        <v>1</v>
      </c>
      <c r="D3673" s="734">
        <v>5</v>
      </c>
      <c r="E3673" s="733"/>
    </row>
    <row r="3674" spans="2:5">
      <c r="B3674" s="121">
        <v>325</v>
      </c>
      <c r="C3674" s="121">
        <v>2</v>
      </c>
      <c r="D3674" s="734">
        <v>97.772635894285074</v>
      </c>
      <c r="E3674" s="733"/>
    </row>
    <row r="3675" spans="2:5">
      <c r="B3675" s="121">
        <v>325</v>
      </c>
      <c r="C3675" s="121">
        <v>3</v>
      </c>
      <c r="D3675" s="734">
        <v>119.6205818625938</v>
      </c>
      <c r="E3675" s="733"/>
    </row>
    <row r="3676" spans="2:5">
      <c r="B3676" s="121">
        <v>325</v>
      </c>
      <c r="C3676" s="121">
        <v>4</v>
      </c>
      <c r="D3676" s="734">
        <v>134.04194329729822</v>
      </c>
      <c r="E3676" s="733"/>
    </row>
    <row r="3677" spans="2:5">
      <c r="B3677" s="121">
        <v>325</v>
      </c>
      <c r="C3677" s="121">
        <v>5</v>
      </c>
      <c r="D3677" s="734">
        <v>143.45929809699712</v>
      </c>
      <c r="E3677" s="733"/>
    </row>
    <row r="3678" spans="2:5">
      <c r="B3678" s="121">
        <v>325</v>
      </c>
      <c r="C3678" s="121">
        <v>6</v>
      </c>
      <c r="D3678" s="734">
        <v>143.77090894199617</v>
      </c>
      <c r="E3678" s="733"/>
    </row>
    <row r="3679" spans="2:5">
      <c r="B3679" s="121">
        <v>326</v>
      </c>
      <c r="C3679" s="121">
        <v>1</v>
      </c>
      <c r="D3679" s="734">
        <v>5</v>
      </c>
      <c r="E3679" s="733"/>
    </row>
    <row r="3680" spans="2:5">
      <c r="B3680" s="121">
        <v>326</v>
      </c>
      <c r="C3680" s="121">
        <v>2</v>
      </c>
      <c r="D3680" s="734">
        <v>97.515019405489056</v>
      </c>
      <c r="E3680" s="733"/>
    </row>
    <row r="3681" spans="2:5">
      <c r="B3681" s="121">
        <v>326</v>
      </c>
      <c r="C3681" s="121">
        <v>3</v>
      </c>
      <c r="D3681" s="734">
        <v>124.09103020316238</v>
      </c>
      <c r="E3681" s="733"/>
    </row>
    <row r="3682" spans="2:5">
      <c r="B3682" s="121">
        <v>326</v>
      </c>
      <c r="C3682" s="121">
        <v>4</v>
      </c>
      <c r="D3682" s="734">
        <v>137.32174791374334</v>
      </c>
      <c r="E3682" s="733"/>
    </row>
    <row r="3683" spans="2:5">
      <c r="B3683" s="121">
        <v>326</v>
      </c>
      <c r="C3683" s="121">
        <v>5</v>
      </c>
      <c r="D3683" s="734">
        <v>137.19829315698908</v>
      </c>
      <c r="E3683" s="733"/>
    </row>
    <row r="3684" spans="2:5">
      <c r="B3684" s="121">
        <v>326</v>
      </c>
      <c r="C3684" s="121">
        <v>6</v>
      </c>
      <c r="D3684" s="734">
        <v>134.5687409111909</v>
      </c>
      <c r="E3684" s="733"/>
    </row>
    <row r="3685" spans="2:5">
      <c r="B3685" s="121">
        <v>326</v>
      </c>
      <c r="C3685" s="121">
        <v>7</v>
      </c>
      <c r="D3685" s="734">
        <v>138.98747694374276</v>
      </c>
      <c r="E3685" s="733"/>
    </row>
    <row r="3686" spans="2:5">
      <c r="B3686" s="121">
        <v>326</v>
      </c>
      <c r="C3686" s="121">
        <v>8</v>
      </c>
      <c r="D3686" s="734">
        <v>146.57475991960237</v>
      </c>
      <c r="E3686" s="733"/>
    </row>
    <row r="3687" spans="2:5">
      <c r="B3687" s="121">
        <v>326</v>
      </c>
      <c r="C3687" s="121">
        <v>9</v>
      </c>
      <c r="D3687" s="734">
        <v>141.5532714875788</v>
      </c>
      <c r="E3687" s="733"/>
    </row>
    <row r="3688" spans="2:5">
      <c r="B3688" s="121">
        <v>326</v>
      </c>
      <c r="C3688" s="121">
        <v>10</v>
      </c>
      <c r="D3688" s="734">
        <v>144.59406545713597</v>
      </c>
      <c r="E3688" s="733"/>
    </row>
    <row r="3689" spans="2:5">
      <c r="B3689" s="121">
        <v>326</v>
      </c>
      <c r="C3689" s="121">
        <v>11</v>
      </c>
      <c r="D3689" s="734">
        <v>144.71776066622175</v>
      </c>
      <c r="E3689" s="733"/>
    </row>
    <row r="3690" spans="2:5">
      <c r="B3690" s="121">
        <v>326</v>
      </c>
      <c r="C3690" s="121">
        <v>12</v>
      </c>
      <c r="D3690" s="734">
        <v>146.41467081158987</v>
      </c>
      <c r="E3690" s="733"/>
    </row>
    <row r="3691" spans="2:5">
      <c r="B3691" s="121">
        <v>326</v>
      </c>
      <c r="C3691" s="121">
        <v>13</v>
      </c>
      <c r="D3691" s="734">
        <v>146.70956228816996</v>
      </c>
      <c r="E3691" s="733"/>
    </row>
    <row r="3692" spans="2:5">
      <c r="B3692" s="121">
        <v>326</v>
      </c>
      <c r="C3692" s="121">
        <v>14</v>
      </c>
      <c r="D3692" s="734">
        <v>141.99915324448571</v>
      </c>
      <c r="E3692" s="733"/>
    </row>
    <row r="3693" spans="2:5">
      <c r="B3693" s="121">
        <v>326</v>
      </c>
      <c r="C3693" s="121">
        <v>15</v>
      </c>
      <c r="D3693" s="734">
        <v>141.94005281526074</v>
      </c>
      <c r="E3693" s="733"/>
    </row>
    <row r="3694" spans="2:5">
      <c r="B3694" s="121">
        <v>326</v>
      </c>
      <c r="C3694" s="121">
        <v>16</v>
      </c>
      <c r="D3694" s="734">
        <v>140.95351976005594</v>
      </c>
      <c r="E3694" s="733"/>
    </row>
    <row r="3695" spans="2:5">
      <c r="B3695" s="121">
        <v>326</v>
      </c>
      <c r="C3695" s="121">
        <v>17</v>
      </c>
      <c r="D3695" s="734">
        <v>146.57259356998074</v>
      </c>
      <c r="E3695" s="733"/>
    </row>
    <row r="3696" spans="2:5">
      <c r="B3696" s="121">
        <v>326</v>
      </c>
      <c r="C3696" s="121">
        <v>18</v>
      </c>
      <c r="D3696" s="734">
        <v>139.52662452929107</v>
      </c>
      <c r="E3696" s="733"/>
    </row>
    <row r="3697" spans="2:5">
      <c r="B3697" s="121">
        <v>326</v>
      </c>
      <c r="C3697" s="121">
        <v>19</v>
      </c>
      <c r="D3697" s="734">
        <v>140.59690943564595</v>
      </c>
      <c r="E3697" s="733"/>
    </row>
    <row r="3698" spans="2:5">
      <c r="B3698" s="121">
        <v>326</v>
      </c>
      <c r="C3698" s="121">
        <v>20</v>
      </c>
      <c r="D3698" s="734">
        <v>140.61558673589775</v>
      </c>
      <c r="E3698" s="733"/>
    </row>
    <row r="3699" spans="2:5">
      <c r="B3699" s="121">
        <v>326</v>
      </c>
      <c r="C3699" s="121">
        <v>21</v>
      </c>
      <c r="D3699" s="734">
        <v>137.05184009145933</v>
      </c>
      <c r="E3699" s="733"/>
    </row>
    <row r="3700" spans="2:5">
      <c r="B3700" s="121">
        <v>326</v>
      </c>
      <c r="C3700" s="121">
        <v>22</v>
      </c>
      <c r="D3700" s="734">
        <v>139.75215367943017</v>
      </c>
      <c r="E3700" s="733"/>
    </row>
    <row r="3701" spans="2:5">
      <c r="B3701" s="121">
        <v>326</v>
      </c>
      <c r="C3701" s="121">
        <v>23</v>
      </c>
      <c r="D3701" s="734">
        <v>135.36189381117649</v>
      </c>
      <c r="E3701" s="733"/>
    </row>
    <row r="3702" spans="2:5">
      <c r="B3702" s="121">
        <v>326</v>
      </c>
      <c r="C3702" s="121">
        <v>24</v>
      </c>
      <c r="D3702" s="734">
        <v>141.746272107339</v>
      </c>
      <c r="E3702" s="733"/>
    </row>
    <row r="3703" spans="2:5">
      <c r="B3703" s="121">
        <v>326</v>
      </c>
      <c r="C3703" s="121">
        <v>25</v>
      </c>
      <c r="D3703" s="734">
        <v>145.26314340643989</v>
      </c>
      <c r="E3703" s="733"/>
    </row>
    <row r="3704" spans="2:5">
      <c r="B3704" s="121">
        <v>326</v>
      </c>
      <c r="C3704" s="121">
        <v>26</v>
      </c>
      <c r="D3704" s="734">
        <v>146.72128124606539</v>
      </c>
      <c r="E3704" s="733"/>
    </row>
    <row r="3705" spans="2:5">
      <c r="B3705" s="121">
        <v>326</v>
      </c>
      <c r="C3705" s="121">
        <v>27</v>
      </c>
      <c r="D3705" s="734">
        <v>141.07883555880079</v>
      </c>
      <c r="E3705" s="733"/>
    </row>
    <row r="3706" spans="2:5">
      <c r="B3706" s="121">
        <v>326</v>
      </c>
      <c r="C3706" s="121">
        <v>28</v>
      </c>
      <c r="D3706" s="734">
        <v>136.7558190286521</v>
      </c>
      <c r="E3706" s="733"/>
    </row>
    <row r="3707" spans="2:5">
      <c r="B3707" s="121">
        <v>326</v>
      </c>
      <c r="C3707" s="121">
        <v>29</v>
      </c>
      <c r="D3707" s="734">
        <v>140.52327045116013</v>
      </c>
      <c r="E3707" s="733"/>
    </row>
    <row r="3708" spans="2:5">
      <c r="B3708" s="121">
        <v>326</v>
      </c>
      <c r="C3708" s="121">
        <v>30</v>
      </c>
      <c r="D3708" s="734">
        <v>143.33869565353027</v>
      </c>
      <c r="E3708" s="733"/>
    </row>
    <row r="3709" spans="2:5">
      <c r="B3709" s="121">
        <v>326</v>
      </c>
      <c r="C3709" s="121">
        <v>31</v>
      </c>
      <c r="D3709" s="734">
        <v>144.55600914260984</v>
      </c>
      <c r="E3709" s="733"/>
    </row>
    <row r="3710" spans="2:5">
      <c r="B3710" s="121">
        <v>326</v>
      </c>
      <c r="C3710" s="121">
        <v>32</v>
      </c>
      <c r="D3710" s="734">
        <v>138.20285883839543</v>
      </c>
      <c r="E3710" s="733"/>
    </row>
    <row r="3711" spans="2:5">
      <c r="B3711" s="121">
        <v>326</v>
      </c>
      <c r="C3711" s="121">
        <v>33</v>
      </c>
      <c r="D3711" s="734">
        <v>133.72129424587268</v>
      </c>
      <c r="E3711" s="733"/>
    </row>
    <row r="3712" spans="2:5">
      <c r="B3712" s="121">
        <v>326</v>
      </c>
      <c r="C3712" s="121">
        <v>34</v>
      </c>
      <c r="D3712" s="734">
        <v>145.64666181962548</v>
      </c>
      <c r="E3712" s="733"/>
    </row>
    <row r="3713" spans="2:5">
      <c r="B3713" s="121">
        <v>326</v>
      </c>
      <c r="C3713" s="121">
        <v>35</v>
      </c>
      <c r="D3713" s="734">
        <v>135.22494436836706</v>
      </c>
      <c r="E3713" s="733"/>
    </row>
    <row r="3714" spans="2:5">
      <c r="B3714" s="121">
        <v>326</v>
      </c>
      <c r="C3714" s="121">
        <v>36</v>
      </c>
      <c r="D3714" s="734">
        <v>145.38867791265079</v>
      </c>
      <c r="E3714" s="733"/>
    </row>
    <row r="3715" spans="2:5">
      <c r="B3715" s="121">
        <v>327</v>
      </c>
      <c r="C3715" s="121">
        <v>1</v>
      </c>
      <c r="D3715" s="734">
        <v>5</v>
      </c>
      <c r="E3715" s="733"/>
    </row>
    <row r="3716" spans="2:5">
      <c r="B3716" s="121">
        <v>328</v>
      </c>
      <c r="C3716" s="121">
        <v>1</v>
      </c>
      <c r="D3716" s="734">
        <v>5</v>
      </c>
      <c r="E3716" s="733"/>
    </row>
    <row r="3717" spans="2:5">
      <c r="B3717" s="121">
        <v>328</v>
      </c>
      <c r="C3717" s="121">
        <v>2</v>
      </c>
      <c r="D3717" s="734">
        <v>94.652082358324364</v>
      </c>
      <c r="E3717" s="733"/>
    </row>
    <row r="3718" spans="2:5">
      <c r="B3718" s="121">
        <v>328</v>
      </c>
      <c r="C3718" s="121">
        <v>3</v>
      </c>
      <c r="D3718" s="734">
        <v>118.94629338450645</v>
      </c>
      <c r="E3718" s="733"/>
    </row>
    <row r="3719" spans="2:5">
      <c r="B3719" s="121">
        <v>328</v>
      </c>
      <c r="C3719" s="121">
        <v>4</v>
      </c>
      <c r="D3719" s="734">
        <v>139.74104700891436</v>
      </c>
      <c r="E3719" s="733"/>
    </row>
    <row r="3720" spans="2:5">
      <c r="B3720" s="121">
        <v>328</v>
      </c>
      <c r="C3720" s="121">
        <v>5</v>
      </c>
      <c r="D3720" s="734">
        <v>144.02091515469402</v>
      </c>
      <c r="E3720" s="733"/>
    </row>
    <row r="3721" spans="2:5">
      <c r="B3721" s="121">
        <v>328</v>
      </c>
      <c r="C3721" s="121">
        <v>6</v>
      </c>
      <c r="D3721" s="734">
        <v>140.00502859437535</v>
      </c>
      <c r="E3721" s="733"/>
    </row>
    <row r="3722" spans="2:5">
      <c r="B3722" s="121">
        <v>328</v>
      </c>
      <c r="C3722" s="121">
        <v>7</v>
      </c>
      <c r="D3722" s="734">
        <v>134.94193457575938</v>
      </c>
      <c r="E3722" s="733"/>
    </row>
    <row r="3723" spans="2:5">
      <c r="B3723" s="121">
        <v>328</v>
      </c>
      <c r="C3723" s="121">
        <v>8</v>
      </c>
      <c r="D3723" s="734">
        <v>140.74781909605582</v>
      </c>
      <c r="E3723" s="733"/>
    </row>
    <row r="3724" spans="2:5">
      <c r="B3724" s="121">
        <v>328</v>
      </c>
      <c r="C3724" s="121">
        <v>9</v>
      </c>
      <c r="D3724" s="734">
        <v>138.31086767323072</v>
      </c>
      <c r="E3724" s="733"/>
    </row>
    <row r="3725" spans="2:5">
      <c r="B3725" s="121">
        <v>328</v>
      </c>
      <c r="C3725" s="121">
        <v>10</v>
      </c>
      <c r="D3725" s="734">
        <v>146.05256426113729</v>
      </c>
      <c r="E3725" s="733"/>
    </row>
    <row r="3726" spans="2:5">
      <c r="B3726" s="121">
        <v>328</v>
      </c>
      <c r="C3726" s="121">
        <v>11</v>
      </c>
      <c r="D3726" s="734">
        <v>136.52517249538457</v>
      </c>
      <c r="E3726" s="733"/>
    </row>
    <row r="3727" spans="2:5">
      <c r="B3727" s="121">
        <v>328</v>
      </c>
      <c r="C3727" s="121">
        <v>12</v>
      </c>
      <c r="D3727" s="734">
        <v>137.70348688846354</v>
      </c>
      <c r="E3727" s="733"/>
    </row>
    <row r="3728" spans="2:5">
      <c r="B3728" s="121">
        <v>328</v>
      </c>
      <c r="C3728" s="121">
        <v>13</v>
      </c>
      <c r="D3728" s="734">
        <v>139.69557529891816</v>
      </c>
      <c r="E3728" s="733"/>
    </row>
    <row r="3729" spans="2:5">
      <c r="B3729" s="121">
        <v>328</v>
      </c>
      <c r="C3729" s="121">
        <v>14</v>
      </c>
      <c r="D3729" s="734">
        <v>141.06132465904088</v>
      </c>
      <c r="E3729" s="733"/>
    </row>
    <row r="3730" spans="2:5">
      <c r="B3730" s="121">
        <v>328</v>
      </c>
      <c r="C3730" s="121">
        <v>15</v>
      </c>
      <c r="D3730" s="734">
        <v>136.77114961249882</v>
      </c>
      <c r="E3730" s="733"/>
    </row>
    <row r="3731" spans="2:5">
      <c r="B3731" s="121">
        <v>328</v>
      </c>
      <c r="C3731" s="121">
        <v>16</v>
      </c>
      <c r="D3731" s="734">
        <v>141.59392778877191</v>
      </c>
      <c r="E3731" s="733"/>
    </row>
    <row r="3732" spans="2:5">
      <c r="B3732" s="121">
        <v>328</v>
      </c>
      <c r="C3732" s="121">
        <v>17</v>
      </c>
      <c r="D3732" s="734">
        <v>144.28653137166378</v>
      </c>
      <c r="E3732" s="733"/>
    </row>
    <row r="3733" spans="2:5">
      <c r="B3733" s="121">
        <v>328</v>
      </c>
      <c r="C3733" s="121">
        <v>18</v>
      </c>
      <c r="D3733" s="734">
        <v>139.07164979015198</v>
      </c>
      <c r="E3733" s="733"/>
    </row>
    <row r="3734" spans="2:5">
      <c r="B3734" s="121">
        <v>328</v>
      </c>
      <c r="C3734" s="121">
        <v>19</v>
      </c>
      <c r="D3734" s="734">
        <v>134.74726229372817</v>
      </c>
      <c r="E3734" s="733"/>
    </row>
    <row r="3735" spans="2:5">
      <c r="B3735" s="121">
        <v>328</v>
      </c>
      <c r="C3735" s="121">
        <v>20</v>
      </c>
      <c r="D3735" s="734">
        <v>145.95946099524386</v>
      </c>
      <c r="E3735" s="733"/>
    </row>
    <row r="3736" spans="2:5">
      <c r="B3736" s="121">
        <v>328</v>
      </c>
      <c r="C3736" s="121">
        <v>21</v>
      </c>
      <c r="D3736" s="734">
        <v>139.77060276161151</v>
      </c>
      <c r="E3736" s="733"/>
    </row>
    <row r="3737" spans="2:5">
      <c r="B3737" s="121">
        <v>328</v>
      </c>
      <c r="C3737" s="121">
        <v>22</v>
      </c>
      <c r="D3737" s="734">
        <v>143.40670110514756</v>
      </c>
      <c r="E3737" s="733"/>
    </row>
    <row r="3738" spans="2:5">
      <c r="B3738" s="121">
        <v>328</v>
      </c>
      <c r="C3738" s="121">
        <v>23</v>
      </c>
      <c r="D3738" s="734">
        <v>138.74751597568277</v>
      </c>
      <c r="E3738" s="733"/>
    </row>
    <row r="3739" spans="2:5">
      <c r="B3739" s="121">
        <v>328</v>
      </c>
      <c r="C3739" s="121">
        <v>24</v>
      </c>
      <c r="D3739" s="734">
        <v>142.55278145222053</v>
      </c>
      <c r="E3739" s="733"/>
    </row>
    <row r="3740" spans="2:5">
      <c r="B3740" s="121">
        <v>328</v>
      </c>
      <c r="C3740" s="121">
        <v>25</v>
      </c>
      <c r="D3740" s="734">
        <v>137.99119727187713</v>
      </c>
      <c r="E3740" s="733"/>
    </row>
    <row r="3741" spans="2:5">
      <c r="B3741" s="121">
        <v>328</v>
      </c>
      <c r="C3741" s="121">
        <v>26</v>
      </c>
      <c r="D3741" s="734">
        <v>145.09788490185719</v>
      </c>
      <c r="E3741" s="733"/>
    </row>
    <row r="3742" spans="2:5">
      <c r="B3742" s="121">
        <v>328</v>
      </c>
      <c r="C3742" s="121">
        <v>27</v>
      </c>
      <c r="D3742" s="734">
        <v>138.69928659434819</v>
      </c>
      <c r="E3742" s="733"/>
    </row>
    <row r="3743" spans="2:5">
      <c r="B3743" s="121">
        <v>328</v>
      </c>
      <c r="C3743" s="121">
        <v>28</v>
      </c>
      <c r="D3743" s="734">
        <v>143.650171260044</v>
      </c>
      <c r="E3743" s="733"/>
    </row>
    <row r="3744" spans="2:5">
      <c r="B3744" s="121">
        <v>328</v>
      </c>
      <c r="C3744" s="121">
        <v>29</v>
      </c>
      <c r="D3744" s="734">
        <v>137.46337536034952</v>
      </c>
      <c r="E3744" s="733"/>
    </row>
    <row r="3745" spans="2:5">
      <c r="B3745" s="121">
        <v>328</v>
      </c>
      <c r="C3745" s="121">
        <v>30</v>
      </c>
      <c r="D3745" s="734">
        <v>138.88248415988039</v>
      </c>
      <c r="E3745" s="733"/>
    </row>
    <row r="3746" spans="2:5">
      <c r="B3746" s="121">
        <v>328</v>
      </c>
      <c r="C3746" s="121">
        <v>31</v>
      </c>
      <c r="D3746" s="734">
        <v>135.36459504766952</v>
      </c>
      <c r="E3746" s="733"/>
    </row>
    <row r="3747" spans="2:5">
      <c r="B3747" s="121">
        <v>328</v>
      </c>
      <c r="C3747" s="121">
        <v>32</v>
      </c>
      <c r="D3747" s="734">
        <v>141.72261323574719</v>
      </c>
      <c r="E3747" s="733"/>
    </row>
    <row r="3748" spans="2:5">
      <c r="B3748" s="121">
        <v>328</v>
      </c>
      <c r="C3748" s="121">
        <v>33</v>
      </c>
      <c r="D3748" s="734">
        <v>143.01772222431771</v>
      </c>
      <c r="E3748" s="733"/>
    </row>
    <row r="3749" spans="2:5">
      <c r="B3749" s="121">
        <v>329</v>
      </c>
      <c r="C3749" s="121">
        <v>1</v>
      </c>
      <c r="D3749" s="734">
        <v>5</v>
      </c>
      <c r="E3749" s="733"/>
    </row>
    <row r="3750" spans="2:5">
      <c r="B3750" s="121">
        <v>329</v>
      </c>
      <c r="C3750" s="121">
        <v>2</v>
      </c>
      <c r="D3750" s="734">
        <v>96.862750361695277</v>
      </c>
      <c r="E3750" s="733"/>
    </row>
    <row r="3751" spans="2:5">
      <c r="B3751" s="121">
        <v>329</v>
      </c>
      <c r="C3751" s="121">
        <v>3</v>
      </c>
      <c r="D3751" s="734">
        <v>119.91411807067331</v>
      </c>
      <c r="E3751" s="733"/>
    </row>
    <row r="3752" spans="2:5">
      <c r="B3752" s="121">
        <v>330</v>
      </c>
      <c r="C3752" s="121">
        <v>1</v>
      </c>
      <c r="D3752" s="734">
        <v>5</v>
      </c>
      <c r="E3752" s="733"/>
    </row>
    <row r="3753" spans="2:5">
      <c r="B3753" s="121">
        <v>330</v>
      </c>
      <c r="C3753" s="121">
        <v>2</v>
      </c>
      <c r="D3753" s="734">
        <v>99.654039033894179</v>
      </c>
      <c r="E3753" s="733"/>
    </row>
    <row r="3754" spans="2:5">
      <c r="B3754" s="121">
        <v>330</v>
      </c>
      <c r="C3754" s="121">
        <v>3</v>
      </c>
      <c r="D3754" s="734">
        <v>124.1368085448743</v>
      </c>
      <c r="E3754" s="733"/>
    </row>
    <row r="3755" spans="2:5">
      <c r="B3755" s="121">
        <v>330</v>
      </c>
      <c r="C3755" s="121">
        <v>4</v>
      </c>
      <c r="D3755" s="734">
        <v>137.79088531124685</v>
      </c>
      <c r="E3755" s="733"/>
    </row>
    <row r="3756" spans="2:5">
      <c r="B3756" s="121">
        <v>330</v>
      </c>
      <c r="C3756" s="121">
        <v>5</v>
      </c>
      <c r="D3756" s="734">
        <v>143.44641688695009</v>
      </c>
      <c r="E3756" s="733"/>
    </row>
    <row r="3757" spans="2:5">
      <c r="B3757" s="121">
        <v>330</v>
      </c>
      <c r="C3757" s="121">
        <v>6</v>
      </c>
      <c r="D3757" s="734">
        <v>142.94413657339479</v>
      </c>
      <c r="E3757" s="733"/>
    </row>
    <row r="3758" spans="2:5">
      <c r="B3758" s="121">
        <v>330</v>
      </c>
      <c r="C3758" s="121">
        <v>7</v>
      </c>
      <c r="D3758" s="734">
        <v>135.39967587258505</v>
      </c>
      <c r="E3758" s="733"/>
    </row>
    <row r="3759" spans="2:5">
      <c r="B3759" s="121">
        <v>330</v>
      </c>
      <c r="C3759" s="121">
        <v>8</v>
      </c>
      <c r="D3759" s="734">
        <v>137.36477901771093</v>
      </c>
      <c r="E3759" s="733"/>
    </row>
    <row r="3760" spans="2:5">
      <c r="B3760" s="121">
        <v>330</v>
      </c>
      <c r="C3760" s="121">
        <v>9</v>
      </c>
      <c r="D3760" s="734">
        <v>142.28387254345304</v>
      </c>
      <c r="E3760" s="733"/>
    </row>
    <row r="3761" spans="2:5">
      <c r="B3761" s="121">
        <v>330</v>
      </c>
      <c r="C3761" s="121">
        <v>10</v>
      </c>
      <c r="D3761" s="734">
        <v>146.74625667517464</v>
      </c>
      <c r="E3761" s="733"/>
    </row>
    <row r="3762" spans="2:5">
      <c r="B3762" s="121">
        <v>330</v>
      </c>
      <c r="C3762" s="121">
        <v>11</v>
      </c>
      <c r="D3762" s="734">
        <v>147.27861323255237</v>
      </c>
      <c r="E3762" s="733"/>
    </row>
    <row r="3763" spans="2:5">
      <c r="B3763" s="121">
        <v>330</v>
      </c>
      <c r="C3763" s="121">
        <v>12</v>
      </c>
      <c r="D3763" s="734">
        <v>138.72775061803773</v>
      </c>
      <c r="E3763" s="733"/>
    </row>
    <row r="3764" spans="2:5">
      <c r="B3764" s="121">
        <v>330</v>
      </c>
      <c r="C3764" s="121">
        <v>13</v>
      </c>
      <c r="D3764" s="734">
        <v>141.78412430910149</v>
      </c>
      <c r="E3764" s="733"/>
    </row>
    <row r="3765" spans="2:5">
      <c r="B3765" s="121">
        <v>330</v>
      </c>
      <c r="C3765" s="121">
        <v>14</v>
      </c>
      <c r="D3765" s="734">
        <v>140.53884274496988</v>
      </c>
      <c r="E3765" s="733"/>
    </row>
    <row r="3766" spans="2:5">
      <c r="B3766" s="121">
        <v>330</v>
      </c>
      <c r="C3766" s="121">
        <v>15</v>
      </c>
      <c r="D3766" s="734">
        <v>136.69777188756333</v>
      </c>
      <c r="E3766" s="733"/>
    </row>
    <row r="3767" spans="2:5">
      <c r="B3767" s="121">
        <v>330</v>
      </c>
      <c r="C3767" s="121">
        <v>16</v>
      </c>
      <c r="D3767" s="734">
        <v>144.33910150294881</v>
      </c>
      <c r="E3767" s="733"/>
    </row>
    <row r="3768" spans="2:5">
      <c r="B3768" s="121">
        <v>330</v>
      </c>
      <c r="C3768" s="121">
        <v>17</v>
      </c>
      <c r="D3768" s="734">
        <v>137.19320937010011</v>
      </c>
      <c r="E3768" s="733"/>
    </row>
    <row r="3769" spans="2:5">
      <c r="B3769" s="121">
        <v>330</v>
      </c>
      <c r="C3769" s="121">
        <v>18</v>
      </c>
      <c r="D3769" s="734">
        <v>146.07247157080351</v>
      </c>
      <c r="E3769" s="733"/>
    </row>
    <row r="3770" spans="2:5">
      <c r="B3770" s="121">
        <v>330</v>
      </c>
      <c r="C3770" s="121">
        <v>19</v>
      </c>
      <c r="D3770" s="734">
        <v>135.04422518762851</v>
      </c>
      <c r="E3770" s="733"/>
    </row>
    <row r="3771" spans="2:5">
      <c r="B3771" s="121">
        <v>330</v>
      </c>
      <c r="C3771" s="121">
        <v>20</v>
      </c>
      <c r="D3771" s="734">
        <v>144.47857651254705</v>
      </c>
      <c r="E3771" s="733"/>
    </row>
    <row r="3772" spans="2:5">
      <c r="B3772" s="121">
        <v>330</v>
      </c>
      <c r="C3772" s="121">
        <v>21</v>
      </c>
      <c r="D3772" s="734">
        <v>142.95298269547374</v>
      </c>
      <c r="E3772" s="733"/>
    </row>
    <row r="3773" spans="2:5">
      <c r="B3773" s="121">
        <v>330</v>
      </c>
      <c r="C3773" s="121">
        <v>22</v>
      </c>
      <c r="D3773" s="734">
        <v>136.84816860417664</v>
      </c>
      <c r="E3773" s="733"/>
    </row>
    <row r="3774" spans="2:5">
      <c r="B3774" s="121">
        <v>330</v>
      </c>
      <c r="C3774" s="121">
        <v>23</v>
      </c>
      <c r="D3774" s="734">
        <v>142.04222736230386</v>
      </c>
      <c r="E3774" s="733"/>
    </row>
    <row r="3775" spans="2:5">
      <c r="B3775" s="121">
        <v>330</v>
      </c>
      <c r="C3775" s="121">
        <v>24</v>
      </c>
      <c r="D3775" s="734">
        <v>134.99903299938182</v>
      </c>
      <c r="E3775" s="733"/>
    </row>
    <row r="3776" spans="2:5">
      <c r="B3776" s="121">
        <v>330</v>
      </c>
      <c r="C3776" s="121">
        <v>25</v>
      </c>
      <c r="D3776" s="734">
        <v>139.60504086045492</v>
      </c>
      <c r="E3776" s="733"/>
    </row>
    <row r="3777" spans="2:5">
      <c r="B3777" s="121">
        <v>330</v>
      </c>
      <c r="C3777" s="121">
        <v>26</v>
      </c>
      <c r="D3777" s="734">
        <v>137.26274296764245</v>
      </c>
      <c r="E3777" s="733"/>
    </row>
    <row r="3778" spans="2:5">
      <c r="B3778" s="121">
        <v>330</v>
      </c>
      <c r="C3778" s="121">
        <v>27</v>
      </c>
      <c r="D3778" s="734">
        <v>138.54624058356657</v>
      </c>
      <c r="E3778" s="733"/>
    </row>
    <row r="3779" spans="2:5">
      <c r="B3779" s="121">
        <v>330</v>
      </c>
      <c r="C3779" s="121">
        <v>28</v>
      </c>
      <c r="D3779" s="734">
        <v>139.32115305287675</v>
      </c>
      <c r="E3779" s="733"/>
    </row>
    <row r="3780" spans="2:5">
      <c r="B3780" s="121">
        <v>330</v>
      </c>
      <c r="C3780" s="121">
        <v>29</v>
      </c>
      <c r="D3780" s="734">
        <v>144.81236766544038</v>
      </c>
      <c r="E3780" s="733"/>
    </row>
    <row r="3781" spans="2:5">
      <c r="B3781" s="121">
        <v>330</v>
      </c>
      <c r="C3781" s="121">
        <v>30</v>
      </c>
      <c r="D3781" s="734">
        <v>141.28656510423454</v>
      </c>
      <c r="E3781" s="733"/>
    </row>
    <row r="3782" spans="2:5">
      <c r="B3782" s="121">
        <v>330</v>
      </c>
      <c r="C3782" s="121">
        <v>31</v>
      </c>
      <c r="D3782" s="734">
        <v>136.49414907523897</v>
      </c>
      <c r="E3782" s="733"/>
    </row>
    <row r="3783" spans="2:5">
      <c r="B3783" s="121">
        <v>330</v>
      </c>
      <c r="C3783" s="121">
        <v>32</v>
      </c>
      <c r="D3783" s="734">
        <v>145.78602466452548</v>
      </c>
      <c r="E3783" s="733"/>
    </row>
    <row r="3784" spans="2:5">
      <c r="B3784" s="121">
        <v>330</v>
      </c>
      <c r="C3784" s="121">
        <v>33</v>
      </c>
      <c r="D3784" s="734">
        <v>135.26260565187638</v>
      </c>
      <c r="E3784" s="733"/>
    </row>
    <row r="3785" spans="2:5">
      <c r="B3785" s="121">
        <v>330</v>
      </c>
      <c r="C3785" s="121">
        <v>34</v>
      </c>
      <c r="D3785" s="734">
        <v>144.95208495230136</v>
      </c>
      <c r="E3785" s="733"/>
    </row>
    <row r="3786" spans="2:5">
      <c r="B3786" s="121">
        <v>330</v>
      </c>
      <c r="C3786" s="121">
        <v>35</v>
      </c>
      <c r="D3786" s="734">
        <v>139.21334708296749</v>
      </c>
      <c r="E3786" s="733"/>
    </row>
    <row r="3787" spans="2:5">
      <c r="B3787" s="121">
        <v>330</v>
      </c>
      <c r="C3787" s="121">
        <v>36</v>
      </c>
      <c r="D3787" s="734">
        <v>135.68392852186241</v>
      </c>
      <c r="E3787" s="733"/>
    </row>
    <row r="3788" spans="2:5">
      <c r="B3788" s="121">
        <v>331</v>
      </c>
      <c r="C3788" s="121">
        <v>1</v>
      </c>
      <c r="D3788" s="734">
        <v>5</v>
      </c>
      <c r="E3788" s="733"/>
    </row>
    <row r="3789" spans="2:5">
      <c r="B3789" s="121">
        <v>331</v>
      </c>
      <c r="C3789" s="121">
        <v>2</v>
      </c>
      <c r="D3789" s="734">
        <v>96.157526573162173</v>
      </c>
      <c r="E3789" s="733"/>
    </row>
    <row r="3790" spans="2:5">
      <c r="B3790" s="121">
        <v>331</v>
      </c>
      <c r="C3790" s="121">
        <v>3</v>
      </c>
      <c r="D3790" s="734">
        <v>122.98288779633863</v>
      </c>
      <c r="E3790" s="733"/>
    </row>
    <row r="3791" spans="2:5">
      <c r="B3791" s="121">
        <v>332</v>
      </c>
      <c r="C3791" s="121">
        <v>1</v>
      </c>
      <c r="D3791" s="734">
        <v>5</v>
      </c>
      <c r="E3791" s="733"/>
    </row>
    <row r="3792" spans="2:5">
      <c r="B3792" s="121">
        <v>333</v>
      </c>
      <c r="C3792" s="121">
        <v>1</v>
      </c>
      <c r="D3792" s="734">
        <v>5</v>
      </c>
      <c r="E3792" s="733"/>
    </row>
    <row r="3793" spans="2:5">
      <c r="B3793" s="121">
        <v>333</v>
      </c>
      <c r="C3793" s="121">
        <v>2</v>
      </c>
      <c r="D3793" s="734">
        <v>97.027791028603389</v>
      </c>
      <c r="E3793" s="733"/>
    </row>
    <row r="3794" spans="2:5">
      <c r="B3794" s="121">
        <v>333</v>
      </c>
      <c r="C3794" s="121">
        <v>3</v>
      </c>
      <c r="D3794" s="734">
        <v>123.48135646442827</v>
      </c>
      <c r="E3794" s="733"/>
    </row>
    <row r="3795" spans="2:5">
      <c r="B3795" s="121">
        <v>333</v>
      </c>
      <c r="C3795" s="121">
        <v>4</v>
      </c>
      <c r="D3795" s="734">
        <v>143.78399028541111</v>
      </c>
      <c r="E3795" s="733"/>
    </row>
    <row r="3796" spans="2:5">
      <c r="B3796" s="121">
        <v>333</v>
      </c>
      <c r="C3796" s="121">
        <v>5</v>
      </c>
      <c r="D3796" s="734">
        <v>146.60084770733894</v>
      </c>
      <c r="E3796" s="733"/>
    </row>
    <row r="3797" spans="2:5">
      <c r="B3797" s="121">
        <v>333</v>
      </c>
      <c r="C3797" s="121">
        <v>6</v>
      </c>
      <c r="D3797" s="734">
        <v>141.92599906489818</v>
      </c>
      <c r="E3797" s="733"/>
    </row>
    <row r="3798" spans="2:5">
      <c r="B3798" s="121">
        <v>333</v>
      </c>
      <c r="C3798" s="121">
        <v>7</v>
      </c>
      <c r="D3798" s="734">
        <v>138.44395354704199</v>
      </c>
      <c r="E3798" s="733"/>
    </row>
    <row r="3799" spans="2:5">
      <c r="B3799" s="121">
        <v>333</v>
      </c>
      <c r="C3799" s="121">
        <v>8</v>
      </c>
      <c r="D3799" s="734">
        <v>143.86821644590643</v>
      </c>
      <c r="E3799" s="733"/>
    </row>
    <row r="3800" spans="2:5">
      <c r="B3800" s="121">
        <v>333</v>
      </c>
      <c r="C3800" s="121">
        <v>9</v>
      </c>
      <c r="D3800" s="734">
        <v>136.03864884080065</v>
      </c>
      <c r="E3800" s="733"/>
    </row>
    <row r="3801" spans="2:5">
      <c r="B3801" s="121">
        <v>333</v>
      </c>
      <c r="C3801" s="121">
        <v>10</v>
      </c>
      <c r="D3801" s="734">
        <v>140.20885018358561</v>
      </c>
      <c r="E3801" s="733"/>
    </row>
    <row r="3802" spans="2:5">
      <c r="B3802" s="121">
        <v>333</v>
      </c>
      <c r="C3802" s="121">
        <v>11</v>
      </c>
      <c r="D3802" s="734">
        <v>136.66724305941622</v>
      </c>
      <c r="E3802" s="733"/>
    </row>
    <row r="3803" spans="2:5">
      <c r="B3803" s="121">
        <v>333</v>
      </c>
      <c r="C3803" s="121">
        <v>12</v>
      </c>
      <c r="D3803" s="734">
        <v>141.30159794323441</v>
      </c>
      <c r="E3803" s="733"/>
    </row>
    <row r="3804" spans="2:5">
      <c r="B3804" s="121">
        <v>333</v>
      </c>
      <c r="C3804" s="121">
        <v>13</v>
      </c>
      <c r="D3804" s="734">
        <v>138.6322572467588</v>
      </c>
      <c r="E3804" s="733"/>
    </row>
    <row r="3805" spans="2:5">
      <c r="B3805" s="121">
        <v>334</v>
      </c>
      <c r="C3805" s="121">
        <v>1</v>
      </c>
      <c r="D3805" s="734">
        <v>5</v>
      </c>
      <c r="E3805" s="733"/>
    </row>
    <row r="3806" spans="2:5">
      <c r="B3806" s="121">
        <v>334</v>
      </c>
      <c r="C3806" s="121">
        <v>2</v>
      </c>
      <c r="D3806" s="734">
        <v>97.377732009515356</v>
      </c>
      <c r="E3806" s="733"/>
    </row>
    <row r="3807" spans="2:5">
      <c r="B3807" s="121">
        <v>334</v>
      </c>
      <c r="C3807" s="121">
        <v>3</v>
      </c>
      <c r="D3807" s="734">
        <v>118.59740493836078</v>
      </c>
      <c r="E3807" s="733"/>
    </row>
    <row r="3808" spans="2:5">
      <c r="B3808" s="121">
        <v>334</v>
      </c>
      <c r="C3808" s="121">
        <v>4</v>
      </c>
      <c r="D3808" s="734">
        <v>145.73475831364345</v>
      </c>
      <c r="E3808" s="733"/>
    </row>
    <row r="3809" spans="2:5">
      <c r="B3809" s="121">
        <v>334</v>
      </c>
      <c r="C3809" s="121">
        <v>5</v>
      </c>
      <c r="D3809" s="734">
        <v>141.66475297495597</v>
      </c>
      <c r="E3809" s="733"/>
    </row>
    <row r="3810" spans="2:5">
      <c r="B3810" s="121">
        <v>334</v>
      </c>
      <c r="C3810" s="121">
        <v>6</v>
      </c>
      <c r="D3810" s="734">
        <v>143.07664096187389</v>
      </c>
      <c r="E3810" s="733"/>
    </row>
    <row r="3811" spans="2:5">
      <c r="B3811" s="121">
        <v>334</v>
      </c>
      <c r="C3811" s="121">
        <v>7</v>
      </c>
      <c r="D3811" s="734">
        <v>139.5658570430092</v>
      </c>
      <c r="E3811" s="733"/>
    </row>
    <row r="3812" spans="2:5">
      <c r="B3812" s="121">
        <v>334</v>
      </c>
      <c r="C3812" s="121">
        <v>8</v>
      </c>
      <c r="D3812" s="734">
        <v>134.31479643578481</v>
      </c>
      <c r="E3812" s="733"/>
    </row>
    <row r="3813" spans="2:5">
      <c r="B3813" s="121">
        <v>334</v>
      </c>
      <c r="C3813" s="121">
        <v>9</v>
      </c>
      <c r="D3813" s="734">
        <v>145.77061076409285</v>
      </c>
      <c r="E3813" s="733"/>
    </row>
    <row r="3814" spans="2:5">
      <c r="B3814" s="121">
        <v>334</v>
      </c>
      <c r="C3814" s="121">
        <v>10</v>
      </c>
      <c r="D3814" s="734">
        <v>135.39257098649978</v>
      </c>
      <c r="E3814" s="733"/>
    </row>
    <row r="3815" spans="2:5">
      <c r="B3815" s="121">
        <v>334</v>
      </c>
      <c r="C3815" s="121">
        <v>11</v>
      </c>
      <c r="D3815" s="734">
        <v>142.06529898703633</v>
      </c>
      <c r="E3815" s="733"/>
    </row>
    <row r="3816" spans="2:5">
      <c r="B3816" s="121">
        <v>334</v>
      </c>
      <c r="C3816" s="121">
        <v>12</v>
      </c>
      <c r="D3816" s="734">
        <v>138.21895779607809</v>
      </c>
      <c r="E3816" s="733"/>
    </row>
    <row r="3817" spans="2:5">
      <c r="B3817" s="121">
        <v>334</v>
      </c>
      <c r="C3817" s="121">
        <v>13</v>
      </c>
      <c r="D3817" s="734">
        <v>135.83478848786467</v>
      </c>
      <c r="E3817" s="733"/>
    </row>
    <row r="3818" spans="2:5">
      <c r="B3818" s="121">
        <v>335</v>
      </c>
      <c r="C3818" s="121">
        <v>1</v>
      </c>
      <c r="D3818" s="734">
        <v>5</v>
      </c>
      <c r="E3818" s="733"/>
    </row>
    <row r="3819" spans="2:5">
      <c r="B3819" s="121">
        <v>335</v>
      </c>
      <c r="C3819" s="121">
        <v>2</v>
      </c>
      <c r="D3819" s="734">
        <v>101.64579470108323</v>
      </c>
      <c r="E3819" s="733"/>
    </row>
    <row r="3820" spans="2:5">
      <c r="B3820" s="121">
        <v>335</v>
      </c>
      <c r="C3820" s="121">
        <v>3</v>
      </c>
      <c r="D3820" s="734">
        <v>120.94245384011624</v>
      </c>
      <c r="E3820" s="733"/>
    </row>
    <row r="3821" spans="2:5">
      <c r="B3821" s="121">
        <v>335</v>
      </c>
      <c r="C3821" s="121">
        <v>4</v>
      </c>
      <c r="D3821" s="734">
        <v>140.01456401716209</v>
      </c>
      <c r="E3821" s="733"/>
    </row>
    <row r="3822" spans="2:5">
      <c r="B3822" s="121">
        <v>335</v>
      </c>
      <c r="C3822" s="121">
        <v>5</v>
      </c>
      <c r="D3822" s="734">
        <v>144.5809868704599</v>
      </c>
      <c r="E3822" s="733"/>
    </row>
    <row r="3823" spans="2:5">
      <c r="B3823" s="121">
        <v>336</v>
      </c>
      <c r="C3823" s="121">
        <v>1</v>
      </c>
      <c r="D3823" s="734">
        <v>5</v>
      </c>
      <c r="E3823" s="733"/>
    </row>
    <row r="3824" spans="2:5">
      <c r="B3824" s="121">
        <v>336</v>
      </c>
      <c r="C3824" s="121">
        <v>2</v>
      </c>
      <c r="D3824" s="734">
        <v>96.28615046218647</v>
      </c>
      <c r="E3824" s="733"/>
    </row>
    <row r="3825" spans="2:5">
      <c r="B3825" s="121">
        <v>336</v>
      </c>
      <c r="C3825" s="121">
        <v>3</v>
      </c>
      <c r="D3825" s="734">
        <v>122.02123353149764</v>
      </c>
      <c r="E3825" s="733"/>
    </row>
    <row r="3826" spans="2:5">
      <c r="B3826" s="121">
        <v>336</v>
      </c>
      <c r="C3826" s="121">
        <v>4</v>
      </c>
      <c r="D3826" s="734">
        <v>139.9077196363115</v>
      </c>
      <c r="E3826" s="733"/>
    </row>
    <row r="3827" spans="2:5">
      <c r="B3827" s="121">
        <v>336</v>
      </c>
      <c r="C3827" s="121">
        <v>5</v>
      </c>
      <c r="D3827" s="734">
        <v>136.29772027842549</v>
      </c>
      <c r="E3827" s="733"/>
    </row>
    <row r="3828" spans="2:5">
      <c r="B3828" s="121">
        <v>336</v>
      </c>
      <c r="C3828" s="121">
        <v>6</v>
      </c>
      <c r="D3828" s="734">
        <v>144.5259072638618</v>
      </c>
      <c r="E3828" s="733"/>
    </row>
    <row r="3829" spans="2:5">
      <c r="B3829" s="121">
        <v>336</v>
      </c>
      <c r="C3829" s="121">
        <v>7</v>
      </c>
      <c r="D3829" s="734">
        <v>134.69912348167219</v>
      </c>
      <c r="E3829" s="733"/>
    </row>
    <row r="3830" spans="2:5">
      <c r="B3830" s="121">
        <v>336</v>
      </c>
      <c r="C3830" s="121">
        <v>8</v>
      </c>
      <c r="D3830" s="734">
        <v>138.89130788377051</v>
      </c>
      <c r="E3830" s="733"/>
    </row>
    <row r="3831" spans="2:5">
      <c r="B3831" s="121">
        <v>336</v>
      </c>
      <c r="C3831" s="121">
        <v>9</v>
      </c>
      <c r="D3831" s="734">
        <v>140.70868073736696</v>
      </c>
      <c r="E3831" s="733"/>
    </row>
    <row r="3832" spans="2:5">
      <c r="B3832" s="121">
        <v>336</v>
      </c>
      <c r="C3832" s="121">
        <v>10</v>
      </c>
      <c r="D3832" s="734">
        <v>139.85388015155809</v>
      </c>
      <c r="E3832" s="733"/>
    </row>
    <row r="3833" spans="2:5">
      <c r="B3833" s="121">
        <v>336</v>
      </c>
      <c r="C3833" s="121">
        <v>11</v>
      </c>
      <c r="D3833" s="734">
        <v>135.91482717824692</v>
      </c>
      <c r="E3833" s="733"/>
    </row>
    <row r="3834" spans="2:5">
      <c r="B3834" s="121">
        <v>336</v>
      </c>
      <c r="C3834" s="121">
        <v>12</v>
      </c>
      <c r="D3834" s="734">
        <v>134.68618054128589</v>
      </c>
      <c r="E3834" s="733"/>
    </row>
    <row r="3835" spans="2:5">
      <c r="B3835" s="121">
        <v>336</v>
      </c>
      <c r="C3835" s="121">
        <v>13</v>
      </c>
      <c r="D3835" s="734">
        <v>136.94405446936867</v>
      </c>
      <c r="E3835" s="733"/>
    </row>
    <row r="3836" spans="2:5">
      <c r="B3836" s="121">
        <v>336</v>
      </c>
      <c r="C3836" s="121">
        <v>14</v>
      </c>
      <c r="D3836" s="734">
        <v>135.67435520591295</v>
      </c>
      <c r="E3836" s="733"/>
    </row>
    <row r="3837" spans="2:5">
      <c r="B3837" s="121">
        <v>336</v>
      </c>
      <c r="C3837" s="121">
        <v>15</v>
      </c>
      <c r="D3837" s="734">
        <v>135.47790835103416</v>
      </c>
      <c r="E3837" s="733"/>
    </row>
    <row r="3838" spans="2:5">
      <c r="B3838" s="121">
        <v>336</v>
      </c>
      <c r="C3838" s="121">
        <v>16</v>
      </c>
      <c r="D3838" s="734">
        <v>137.20234697437374</v>
      </c>
      <c r="E3838" s="733"/>
    </row>
    <row r="3839" spans="2:5">
      <c r="B3839" s="121">
        <v>336</v>
      </c>
      <c r="C3839" s="121">
        <v>17</v>
      </c>
      <c r="D3839" s="734">
        <v>137.76153373863727</v>
      </c>
      <c r="E3839" s="733"/>
    </row>
    <row r="3840" spans="2:5">
      <c r="B3840" s="121">
        <v>336</v>
      </c>
      <c r="C3840" s="121">
        <v>18</v>
      </c>
      <c r="D3840" s="734">
        <v>135.64085646827277</v>
      </c>
      <c r="E3840" s="733"/>
    </row>
    <row r="3841" spans="2:5">
      <c r="B3841" s="121">
        <v>336</v>
      </c>
      <c r="C3841" s="121">
        <v>19</v>
      </c>
      <c r="D3841" s="734">
        <v>136.8366673624067</v>
      </c>
      <c r="E3841" s="733"/>
    </row>
    <row r="3842" spans="2:5">
      <c r="B3842" s="121">
        <v>336</v>
      </c>
      <c r="C3842" s="121">
        <v>20</v>
      </c>
      <c r="D3842" s="734">
        <v>145.07783043838711</v>
      </c>
      <c r="E3842" s="733"/>
    </row>
    <row r="3843" spans="2:5">
      <c r="B3843" s="121">
        <v>336</v>
      </c>
      <c r="C3843" s="121">
        <v>21</v>
      </c>
      <c r="D3843" s="734">
        <v>140.30094694497697</v>
      </c>
      <c r="E3843" s="733"/>
    </row>
    <row r="3844" spans="2:5">
      <c r="B3844" s="121">
        <v>336</v>
      </c>
      <c r="C3844" s="121">
        <v>22</v>
      </c>
      <c r="D3844" s="734">
        <v>144.01080792654099</v>
      </c>
      <c r="E3844" s="733"/>
    </row>
    <row r="3845" spans="2:5">
      <c r="B3845" s="121">
        <v>336</v>
      </c>
      <c r="C3845" s="121">
        <v>23</v>
      </c>
      <c r="D3845" s="734">
        <v>139.96518681570168</v>
      </c>
      <c r="E3845" s="733"/>
    </row>
    <row r="3846" spans="2:5">
      <c r="B3846" s="121">
        <v>336</v>
      </c>
      <c r="C3846" s="121">
        <v>24</v>
      </c>
      <c r="D3846" s="734">
        <v>145.25597033806227</v>
      </c>
      <c r="E3846" s="733"/>
    </row>
    <row r="3847" spans="2:5">
      <c r="B3847" s="121">
        <v>336</v>
      </c>
      <c r="C3847" s="121">
        <v>25</v>
      </c>
      <c r="D3847" s="734">
        <v>143.57367670465015</v>
      </c>
      <c r="E3847" s="733"/>
    </row>
    <row r="3848" spans="2:5">
      <c r="B3848" s="121">
        <v>336</v>
      </c>
      <c r="C3848" s="121">
        <v>26</v>
      </c>
      <c r="D3848" s="734">
        <v>144.58009803277349</v>
      </c>
      <c r="E3848" s="733"/>
    </row>
    <row r="3849" spans="2:5">
      <c r="B3849" s="121">
        <v>336</v>
      </c>
      <c r="C3849" s="121">
        <v>27</v>
      </c>
      <c r="D3849" s="734">
        <v>137.80996920652393</v>
      </c>
      <c r="E3849" s="733"/>
    </row>
    <row r="3850" spans="2:5">
      <c r="B3850" s="121">
        <v>336</v>
      </c>
      <c r="C3850" s="121">
        <v>28</v>
      </c>
      <c r="D3850" s="734">
        <v>141.81336586464064</v>
      </c>
      <c r="E3850" s="733"/>
    </row>
    <row r="3851" spans="2:5">
      <c r="B3851" s="121">
        <v>336</v>
      </c>
      <c r="C3851" s="121">
        <v>29</v>
      </c>
      <c r="D3851" s="734">
        <v>142.69914366448836</v>
      </c>
      <c r="E3851" s="733"/>
    </row>
    <row r="3852" spans="2:5">
      <c r="B3852" s="121">
        <v>336</v>
      </c>
      <c r="C3852" s="121">
        <v>30</v>
      </c>
      <c r="D3852" s="734">
        <v>133.98123981349457</v>
      </c>
      <c r="E3852" s="733"/>
    </row>
    <row r="3853" spans="2:5">
      <c r="B3853" s="121">
        <v>336</v>
      </c>
      <c r="C3853" s="121">
        <v>31</v>
      </c>
      <c r="D3853" s="734">
        <v>146.96622236877468</v>
      </c>
      <c r="E3853" s="733"/>
    </row>
    <row r="3854" spans="2:5">
      <c r="B3854" s="121">
        <v>336</v>
      </c>
      <c r="C3854" s="121">
        <v>32</v>
      </c>
      <c r="D3854" s="734">
        <v>141.73777537362312</v>
      </c>
      <c r="E3854" s="733"/>
    </row>
    <row r="3855" spans="2:5">
      <c r="B3855" s="121">
        <v>336</v>
      </c>
      <c r="C3855" s="121">
        <v>33</v>
      </c>
      <c r="D3855" s="734">
        <v>139.02841954440262</v>
      </c>
      <c r="E3855" s="733"/>
    </row>
    <row r="3856" spans="2:5">
      <c r="B3856" s="121">
        <v>336</v>
      </c>
      <c r="C3856" s="121">
        <v>34</v>
      </c>
      <c r="D3856" s="734">
        <v>146.78062775842002</v>
      </c>
      <c r="E3856" s="733"/>
    </row>
    <row r="3857" spans="2:5">
      <c r="B3857" s="121">
        <v>336</v>
      </c>
      <c r="C3857" s="121">
        <v>35</v>
      </c>
      <c r="D3857" s="734">
        <v>136.19411264911739</v>
      </c>
      <c r="E3857" s="733"/>
    </row>
    <row r="3858" spans="2:5">
      <c r="B3858" s="121">
        <v>336</v>
      </c>
      <c r="C3858" s="121">
        <v>36</v>
      </c>
      <c r="D3858" s="734">
        <v>135.72362365507627</v>
      </c>
      <c r="E3858" s="733"/>
    </row>
    <row r="3859" spans="2:5">
      <c r="B3859" s="121">
        <v>337</v>
      </c>
      <c r="C3859" s="121">
        <v>1</v>
      </c>
      <c r="D3859" s="734">
        <v>5</v>
      </c>
      <c r="E3859" s="733"/>
    </row>
    <row r="3860" spans="2:5">
      <c r="B3860" s="121">
        <v>337</v>
      </c>
      <c r="C3860" s="121">
        <v>2</v>
      </c>
      <c r="D3860" s="734">
        <v>102.05974025089348</v>
      </c>
      <c r="E3860" s="733"/>
    </row>
    <row r="3861" spans="2:5">
      <c r="B3861" s="121">
        <v>337</v>
      </c>
      <c r="C3861" s="121">
        <v>3</v>
      </c>
      <c r="D3861" s="734">
        <v>123.23853971600782</v>
      </c>
      <c r="E3861" s="733"/>
    </row>
    <row r="3862" spans="2:5">
      <c r="B3862" s="121">
        <v>337</v>
      </c>
      <c r="C3862" s="121">
        <v>4</v>
      </c>
      <c r="D3862" s="734">
        <v>136.71893822490253</v>
      </c>
      <c r="E3862" s="733"/>
    </row>
    <row r="3863" spans="2:5">
      <c r="B3863" s="121">
        <v>337</v>
      </c>
      <c r="C3863" s="121">
        <v>5</v>
      </c>
      <c r="D3863" s="734">
        <v>134.70351067627621</v>
      </c>
      <c r="E3863" s="733"/>
    </row>
    <row r="3864" spans="2:5">
      <c r="B3864" s="121">
        <v>337</v>
      </c>
      <c r="C3864" s="121">
        <v>6</v>
      </c>
      <c r="D3864" s="734">
        <v>143.76358332619731</v>
      </c>
      <c r="E3864" s="733"/>
    </row>
    <row r="3865" spans="2:5">
      <c r="B3865" s="121">
        <v>337</v>
      </c>
      <c r="C3865" s="121">
        <v>7</v>
      </c>
      <c r="D3865" s="734">
        <v>141.2773137585005</v>
      </c>
      <c r="E3865" s="733"/>
    </row>
    <row r="3866" spans="2:5">
      <c r="B3866" s="121">
        <v>337</v>
      </c>
      <c r="C3866" s="121">
        <v>8</v>
      </c>
      <c r="D3866" s="734">
        <v>136.85729635035693</v>
      </c>
      <c r="E3866" s="733"/>
    </row>
    <row r="3867" spans="2:5">
      <c r="B3867" s="121">
        <v>337</v>
      </c>
      <c r="C3867" s="121">
        <v>9</v>
      </c>
      <c r="D3867" s="734">
        <v>144.78198362189988</v>
      </c>
      <c r="E3867" s="733"/>
    </row>
    <row r="3868" spans="2:5">
      <c r="B3868" s="121">
        <v>337</v>
      </c>
      <c r="C3868" s="121">
        <v>10</v>
      </c>
      <c r="D3868" s="734">
        <v>139.7625248413498</v>
      </c>
      <c r="E3868" s="733"/>
    </row>
    <row r="3869" spans="2:5">
      <c r="B3869" s="121">
        <v>337</v>
      </c>
      <c r="C3869" s="121">
        <v>11</v>
      </c>
      <c r="D3869" s="734">
        <v>144.46662873729079</v>
      </c>
      <c r="E3869" s="733"/>
    </row>
    <row r="3870" spans="2:5">
      <c r="B3870" s="121">
        <v>337</v>
      </c>
      <c r="C3870" s="121">
        <v>12</v>
      </c>
      <c r="D3870" s="734">
        <v>137.75622303724501</v>
      </c>
      <c r="E3870" s="733"/>
    </row>
    <row r="3871" spans="2:5">
      <c r="B3871" s="121">
        <v>337</v>
      </c>
      <c r="C3871" s="121">
        <v>13</v>
      </c>
      <c r="D3871" s="734">
        <v>139.66914542750854</v>
      </c>
      <c r="E3871" s="733"/>
    </row>
    <row r="3872" spans="2:5">
      <c r="B3872" s="121">
        <v>337</v>
      </c>
      <c r="C3872" s="121">
        <v>14</v>
      </c>
      <c r="D3872" s="734">
        <v>145.90093288070369</v>
      </c>
      <c r="E3872" s="733"/>
    </row>
    <row r="3873" spans="2:5">
      <c r="B3873" s="121">
        <v>337</v>
      </c>
      <c r="C3873" s="121">
        <v>15</v>
      </c>
      <c r="D3873" s="734">
        <v>146.83694118966505</v>
      </c>
      <c r="E3873" s="733"/>
    </row>
    <row r="3874" spans="2:5">
      <c r="B3874" s="121">
        <v>337</v>
      </c>
      <c r="C3874" s="121">
        <v>16</v>
      </c>
      <c r="D3874" s="734">
        <v>135.9706892610547</v>
      </c>
      <c r="E3874" s="733"/>
    </row>
    <row r="3875" spans="2:5">
      <c r="B3875" s="121">
        <v>337</v>
      </c>
      <c r="C3875" s="121">
        <v>17</v>
      </c>
      <c r="D3875" s="734">
        <v>139.34227150023071</v>
      </c>
      <c r="E3875" s="733"/>
    </row>
    <row r="3876" spans="2:5">
      <c r="B3876" s="121">
        <v>337</v>
      </c>
      <c r="C3876" s="121">
        <v>18</v>
      </c>
      <c r="D3876" s="734">
        <v>134.45874889576004</v>
      </c>
      <c r="E3876" s="733"/>
    </row>
    <row r="3877" spans="2:5">
      <c r="B3877" s="121">
        <v>337</v>
      </c>
      <c r="C3877" s="121">
        <v>19</v>
      </c>
      <c r="D3877" s="734">
        <v>135.59095529207485</v>
      </c>
      <c r="E3877" s="733"/>
    </row>
    <row r="3878" spans="2:5">
      <c r="B3878" s="121">
        <v>337</v>
      </c>
      <c r="C3878" s="121">
        <v>20</v>
      </c>
      <c r="D3878" s="734">
        <v>145.38263137531541</v>
      </c>
      <c r="E3878" s="733"/>
    </row>
    <row r="3879" spans="2:5">
      <c r="B3879" s="121">
        <v>337</v>
      </c>
      <c r="C3879" s="121">
        <v>21</v>
      </c>
      <c r="D3879" s="734">
        <v>134.62195801189745</v>
      </c>
      <c r="E3879" s="733"/>
    </row>
    <row r="3880" spans="2:5">
      <c r="B3880" s="121">
        <v>337</v>
      </c>
      <c r="C3880" s="121">
        <v>22</v>
      </c>
      <c r="D3880" s="734">
        <v>140.66365963752526</v>
      </c>
      <c r="E3880" s="733"/>
    </row>
    <row r="3881" spans="2:5">
      <c r="B3881" s="121">
        <v>337</v>
      </c>
      <c r="C3881" s="121">
        <v>23</v>
      </c>
      <c r="D3881" s="734">
        <v>143.73661553343737</v>
      </c>
      <c r="E3881" s="733"/>
    </row>
    <row r="3882" spans="2:5">
      <c r="B3882" s="121">
        <v>337</v>
      </c>
      <c r="C3882" s="121">
        <v>24</v>
      </c>
      <c r="D3882" s="734">
        <v>137.67013883865809</v>
      </c>
      <c r="E3882" s="733"/>
    </row>
    <row r="3883" spans="2:5">
      <c r="B3883" s="121">
        <v>337</v>
      </c>
      <c r="C3883" s="121">
        <v>25</v>
      </c>
      <c r="D3883" s="734">
        <v>142.252070350004</v>
      </c>
      <c r="E3883" s="733"/>
    </row>
    <row r="3884" spans="2:5">
      <c r="B3884" s="121">
        <v>337</v>
      </c>
      <c r="C3884" s="121">
        <v>26</v>
      </c>
      <c r="D3884" s="734">
        <v>138.47737374816847</v>
      </c>
      <c r="E3884" s="733"/>
    </row>
    <row r="3885" spans="2:5">
      <c r="B3885" s="121">
        <v>337</v>
      </c>
      <c r="C3885" s="121">
        <v>27</v>
      </c>
      <c r="D3885" s="734">
        <v>144.03056539106689</v>
      </c>
      <c r="E3885" s="733"/>
    </row>
    <row r="3886" spans="2:5">
      <c r="B3886" s="121">
        <v>337</v>
      </c>
      <c r="C3886" s="121">
        <v>28</v>
      </c>
      <c r="D3886" s="734">
        <v>135.73767206406708</v>
      </c>
      <c r="E3886" s="733"/>
    </row>
    <row r="3887" spans="2:5">
      <c r="B3887" s="121">
        <v>338</v>
      </c>
      <c r="C3887" s="121">
        <v>1</v>
      </c>
      <c r="D3887" s="734">
        <v>5</v>
      </c>
      <c r="E3887" s="733"/>
    </row>
    <row r="3888" spans="2:5">
      <c r="B3888" s="121">
        <v>338</v>
      </c>
      <c r="C3888" s="121">
        <v>2</v>
      </c>
      <c r="D3888" s="734">
        <v>96.65752579698669</v>
      </c>
      <c r="E3888" s="733"/>
    </row>
    <row r="3889" spans="2:5">
      <c r="B3889" s="121">
        <v>338</v>
      </c>
      <c r="C3889" s="121">
        <v>3</v>
      </c>
      <c r="D3889" s="734">
        <v>121.77996953547742</v>
      </c>
      <c r="E3889" s="733"/>
    </row>
    <row r="3890" spans="2:5">
      <c r="B3890" s="121">
        <v>338</v>
      </c>
      <c r="C3890" s="121">
        <v>4</v>
      </c>
      <c r="D3890" s="734">
        <v>146.37430858787201</v>
      </c>
      <c r="E3890" s="733"/>
    </row>
    <row r="3891" spans="2:5">
      <c r="B3891" s="121">
        <v>338</v>
      </c>
      <c r="C3891" s="121">
        <v>5</v>
      </c>
      <c r="D3891" s="734">
        <v>134.39327570866334</v>
      </c>
      <c r="E3891" s="733"/>
    </row>
    <row r="3892" spans="2:5">
      <c r="B3892" s="121">
        <v>338</v>
      </c>
      <c r="C3892" s="121">
        <v>6</v>
      </c>
      <c r="D3892" s="734">
        <v>143.83085535983403</v>
      </c>
      <c r="E3892" s="733"/>
    </row>
    <row r="3893" spans="2:5">
      <c r="B3893" s="121">
        <v>338</v>
      </c>
      <c r="C3893" s="121">
        <v>7</v>
      </c>
      <c r="D3893" s="734">
        <v>135.21709068785964</v>
      </c>
      <c r="E3893" s="733"/>
    </row>
    <row r="3894" spans="2:5">
      <c r="B3894" s="121">
        <v>338</v>
      </c>
      <c r="C3894" s="121">
        <v>8</v>
      </c>
      <c r="D3894" s="734">
        <v>144.89861521581165</v>
      </c>
      <c r="E3894" s="733"/>
    </row>
    <row r="3895" spans="2:5">
      <c r="B3895" s="121">
        <v>338</v>
      </c>
      <c r="C3895" s="121">
        <v>9</v>
      </c>
      <c r="D3895" s="734">
        <v>139.6961130060962</v>
      </c>
      <c r="E3895" s="733"/>
    </row>
    <row r="3896" spans="2:5">
      <c r="B3896" s="121">
        <v>338</v>
      </c>
      <c r="C3896" s="121">
        <v>10</v>
      </c>
      <c r="D3896" s="734">
        <v>144.7143125711037</v>
      </c>
      <c r="E3896" s="733"/>
    </row>
    <row r="3897" spans="2:5">
      <c r="B3897" s="121">
        <v>338</v>
      </c>
      <c r="C3897" s="121">
        <v>11</v>
      </c>
      <c r="D3897" s="734">
        <v>141.70944112500896</v>
      </c>
      <c r="E3897" s="733"/>
    </row>
    <row r="3898" spans="2:5">
      <c r="B3898" s="121">
        <v>338</v>
      </c>
      <c r="C3898" s="121">
        <v>12</v>
      </c>
      <c r="D3898" s="734">
        <v>138.44103458497895</v>
      </c>
      <c r="E3898" s="733"/>
    </row>
    <row r="3899" spans="2:5">
      <c r="B3899" s="121">
        <v>339</v>
      </c>
      <c r="C3899" s="121">
        <v>1</v>
      </c>
      <c r="D3899" s="734">
        <v>5</v>
      </c>
      <c r="E3899" s="733"/>
    </row>
    <row r="3900" spans="2:5">
      <c r="B3900" s="121">
        <v>339</v>
      </c>
      <c r="C3900" s="121">
        <v>2</v>
      </c>
      <c r="D3900" s="734">
        <v>94.356399981124</v>
      </c>
      <c r="E3900" s="733"/>
    </row>
    <row r="3901" spans="2:5">
      <c r="B3901" s="121">
        <v>339</v>
      </c>
      <c r="C3901" s="121">
        <v>3</v>
      </c>
      <c r="D3901" s="734">
        <v>124.69624966204536</v>
      </c>
      <c r="E3901" s="733"/>
    </row>
    <row r="3902" spans="2:5">
      <c r="B3902" s="121">
        <v>339</v>
      </c>
      <c r="C3902" s="121">
        <v>4</v>
      </c>
      <c r="D3902" s="734">
        <v>141.48778787485927</v>
      </c>
      <c r="E3902" s="733"/>
    </row>
    <row r="3903" spans="2:5">
      <c r="B3903" s="121">
        <v>339</v>
      </c>
      <c r="C3903" s="121">
        <v>5</v>
      </c>
      <c r="D3903" s="734">
        <v>146.42311296905004</v>
      </c>
      <c r="E3903" s="733"/>
    </row>
    <row r="3904" spans="2:5">
      <c r="B3904" s="121">
        <v>339</v>
      </c>
      <c r="C3904" s="121">
        <v>6</v>
      </c>
      <c r="D3904" s="734">
        <v>135.45328575040969</v>
      </c>
      <c r="E3904" s="733"/>
    </row>
    <row r="3905" spans="2:5">
      <c r="B3905" s="121">
        <v>339</v>
      </c>
      <c r="C3905" s="121">
        <v>7</v>
      </c>
      <c r="D3905" s="734">
        <v>138.56140934316477</v>
      </c>
      <c r="E3905" s="733"/>
    </row>
    <row r="3906" spans="2:5">
      <c r="B3906" s="121">
        <v>339</v>
      </c>
      <c r="C3906" s="121">
        <v>8</v>
      </c>
      <c r="D3906" s="734">
        <v>138.76708516714959</v>
      </c>
      <c r="E3906" s="733"/>
    </row>
    <row r="3907" spans="2:5">
      <c r="B3907" s="121">
        <v>339</v>
      </c>
      <c r="C3907" s="121">
        <v>9</v>
      </c>
      <c r="D3907" s="734">
        <v>137.68682209477203</v>
      </c>
      <c r="E3907" s="733"/>
    </row>
    <row r="3908" spans="2:5">
      <c r="B3908" s="121">
        <v>339</v>
      </c>
      <c r="C3908" s="121">
        <v>10</v>
      </c>
      <c r="D3908" s="734">
        <v>143.08601836757202</v>
      </c>
      <c r="E3908" s="733"/>
    </row>
    <row r="3909" spans="2:5">
      <c r="B3909" s="121">
        <v>339</v>
      </c>
      <c r="C3909" s="121">
        <v>11</v>
      </c>
      <c r="D3909" s="734">
        <v>137.30327421552457</v>
      </c>
      <c r="E3909" s="733"/>
    </row>
    <row r="3910" spans="2:5">
      <c r="B3910" s="121">
        <v>339</v>
      </c>
      <c r="C3910" s="121">
        <v>12</v>
      </c>
      <c r="D3910" s="734">
        <v>138.46563352820621</v>
      </c>
      <c r="E3910" s="733"/>
    </row>
    <row r="3911" spans="2:5">
      <c r="B3911" s="121">
        <v>340</v>
      </c>
      <c r="C3911" s="121">
        <v>1</v>
      </c>
      <c r="D3911" s="734">
        <v>5</v>
      </c>
      <c r="E3911" s="733"/>
    </row>
    <row r="3912" spans="2:5">
      <c r="B3912" s="121">
        <v>341</v>
      </c>
      <c r="C3912" s="121">
        <v>1</v>
      </c>
      <c r="D3912" s="734">
        <v>5</v>
      </c>
      <c r="E3912" s="733"/>
    </row>
    <row r="3913" spans="2:5">
      <c r="B3913" s="121">
        <v>341</v>
      </c>
      <c r="C3913" s="121">
        <v>2</v>
      </c>
      <c r="D3913" s="734">
        <v>102.04453385603985</v>
      </c>
      <c r="E3913" s="733"/>
    </row>
    <row r="3914" spans="2:5">
      <c r="B3914" s="121">
        <v>341</v>
      </c>
      <c r="C3914" s="121">
        <v>3</v>
      </c>
      <c r="D3914" s="734">
        <v>117.23508172886662</v>
      </c>
      <c r="E3914" s="733"/>
    </row>
    <row r="3915" spans="2:5">
      <c r="B3915" s="121">
        <v>341</v>
      </c>
      <c r="C3915" s="121">
        <v>4</v>
      </c>
      <c r="D3915" s="734">
        <v>145.6583974370624</v>
      </c>
      <c r="E3915" s="733"/>
    </row>
    <row r="3916" spans="2:5">
      <c r="B3916" s="121">
        <v>341</v>
      </c>
      <c r="C3916" s="121">
        <v>5</v>
      </c>
      <c r="D3916" s="734">
        <v>139.04052967835747</v>
      </c>
      <c r="E3916" s="733"/>
    </row>
    <row r="3917" spans="2:5">
      <c r="B3917" s="121">
        <v>341</v>
      </c>
      <c r="C3917" s="121">
        <v>6</v>
      </c>
      <c r="D3917" s="734">
        <v>144.64554916645545</v>
      </c>
      <c r="E3917" s="733"/>
    </row>
    <row r="3918" spans="2:5">
      <c r="B3918" s="121">
        <v>341</v>
      </c>
      <c r="C3918" s="121">
        <v>7</v>
      </c>
      <c r="D3918" s="734">
        <v>139.56201886820037</v>
      </c>
      <c r="E3918" s="733"/>
    </row>
    <row r="3919" spans="2:5">
      <c r="B3919" s="121">
        <v>341</v>
      </c>
      <c r="C3919" s="121">
        <v>8</v>
      </c>
      <c r="D3919" s="734">
        <v>140.0816907591763</v>
      </c>
      <c r="E3919" s="733"/>
    </row>
    <row r="3920" spans="2:5">
      <c r="B3920" s="121">
        <v>341</v>
      </c>
      <c r="C3920" s="121">
        <v>9</v>
      </c>
      <c r="D3920" s="734">
        <v>136.76030438425727</v>
      </c>
      <c r="E3920" s="733"/>
    </row>
    <row r="3921" spans="2:5">
      <c r="B3921" s="121">
        <v>341</v>
      </c>
      <c r="C3921" s="121">
        <v>10</v>
      </c>
      <c r="D3921" s="734">
        <v>135.16989913108446</v>
      </c>
      <c r="E3921" s="733"/>
    </row>
    <row r="3922" spans="2:5">
      <c r="B3922" s="121">
        <v>341</v>
      </c>
      <c r="C3922" s="121">
        <v>11</v>
      </c>
      <c r="D3922" s="734">
        <v>134.66730070564816</v>
      </c>
      <c r="E3922" s="733"/>
    </row>
    <row r="3923" spans="2:5">
      <c r="B3923" s="121">
        <v>341</v>
      </c>
      <c r="C3923" s="121">
        <v>12</v>
      </c>
      <c r="D3923" s="734">
        <v>145.46331643251224</v>
      </c>
      <c r="E3923" s="733"/>
    </row>
    <row r="3924" spans="2:5">
      <c r="B3924" s="121">
        <v>341</v>
      </c>
      <c r="C3924" s="121">
        <v>13</v>
      </c>
      <c r="D3924" s="734">
        <v>137.6764717071901</v>
      </c>
      <c r="E3924" s="733"/>
    </row>
    <row r="3925" spans="2:5">
      <c r="B3925" s="121">
        <v>341</v>
      </c>
      <c r="C3925" s="121">
        <v>14</v>
      </c>
      <c r="D3925" s="734">
        <v>138.47555545014572</v>
      </c>
      <c r="E3925" s="733"/>
    </row>
    <row r="3926" spans="2:5">
      <c r="B3926" s="121">
        <v>341</v>
      </c>
      <c r="C3926" s="121">
        <v>15</v>
      </c>
      <c r="D3926" s="734">
        <v>135.68762377023418</v>
      </c>
      <c r="E3926" s="733"/>
    </row>
    <row r="3927" spans="2:5">
      <c r="B3927" s="121">
        <v>341</v>
      </c>
      <c r="C3927" s="121">
        <v>16</v>
      </c>
      <c r="D3927" s="734">
        <v>147.26905458087069</v>
      </c>
      <c r="E3927" s="733"/>
    </row>
    <row r="3928" spans="2:5">
      <c r="B3928" s="121">
        <v>341</v>
      </c>
      <c r="C3928" s="121">
        <v>17</v>
      </c>
      <c r="D3928" s="734">
        <v>137.24150769059932</v>
      </c>
      <c r="E3928" s="733"/>
    </row>
    <row r="3929" spans="2:5">
      <c r="B3929" s="121">
        <v>341</v>
      </c>
      <c r="C3929" s="121">
        <v>18</v>
      </c>
      <c r="D3929" s="734">
        <v>133.739078463731</v>
      </c>
      <c r="E3929" s="733"/>
    </row>
    <row r="3930" spans="2:5">
      <c r="B3930" s="121">
        <v>341</v>
      </c>
      <c r="C3930" s="121">
        <v>19</v>
      </c>
      <c r="D3930" s="734">
        <v>143.75390393446392</v>
      </c>
      <c r="E3930" s="733"/>
    </row>
    <row r="3931" spans="2:5">
      <c r="B3931" s="121">
        <v>341</v>
      </c>
      <c r="C3931" s="121">
        <v>20</v>
      </c>
      <c r="D3931" s="734">
        <v>141.33059191527397</v>
      </c>
      <c r="E3931" s="733"/>
    </row>
    <row r="3932" spans="2:5">
      <c r="B3932" s="121">
        <v>341</v>
      </c>
      <c r="C3932" s="121">
        <v>21</v>
      </c>
      <c r="D3932" s="734">
        <v>138.72171350936492</v>
      </c>
      <c r="E3932" s="733"/>
    </row>
    <row r="3933" spans="2:5">
      <c r="B3933" s="121">
        <v>341</v>
      </c>
      <c r="C3933" s="121">
        <v>22</v>
      </c>
      <c r="D3933" s="734">
        <v>138.29503516651658</v>
      </c>
      <c r="E3933" s="733"/>
    </row>
    <row r="3934" spans="2:5">
      <c r="B3934" s="121">
        <v>341</v>
      </c>
      <c r="C3934" s="121">
        <v>23</v>
      </c>
      <c r="D3934" s="734">
        <v>145.45456349278518</v>
      </c>
      <c r="E3934" s="733"/>
    </row>
    <row r="3935" spans="2:5">
      <c r="B3935" s="121">
        <v>341</v>
      </c>
      <c r="C3935" s="121">
        <v>24</v>
      </c>
      <c r="D3935" s="734">
        <v>138.84368741126426</v>
      </c>
      <c r="E3935" s="733"/>
    </row>
    <row r="3936" spans="2:5">
      <c r="B3936" s="121">
        <v>341</v>
      </c>
      <c r="C3936" s="121">
        <v>25</v>
      </c>
      <c r="D3936" s="734">
        <v>136.99472207531204</v>
      </c>
      <c r="E3936" s="733"/>
    </row>
    <row r="3937" spans="2:5">
      <c r="B3937" s="121">
        <v>341</v>
      </c>
      <c r="C3937" s="121">
        <v>26</v>
      </c>
      <c r="D3937" s="734">
        <v>143.00025270746701</v>
      </c>
      <c r="E3937" s="733"/>
    </row>
    <row r="3938" spans="2:5">
      <c r="B3938" s="121">
        <v>341</v>
      </c>
      <c r="C3938" s="121">
        <v>27</v>
      </c>
      <c r="D3938" s="734">
        <v>142.33426724603427</v>
      </c>
      <c r="E3938" s="733"/>
    </row>
    <row r="3939" spans="2:5">
      <c r="B3939" s="121">
        <v>341</v>
      </c>
      <c r="C3939" s="121">
        <v>28</v>
      </c>
      <c r="D3939" s="734">
        <v>140.41713537507439</v>
      </c>
      <c r="E3939" s="733"/>
    </row>
    <row r="3940" spans="2:5">
      <c r="B3940" s="121">
        <v>341</v>
      </c>
      <c r="C3940" s="121">
        <v>29</v>
      </c>
      <c r="D3940" s="734">
        <v>143.72878910544921</v>
      </c>
      <c r="E3940" s="733"/>
    </row>
    <row r="3941" spans="2:5">
      <c r="B3941" s="121">
        <v>341</v>
      </c>
      <c r="C3941" s="121">
        <v>30</v>
      </c>
      <c r="D3941" s="734">
        <v>143.89130845751762</v>
      </c>
      <c r="E3941" s="733"/>
    </row>
    <row r="3942" spans="2:5">
      <c r="B3942" s="121">
        <v>341</v>
      </c>
      <c r="C3942" s="121">
        <v>31</v>
      </c>
      <c r="D3942" s="734">
        <v>141.01210348502872</v>
      </c>
      <c r="E3942" s="733"/>
    </row>
    <row r="3943" spans="2:5">
      <c r="B3943" s="121">
        <v>341</v>
      </c>
      <c r="C3943" s="121">
        <v>32</v>
      </c>
      <c r="D3943" s="734">
        <v>145.59410984945978</v>
      </c>
      <c r="E3943" s="733"/>
    </row>
    <row r="3944" spans="2:5">
      <c r="B3944" s="121">
        <v>341</v>
      </c>
      <c r="C3944" s="121">
        <v>33</v>
      </c>
      <c r="D3944" s="734">
        <v>145.77824423399113</v>
      </c>
      <c r="E3944" s="733"/>
    </row>
    <row r="3945" spans="2:5">
      <c r="B3945" s="121">
        <v>341</v>
      </c>
      <c r="C3945" s="121">
        <v>34</v>
      </c>
      <c r="D3945" s="734">
        <v>135.80893794390622</v>
      </c>
      <c r="E3945" s="733"/>
    </row>
    <row r="3946" spans="2:5">
      <c r="B3946" s="121">
        <v>341</v>
      </c>
      <c r="C3946" s="121">
        <v>35</v>
      </c>
      <c r="D3946" s="734">
        <v>136.42170493743231</v>
      </c>
      <c r="E3946" s="733"/>
    </row>
    <row r="3947" spans="2:5">
      <c r="B3947" s="121">
        <v>341</v>
      </c>
      <c r="C3947" s="121">
        <v>36</v>
      </c>
      <c r="D3947" s="734">
        <v>140.73625299644814</v>
      </c>
      <c r="E3947" s="733"/>
    </row>
    <row r="3948" spans="2:5">
      <c r="B3948" s="121">
        <v>342</v>
      </c>
      <c r="C3948" s="121">
        <v>1</v>
      </c>
      <c r="D3948" s="734">
        <v>5</v>
      </c>
      <c r="E3948" s="733"/>
    </row>
    <row r="3949" spans="2:5">
      <c r="B3949" s="121">
        <v>342</v>
      </c>
      <c r="C3949" s="121">
        <v>2</v>
      </c>
      <c r="D3949" s="734">
        <v>101.51558480365435</v>
      </c>
      <c r="E3949" s="733"/>
    </row>
    <row r="3950" spans="2:5">
      <c r="B3950" s="121">
        <v>342</v>
      </c>
      <c r="C3950" s="121">
        <v>3</v>
      </c>
      <c r="D3950" s="734">
        <v>118.98683817824248</v>
      </c>
      <c r="E3950" s="733"/>
    </row>
    <row r="3951" spans="2:5">
      <c r="B3951" s="121">
        <v>342</v>
      </c>
      <c r="C3951" s="121">
        <v>4</v>
      </c>
      <c r="D3951" s="734">
        <v>135.98418816064208</v>
      </c>
      <c r="E3951" s="733"/>
    </row>
    <row r="3952" spans="2:5">
      <c r="B3952" s="121">
        <v>342</v>
      </c>
      <c r="C3952" s="121">
        <v>5</v>
      </c>
      <c r="D3952" s="734">
        <v>136.80689969294545</v>
      </c>
      <c r="E3952" s="733"/>
    </row>
    <row r="3953" spans="2:5">
      <c r="B3953" s="121">
        <v>342</v>
      </c>
      <c r="C3953" s="121">
        <v>6</v>
      </c>
      <c r="D3953" s="734">
        <v>137.32654558456576</v>
      </c>
      <c r="E3953" s="733"/>
    </row>
    <row r="3954" spans="2:5">
      <c r="B3954" s="121">
        <v>342</v>
      </c>
      <c r="C3954" s="121">
        <v>7</v>
      </c>
      <c r="D3954" s="734">
        <v>144.2831797673168</v>
      </c>
      <c r="E3954" s="733"/>
    </row>
    <row r="3955" spans="2:5">
      <c r="B3955" s="121">
        <v>342</v>
      </c>
      <c r="C3955" s="121">
        <v>8</v>
      </c>
      <c r="D3955" s="734">
        <v>146.39666937326535</v>
      </c>
      <c r="E3955" s="733"/>
    </row>
    <row r="3956" spans="2:5">
      <c r="B3956" s="121">
        <v>342</v>
      </c>
      <c r="C3956" s="121">
        <v>9</v>
      </c>
      <c r="D3956" s="734">
        <v>140.43496054661966</v>
      </c>
      <c r="E3956" s="733"/>
    </row>
    <row r="3957" spans="2:5">
      <c r="B3957" s="121">
        <v>342</v>
      </c>
      <c r="C3957" s="121">
        <v>10</v>
      </c>
      <c r="D3957" s="734">
        <v>142.78471188882213</v>
      </c>
      <c r="E3957" s="733"/>
    </row>
    <row r="3958" spans="2:5">
      <c r="B3958" s="121">
        <v>343</v>
      </c>
      <c r="C3958" s="121">
        <v>1</v>
      </c>
      <c r="D3958" s="734">
        <v>5</v>
      </c>
      <c r="E3958" s="733"/>
    </row>
    <row r="3959" spans="2:5">
      <c r="B3959" s="121">
        <v>344</v>
      </c>
      <c r="C3959" s="121">
        <v>1</v>
      </c>
      <c r="D3959" s="734">
        <v>5</v>
      </c>
      <c r="E3959" s="733"/>
    </row>
    <row r="3960" spans="2:5">
      <c r="B3960" s="121">
        <v>344</v>
      </c>
      <c r="C3960" s="121">
        <v>2</v>
      </c>
      <c r="D3960" s="734">
        <v>103.44731679295826</v>
      </c>
      <c r="E3960" s="733"/>
    </row>
    <row r="3961" spans="2:5">
      <c r="B3961" s="121">
        <v>344</v>
      </c>
      <c r="C3961" s="121">
        <v>3</v>
      </c>
      <c r="D3961" s="734">
        <v>123.75513506773608</v>
      </c>
      <c r="E3961" s="733"/>
    </row>
    <row r="3962" spans="2:5">
      <c r="B3962" s="121">
        <v>344</v>
      </c>
      <c r="C3962" s="121">
        <v>4</v>
      </c>
      <c r="D3962" s="734">
        <v>136.77467308341539</v>
      </c>
      <c r="E3962" s="733"/>
    </row>
    <row r="3963" spans="2:5">
      <c r="B3963" s="121">
        <v>344</v>
      </c>
      <c r="C3963" s="121">
        <v>5</v>
      </c>
      <c r="D3963" s="734">
        <v>143.45081044376712</v>
      </c>
      <c r="E3963" s="733"/>
    </row>
    <row r="3964" spans="2:5">
      <c r="B3964" s="121">
        <v>344</v>
      </c>
      <c r="C3964" s="121">
        <v>6</v>
      </c>
      <c r="D3964" s="734">
        <v>138.37234526892735</v>
      </c>
      <c r="E3964" s="733"/>
    </row>
    <row r="3965" spans="2:5">
      <c r="B3965" s="121">
        <v>344</v>
      </c>
      <c r="C3965" s="121">
        <v>7</v>
      </c>
      <c r="D3965" s="734">
        <v>146.86078742887324</v>
      </c>
      <c r="E3965" s="733"/>
    </row>
    <row r="3966" spans="2:5">
      <c r="B3966" s="121">
        <v>344</v>
      </c>
      <c r="C3966" s="121">
        <v>8</v>
      </c>
      <c r="D3966" s="734">
        <v>140.63492512496632</v>
      </c>
      <c r="E3966" s="733"/>
    </row>
    <row r="3967" spans="2:5">
      <c r="B3967" s="121">
        <v>344</v>
      </c>
      <c r="C3967" s="121">
        <v>9</v>
      </c>
      <c r="D3967" s="734">
        <v>146.22955552379253</v>
      </c>
      <c r="E3967" s="733"/>
    </row>
    <row r="3968" spans="2:5">
      <c r="B3968" s="121">
        <v>344</v>
      </c>
      <c r="C3968" s="121">
        <v>10</v>
      </c>
      <c r="D3968" s="734">
        <v>135.23654410255344</v>
      </c>
      <c r="E3968" s="733"/>
    </row>
    <row r="3969" spans="2:5">
      <c r="B3969" s="121">
        <v>344</v>
      </c>
      <c r="C3969" s="121">
        <v>11</v>
      </c>
      <c r="D3969" s="734">
        <v>136.88596442649413</v>
      </c>
      <c r="E3969" s="733"/>
    </row>
    <row r="3970" spans="2:5">
      <c r="B3970" s="121">
        <v>344</v>
      </c>
      <c r="C3970" s="121">
        <v>12</v>
      </c>
      <c r="D3970" s="734">
        <v>146.73546962153603</v>
      </c>
      <c r="E3970" s="733"/>
    </row>
    <row r="3971" spans="2:5">
      <c r="B3971" s="121">
        <v>344</v>
      </c>
      <c r="C3971" s="121">
        <v>13</v>
      </c>
      <c r="D3971" s="734">
        <v>139.44031576712584</v>
      </c>
      <c r="E3971" s="733"/>
    </row>
    <row r="3972" spans="2:5">
      <c r="B3972" s="121">
        <v>344</v>
      </c>
      <c r="C3972" s="121">
        <v>14</v>
      </c>
      <c r="D3972" s="734">
        <v>146.47102243173231</v>
      </c>
      <c r="E3972" s="733"/>
    </row>
    <row r="3973" spans="2:5">
      <c r="B3973" s="121">
        <v>344</v>
      </c>
      <c r="C3973" s="121">
        <v>15</v>
      </c>
      <c r="D3973" s="734">
        <v>138.42029455569795</v>
      </c>
      <c r="E3973" s="733"/>
    </row>
    <row r="3974" spans="2:5">
      <c r="B3974" s="121">
        <v>344</v>
      </c>
      <c r="C3974" s="121">
        <v>16</v>
      </c>
      <c r="D3974" s="734">
        <v>145.91618473612965</v>
      </c>
      <c r="E3974" s="733"/>
    </row>
    <row r="3975" spans="2:5">
      <c r="B3975" s="121">
        <v>344</v>
      </c>
      <c r="C3975" s="121">
        <v>17</v>
      </c>
      <c r="D3975" s="734">
        <v>138.43714345979876</v>
      </c>
      <c r="E3975" s="733"/>
    </row>
    <row r="3976" spans="2:5">
      <c r="B3976" s="121">
        <v>344</v>
      </c>
      <c r="C3976" s="121">
        <v>18</v>
      </c>
      <c r="D3976" s="734">
        <v>145.8336063399725</v>
      </c>
      <c r="E3976" s="733"/>
    </row>
    <row r="3977" spans="2:5">
      <c r="B3977" s="121">
        <v>344</v>
      </c>
      <c r="C3977" s="121">
        <v>19</v>
      </c>
      <c r="D3977" s="734">
        <v>146.51975499158286</v>
      </c>
      <c r="E3977" s="733"/>
    </row>
    <row r="3978" spans="2:5">
      <c r="B3978" s="121">
        <v>344</v>
      </c>
      <c r="C3978" s="121">
        <v>20</v>
      </c>
      <c r="D3978" s="734">
        <v>136.67154320868974</v>
      </c>
      <c r="E3978" s="733"/>
    </row>
    <row r="3979" spans="2:5">
      <c r="B3979" s="121">
        <v>345</v>
      </c>
      <c r="C3979" s="121">
        <v>1</v>
      </c>
      <c r="D3979" s="734">
        <v>5</v>
      </c>
      <c r="E3979" s="733"/>
    </row>
    <row r="3980" spans="2:5">
      <c r="B3980" s="121">
        <v>345</v>
      </c>
      <c r="C3980" s="121">
        <v>2</v>
      </c>
      <c r="D3980" s="734">
        <v>95.633343995737192</v>
      </c>
      <c r="E3980" s="733"/>
    </row>
    <row r="3981" spans="2:5">
      <c r="B3981" s="121">
        <v>345</v>
      </c>
      <c r="C3981" s="121">
        <v>3</v>
      </c>
      <c r="D3981" s="734">
        <v>116.68142814534086</v>
      </c>
      <c r="E3981" s="733"/>
    </row>
    <row r="3982" spans="2:5">
      <c r="B3982" s="121">
        <v>345</v>
      </c>
      <c r="C3982" s="121">
        <v>4</v>
      </c>
      <c r="D3982" s="734">
        <v>146.62145057527744</v>
      </c>
      <c r="E3982" s="733"/>
    </row>
    <row r="3983" spans="2:5">
      <c r="B3983" s="121">
        <v>345</v>
      </c>
      <c r="C3983" s="121">
        <v>5</v>
      </c>
      <c r="D3983" s="734">
        <v>138.80961975891805</v>
      </c>
      <c r="E3983" s="733"/>
    </row>
    <row r="3984" spans="2:5">
      <c r="B3984" s="121">
        <v>345</v>
      </c>
      <c r="C3984" s="121">
        <v>6</v>
      </c>
      <c r="D3984" s="734">
        <v>136.28085381334219</v>
      </c>
      <c r="E3984" s="733"/>
    </row>
    <row r="3985" spans="2:5">
      <c r="B3985" s="121">
        <v>345</v>
      </c>
      <c r="C3985" s="121">
        <v>7</v>
      </c>
      <c r="D3985" s="734">
        <v>138.78739877980678</v>
      </c>
      <c r="E3985" s="733"/>
    </row>
    <row r="3986" spans="2:5">
      <c r="B3986" s="121">
        <v>345</v>
      </c>
      <c r="C3986" s="121">
        <v>8</v>
      </c>
      <c r="D3986" s="734">
        <v>142.7697886822813</v>
      </c>
      <c r="E3986" s="733"/>
    </row>
    <row r="3987" spans="2:5">
      <c r="B3987" s="121">
        <v>345</v>
      </c>
      <c r="C3987" s="121">
        <v>9</v>
      </c>
      <c r="D3987" s="734">
        <v>136.72838819445786</v>
      </c>
      <c r="E3987" s="733"/>
    </row>
    <row r="3988" spans="2:5">
      <c r="B3988" s="121">
        <v>345</v>
      </c>
      <c r="C3988" s="121">
        <v>10</v>
      </c>
      <c r="D3988" s="734">
        <v>142.76968240595403</v>
      </c>
      <c r="E3988" s="733"/>
    </row>
    <row r="3989" spans="2:5">
      <c r="B3989" s="121">
        <v>345</v>
      </c>
      <c r="C3989" s="121">
        <v>11</v>
      </c>
      <c r="D3989" s="734">
        <v>141.32492299341266</v>
      </c>
      <c r="E3989" s="733"/>
    </row>
    <row r="3990" spans="2:5">
      <c r="B3990" s="121">
        <v>345</v>
      </c>
      <c r="C3990" s="121">
        <v>12</v>
      </c>
      <c r="D3990" s="734">
        <v>139.04958820877559</v>
      </c>
      <c r="E3990" s="733"/>
    </row>
    <row r="3991" spans="2:5">
      <c r="B3991" s="121">
        <v>345</v>
      </c>
      <c r="C3991" s="121">
        <v>13</v>
      </c>
      <c r="D3991" s="734">
        <v>135.43484819749696</v>
      </c>
      <c r="E3991" s="733"/>
    </row>
    <row r="3992" spans="2:5">
      <c r="B3992" s="121">
        <v>345</v>
      </c>
      <c r="C3992" s="121">
        <v>14</v>
      </c>
      <c r="D3992" s="734">
        <v>135.22619648495791</v>
      </c>
      <c r="E3992" s="733"/>
    </row>
    <row r="3993" spans="2:5">
      <c r="B3993" s="121">
        <v>345</v>
      </c>
      <c r="C3993" s="121">
        <v>15</v>
      </c>
      <c r="D3993" s="734">
        <v>145.70467524267161</v>
      </c>
      <c r="E3993" s="733"/>
    </row>
    <row r="3994" spans="2:5">
      <c r="B3994" s="121">
        <v>345</v>
      </c>
      <c r="C3994" s="121">
        <v>16</v>
      </c>
      <c r="D3994" s="734">
        <v>140.35272634028456</v>
      </c>
      <c r="E3994" s="733"/>
    </row>
    <row r="3995" spans="2:5">
      <c r="B3995" s="121">
        <v>345</v>
      </c>
      <c r="C3995" s="121">
        <v>17</v>
      </c>
      <c r="D3995" s="734">
        <v>139.84112145320444</v>
      </c>
      <c r="E3995" s="733"/>
    </row>
    <row r="3996" spans="2:5">
      <c r="B3996" s="121">
        <v>345</v>
      </c>
      <c r="C3996" s="121">
        <v>18</v>
      </c>
      <c r="D3996" s="734">
        <v>145.99756328217711</v>
      </c>
      <c r="E3996" s="733"/>
    </row>
    <row r="3997" spans="2:5">
      <c r="B3997" s="121">
        <v>345</v>
      </c>
      <c r="C3997" s="121">
        <v>19</v>
      </c>
      <c r="D3997" s="734">
        <v>141.46473660145861</v>
      </c>
      <c r="E3997" s="733"/>
    </row>
    <row r="3998" spans="2:5">
      <c r="B3998" s="121">
        <v>345</v>
      </c>
      <c r="C3998" s="121">
        <v>20</v>
      </c>
      <c r="D3998" s="734">
        <v>146.63463191960824</v>
      </c>
      <c r="E3998" s="733"/>
    </row>
    <row r="3999" spans="2:5">
      <c r="B3999" s="121">
        <v>345</v>
      </c>
      <c r="C3999" s="121">
        <v>21</v>
      </c>
      <c r="D3999" s="734">
        <v>146.60839246896384</v>
      </c>
      <c r="E3999" s="733"/>
    </row>
    <row r="4000" spans="2:5">
      <c r="B4000" s="121">
        <v>345</v>
      </c>
      <c r="C4000" s="121">
        <v>22</v>
      </c>
      <c r="D4000" s="734">
        <v>140.71203166041786</v>
      </c>
      <c r="E4000" s="733"/>
    </row>
    <row r="4001" spans="2:5">
      <c r="B4001" s="121">
        <v>345</v>
      </c>
      <c r="C4001" s="121">
        <v>23</v>
      </c>
      <c r="D4001" s="734">
        <v>138.83116363596017</v>
      </c>
      <c r="E4001" s="733"/>
    </row>
    <row r="4002" spans="2:5">
      <c r="B4002" s="121">
        <v>345</v>
      </c>
      <c r="C4002" s="121">
        <v>24</v>
      </c>
      <c r="D4002" s="734">
        <v>136.66600142163108</v>
      </c>
      <c r="E4002" s="733"/>
    </row>
    <row r="4003" spans="2:5">
      <c r="B4003" s="121">
        <v>345</v>
      </c>
      <c r="C4003" s="121">
        <v>25</v>
      </c>
      <c r="D4003" s="734">
        <v>143.26940648534818</v>
      </c>
      <c r="E4003" s="733"/>
    </row>
    <row r="4004" spans="2:5">
      <c r="B4004" s="121">
        <v>345</v>
      </c>
      <c r="C4004" s="121">
        <v>26</v>
      </c>
      <c r="D4004" s="734">
        <v>141.34448324202987</v>
      </c>
      <c r="E4004" s="733"/>
    </row>
    <row r="4005" spans="2:5">
      <c r="B4005" s="121">
        <v>345</v>
      </c>
      <c r="C4005" s="121">
        <v>27</v>
      </c>
      <c r="D4005" s="734">
        <v>140.7537304056458</v>
      </c>
      <c r="E4005" s="733"/>
    </row>
    <row r="4006" spans="2:5">
      <c r="B4006" s="121">
        <v>346</v>
      </c>
      <c r="C4006" s="121">
        <v>1</v>
      </c>
      <c r="D4006" s="734">
        <v>5</v>
      </c>
      <c r="E4006" s="733"/>
    </row>
    <row r="4007" spans="2:5">
      <c r="B4007" s="121">
        <v>346</v>
      </c>
      <c r="C4007" s="121">
        <v>2</v>
      </c>
      <c r="D4007" s="734">
        <v>101.61564583309681</v>
      </c>
      <c r="E4007" s="733"/>
    </row>
    <row r="4008" spans="2:5">
      <c r="B4008" s="121">
        <v>346</v>
      </c>
      <c r="C4008" s="121">
        <v>3</v>
      </c>
      <c r="D4008" s="734">
        <v>119.63446292910655</v>
      </c>
      <c r="E4008" s="733"/>
    </row>
    <row r="4009" spans="2:5">
      <c r="B4009" s="121">
        <v>346</v>
      </c>
      <c r="C4009" s="121">
        <v>4</v>
      </c>
      <c r="D4009" s="734">
        <v>140.24467886966573</v>
      </c>
      <c r="E4009" s="733"/>
    </row>
    <row r="4010" spans="2:5">
      <c r="B4010" s="121">
        <v>346</v>
      </c>
      <c r="C4010" s="121">
        <v>5</v>
      </c>
      <c r="D4010" s="734">
        <v>139.1960543583308</v>
      </c>
      <c r="E4010" s="733"/>
    </row>
    <row r="4011" spans="2:5">
      <c r="B4011" s="121">
        <v>346</v>
      </c>
      <c r="C4011" s="121">
        <v>6</v>
      </c>
      <c r="D4011" s="734">
        <v>138.49061617292634</v>
      </c>
      <c r="E4011" s="733"/>
    </row>
    <row r="4012" spans="2:5">
      <c r="B4012" s="121">
        <v>346</v>
      </c>
      <c r="C4012" s="121">
        <v>7</v>
      </c>
      <c r="D4012" s="734">
        <v>144.50626390000718</v>
      </c>
      <c r="E4012" s="733"/>
    </row>
    <row r="4013" spans="2:5">
      <c r="B4013" s="121">
        <v>346</v>
      </c>
      <c r="C4013" s="121">
        <v>8</v>
      </c>
      <c r="D4013" s="734">
        <v>139.78044005491921</v>
      </c>
      <c r="E4013" s="733"/>
    </row>
    <row r="4014" spans="2:5">
      <c r="B4014" s="121">
        <v>346</v>
      </c>
      <c r="C4014" s="121">
        <v>9</v>
      </c>
      <c r="D4014" s="734">
        <v>134.69350322047222</v>
      </c>
      <c r="E4014" s="733"/>
    </row>
    <row r="4015" spans="2:5">
      <c r="B4015" s="121">
        <v>346</v>
      </c>
      <c r="C4015" s="121">
        <v>10</v>
      </c>
      <c r="D4015" s="734">
        <v>136.86204267974207</v>
      </c>
      <c r="E4015" s="733"/>
    </row>
    <row r="4016" spans="2:5">
      <c r="B4016" s="121">
        <v>347</v>
      </c>
      <c r="C4016" s="121">
        <v>1</v>
      </c>
      <c r="D4016" s="734">
        <v>5</v>
      </c>
      <c r="E4016" s="733"/>
    </row>
    <row r="4017" spans="2:5">
      <c r="B4017" s="121">
        <v>348</v>
      </c>
      <c r="C4017" s="121">
        <v>1</v>
      </c>
      <c r="D4017" s="734">
        <v>5</v>
      </c>
      <c r="E4017" s="733"/>
    </row>
    <row r="4018" spans="2:5">
      <c r="B4018" s="121">
        <v>348</v>
      </c>
      <c r="C4018" s="121">
        <v>2</v>
      </c>
      <c r="D4018" s="734">
        <v>100.57786774257353</v>
      </c>
      <c r="E4018" s="733"/>
    </row>
    <row r="4019" spans="2:5">
      <c r="B4019" s="121">
        <v>348</v>
      </c>
      <c r="C4019" s="121">
        <v>3</v>
      </c>
      <c r="D4019" s="734">
        <v>114.25939097968033</v>
      </c>
      <c r="E4019" s="733"/>
    </row>
    <row r="4020" spans="2:5">
      <c r="B4020" s="121">
        <v>348</v>
      </c>
      <c r="C4020" s="121">
        <v>4</v>
      </c>
      <c r="D4020" s="734">
        <v>145.50656442830586</v>
      </c>
      <c r="E4020" s="733"/>
    </row>
    <row r="4021" spans="2:5">
      <c r="B4021" s="121">
        <v>348</v>
      </c>
      <c r="C4021" s="121">
        <v>5</v>
      </c>
      <c r="D4021" s="734">
        <v>146.09410789822087</v>
      </c>
      <c r="E4021" s="733"/>
    </row>
    <row r="4022" spans="2:5">
      <c r="B4022" s="121">
        <v>348</v>
      </c>
      <c r="C4022" s="121">
        <v>6</v>
      </c>
      <c r="D4022" s="734">
        <v>133.73761672334487</v>
      </c>
      <c r="E4022" s="733"/>
    </row>
    <row r="4023" spans="2:5">
      <c r="B4023" s="121">
        <v>348</v>
      </c>
      <c r="C4023" s="121">
        <v>7</v>
      </c>
      <c r="D4023" s="734">
        <v>146.72410763946192</v>
      </c>
      <c r="E4023" s="733"/>
    </row>
    <row r="4024" spans="2:5">
      <c r="B4024" s="121">
        <v>348</v>
      </c>
      <c r="C4024" s="121">
        <v>8</v>
      </c>
      <c r="D4024" s="734">
        <v>138.18140570067081</v>
      </c>
      <c r="E4024" s="733"/>
    </row>
    <row r="4025" spans="2:5">
      <c r="B4025" s="121">
        <v>348</v>
      </c>
      <c r="C4025" s="121">
        <v>9</v>
      </c>
      <c r="D4025" s="734">
        <v>142.03373506126695</v>
      </c>
      <c r="E4025" s="733"/>
    </row>
    <row r="4026" spans="2:5">
      <c r="B4026" s="121">
        <v>348</v>
      </c>
      <c r="C4026" s="121">
        <v>10</v>
      </c>
      <c r="D4026" s="734">
        <v>136.85007501303321</v>
      </c>
      <c r="E4026" s="733"/>
    </row>
    <row r="4027" spans="2:5">
      <c r="B4027" s="121">
        <v>348</v>
      </c>
      <c r="C4027" s="121">
        <v>11</v>
      </c>
      <c r="D4027" s="734">
        <v>145.21578524391018</v>
      </c>
      <c r="E4027" s="733"/>
    </row>
    <row r="4028" spans="2:5">
      <c r="B4028" s="121">
        <v>348</v>
      </c>
      <c r="C4028" s="121">
        <v>12</v>
      </c>
      <c r="D4028" s="734">
        <v>133.91094320221546</v>
      </c>
      <c r="E4028" s="733"/>
    </row>
    <row r="4029" spans="2:5">
      <c r="B4029" s="121">
        <v>348</v>
      </c>
      <c r="C4029" s="121">
        <v>13</v>
      </c>
      <c r="D4029" s="734">
        <v>140.77496643439855</v>
      </c>
      <c r="E4029" s="733"/>
    </row>
    <row r="4030" spans="2:5">
      <c r="B4030" s="121">
        <v>348</v>
      </c>
      <c r="C4030" s="121">
        <v>14</v>
      </c>
      <c r="D4030" s="734">
        <v>140.71629434951711</v>
      </c>
      <c r="E4030" s="733"/>
    </row>
    <row r="4031" spans="2:5">
      <c r="B4031" s="121">
        <v>348</v>
      </c>
      <c r="C4031" s="121">
        <v>15</v>
      </c>
      <c r="D4031" s="734">
        <v>146.42591927279818</v>
      </c>
      <c r="E4031" s="733"/>
    </row>
    <row r="4032" spans="2:5">
      <c r="B4032" s="121">
        <v>348</v>
      </c>
      <c r="C4032" s="121">
        <v>16</v>
      </c>
      <c r="D4032" s="734">
        <v>134.92031484093908</v>
      </c>
      <c r="E4032" s="733"/>
    </row>
    <row r="4033" spans="2:5">
      <c r="B4033" s="121">
        <v>348</v>
      </c>
      <c r="C4033" s="121">
        <v>17</v>
      </c>
      <c r="D4033" s="734">
        <v>141.83856880756571</v>
      </c>
      <c r="E4033" s="733"/>
    </row>
    <row r="4034" spans="2:5">
      <c r="B4034" s="121">
        <v>348</v>
      </c>
      <c r="C4034" s="121">
        <v>18</v>
      </c>
      <c r="D4034" s="734">
        <v>135.89553965370811</v>
      </c>
      <c r="E4034" s="733"/>
    </row>
    <row r="4035" spans="2:5">
      <c r="B4035" s="121">
        <v>348</v>
      </c>
      <c r="C4035" s="121">
        <v>19</v>
      </c>
      <c r="D4035" s="734">
        <v>137.77256322718713</v>
      </c>
      <c r="E4035" s="733"/>
    </row>
    <row r="4036" spans="2:5">
      <c r="B4036" s="121">
        <v>348</v>
      </c>
      <c r="C4036" s="121">
        <v>20</v>
      </c>
      <c r="D4036" s="734">
        <v>141.89411110555258</v>
      </c>
      <c r="E4036" s="733"/>
    </row>
    <row r="4037" spans="2:5">
      <c r="B4037" s="121">
        <v>348</v>
      </c>
      <c r="C4037" s="121">
        <v>21</v>
      </c>
      <c r="D4037" s="734">
        <v>146.3126705829811</v>
      </c>
      <c r="E4037" s="733"/>
    </row>
    <row r="4038" spans="2:5">
      <c r="B4038" s="121">
        <v>348</v>
      </c>
      <c r="C4038" s="121">
        <v>22</v>
      </c>
      <c r="D4038" s="734">
        <v>144.99067463963084</v>
      </c>
      <c r="E4038" s="733"/>
    </row>
    <row r="4039" spans="2:5">
      <c r="B4039" s="121">
        <v>348</v>
      </c>
      <c r="C4039" s="121">
        <v>23</v>
      </c>
      <c r="D4039" s="734">
        <v>139.70209100305925</v>
      </c>
      <c r="E4039" s="733"/>
    </row>
    <row r="4040" spans="2:5">
      <c r="B4040" s="121">
        <v>348</v>
      </c>
      <c r="C4040" s="121">
        <v>24</v>
      </c>
      <c r="D4040" s="734">
        <v>137.78468732823754</v>
      </c>
      <c r="E4040" s="733"/>
    </row>
    <row r="4041" spans="2:5">
      <c r="B4041" s="121">
        <v>348</v>
      </c>
      <c r="C4041" s="121">
        <v>25</v>
      </c>
      <c r="D4041" s="734">
        <v>141.95347633305116</v>
      </c>
      <c r="E4041" s="733"/>
    </row>
    <row r="4042" spans="2:5">
      <c r="B4042" s="121">
        <v>348</v>
      </c>
      <c r="C4042" s="121">
        <v>26</v>
      </c>
      <c r="D4042" s="734">
        <v>135.04027087409608</v>
      </c>
      <c r="E4042" s="733"/>
    </row>
    <row r="4043" spans="2:5">
      <c r="B4043" s="121">
        <v>348</v>
      </c>
      <c r="C4043" s="121">
        <v>27</v>
      </c>
      <c r="D4043" s="734">
        <v>142.39193437641026</v>
      </c>
      <c r="E4043" s="733"/>
    </row>
    <row r="4044" spans="2:5">
      <c r="B4044" s="121">
        <v>348</v>
      </c>
      <c r="C4044" s="121">
        <v>28</v>
      </c>
      <c r="D4044" s="734">
        <v>141.46196328782131</v>
      </c>
      <c r="E4044" s="733"/>
    </row>
    <row r="4045" spans="2:5">
      <c r="B4045" s="121">
        <v>348</v>
      </c>
      <c r="C4045" s="121">
        <v>29</v>
      </c>
      <c r="D4045" s="734">
        <v>135.93185265165621</v>
      </c>
      <c r="E4045" s="733"/>
    </row>
    <row r="4046" spans="2:5">
      <c r="B4046" s="121">
        <v>348</v>
      </c>
      <c r="C4046" s="121">
        <v>30</v>
      </c>
      <c r="D4046" s="734">
        <v>145.23549223796846</v>
      </c>
      <c r="E4046" s="733"/>
    </row>
    <row r="4047" spans="2:5">
      <c r="B4047" s="121">
        <v>349</v>
      </c>
      <c r="C4047" s="121">
        <v>1</v>
      </c>
      <c r="D4047" s="734">
        <v>5</v>
      </c>
      <c r="E4047" s="733"/>
    </row>
    <row r="4048" spans="2:5">
      <c r="B4048" s="121">
        <v>349</v>
      </c>
      <c r="C4048" s="121">
        <v>2</v>
      </c>
      <c r="D4048" s="734">
        <v>100.81618420424134</v>
      </c>
      <c r="E4048" s="733"/>
    </row>
    <row r="4049" spans="2:5">
      <c r="B4049" s="121">
        <v>349</v>
      </c>
      <c r="C4049" s="121">
        <v>3</v>
      </c>
      <c r="D4049" s="734">
        <v>121.10188826171797</v>
      </c>
      <c r="E4049" s="733"/>
    </row>
    <row r="4050" spans="2:5">
      <c r="B4050" s="121">
        <v>349</v>
      </c>
      <c r="C4050" s="121">
        <v>4</v>
      </c>
      <c r="D4050" s="734">
        <v>145.54438259224955</v>
      </c>
      <c r="E4050" s="733"/>
    </row>
    <row r="4051" spans="2:5">
      <c r="B4051" s="121">
        <v>349</v>
      </c>
      <c r="C4051" s="121">
        <v>5</v>
      </c>
      <c r="D4051" s="734">
        <v>144.46533122924379</v>
      </c>
      <c r="E4051" s="733"/>
    </row>
    <row r="4052" spans="2:5">
      <c r="B4052" s="121">
        <v>349</v>
      </c>
      <c r="C4052" s="121">
        <v>6</v>
      </c>
      <c r="D4052" s="734">
        <v>140.52550227261571</v>
      </c>
      <c r="E4052" s="733"/>
    </row>
    <row r="4053" spans="2:5">
      <c r="B4053" s="121">
        <v>349</v>
      </c>
      <c r="C4053" s="121">
        <v>7</v>
      </c>
      <c r="D4053" s="734">
        <v>141.64644134763128</v>
      </c>
      <c r="E4053" s="733"/>
    </row>
    <row r="4054" spans="2:5">
      <c r="B4054" s="121">
        <v>349</v>
      </c>
      <c r="C4054" s="121">
        <v>8</v>
      </c>
      <c r="D4054" s="734">
        <v>136.64996878843576</v>
      </c>
      <c r="E4054" s="733"/>
    </row>
    <row r="4055" spans="2:5">
      <c r="B4055" s="121">
        <v>349</v>
      </c>
      <c r="C4055" s="121">
        <v>9</v>
      </c>
      <c r="D4055" s="734">
        <v>137.6634730151159</v>
      </c>
      <c r="E4055" s="733"/>
    </row>
    <row r="4056" spans="2:5">
      <c r="B4056" s="121">
        <v>349</v>
      </c>
      <c r="C4056" s="121">
        <v>10</v>
      </c>
      <c r="D4056" s="734">
        <v>135.29712133864709</v>
      </c>
      <c r="E4056" s="733"/>
    </row>
    <row r="4057" spans="2:5">
      <c r="B4057" s="121">
        <v>349</v>
      </c>
      <c r="C4057" s="121">
        <v>11</v>
      </c>
      <c r="D4057" s="734">
        <v>137.99307554364509</v>
      </c>
      <c r="E4057" s="733"/>
    </row>
    <row r="4058" spans="2:5">
      <c r="B4058" s="121">
        <v>350</v>
      </c>
      <c r="C4058" s="121">
        <v>1</v>
      </c>
      <c r="D4058" s="734">
        <v>5</v>
      </c>
      <c r="E4058" s="733"/>
    </row>
    <row r="4059" spans="2:5">
      <c r="B4059" s="121">
        <v>350</v>
      </c>
      <c r="C4059" s="121">
        <v>2</v>
      </c>
      <c r="D4059" s="734">
        <v>98.303953650335544</v>
      </c>
      <c r="E4059" s="733"/>
    </row>
    <row r="4060" spans="2:5">
      <c r="B4060" s="121">
        <v>350</v>
      </c>
      <c r="C4060" s="121">
        <v>3</v>
      </c>
      <c r="D4060" s="734">
        <v>123.76427986794155</v>
      </c>
      <c r="E4060" s="733"/>
    </row>
    <row r="4061" spans="2:5">
      <c r="B4061" s="121">
        <v>350</v>
      </c>
      <c r="C4061" s="121">
        <v>4</v>
      </c>
      <c r="D4061" s="734">
        <v>146.29857105795259</v>
      </c>
      <c r="E4061" s="733"/>
    </row>
    <row r="4062" spans="2:5">
      <c r="B4062" s="121">
        <v>350</v>
      </c>
      <c r="C4062" s="121">
        <v>5</v>
      </c>
      <c r="D4062" s="734">
        <v>141.74455700315838</v>
      </c>
      <c r="E4062" s="733"/>
    </row>
    <row r="4063" spans="2:5">
      <c r="B4063" s="121">
        <v>350</v>
      </c>
      <c r="C4063" s="121">
        <v>6</v>
      </c>
      <c r="D4063" s="734">
        <v>146.93591903092977</v>
      </c>
      <c r="E4063" s="733"/>
    </row>
    <row r="4064" spans="2:5">
      <c r="B4064" s="121">
        <v>350</v>
      </c>
      <c r="C4064" s="121">
        <v>7</v>
      </c>
      <c r="D4064" s="734">
        <v>138.4861167140611</v>
      </c>
      <c r="E4064" s="733"/>
    </row>
    <row r="4065" spans="2:5">
      <c r="B4065" s="121">
        <v>351</v>
      </c>
      <c r="C4065" s="121">
        <v>1</v>
      </c>
      <c r="D4065" s="734">
        <v>5</v>
      </c>
      <c r="E4065" s="733"/>
    </row>
    <row r="4066" spans="2:5">
      <c r="B4066" s="121">
        <v>351</v>
      </c>
      <c r="C4066" s="121">
        <v>2</v>
      </c>
      <c r="D4066" s="734">
        <v>102.99596919155358</v>
      </c>
      <c r="E4066" s="733"/>
    </row>
    <row r="4067" spans="2:5">
      <c r="B4067" s="121">
        <v>351</v>
      </c>
      <c r="C4067" s="121">
        <v>3</v>
      </c>
      <c r="D4067" s="734">
        <v>115.01649673853828</v>
      </c>
      <c r="E4067" s="733"/>
    </row>
    <row r="4068" spans="2:5">
      <c r="B4068" s="121">
        <v>351</v>
      </c>
      <c r="C4068" s="121">
        <v>4</v>
      </c>
      <c r="D4068" s="734">
        <v>143.64277271675263</v>
      </c>
      <c r="E4068" s="733"/>
    </row>
    <row r="4069" spans="2:5">
      <c r="B4069" s="121">
        <v>351</v>
      </c>
      <c r="C4069" s="121">
        <v>5</v>
      </c>
      <c r="D4069" s="734">
        <v>144.78782601894198</v>
      </c>
      <c r="E4069" s="733"/>
    </row>
    <row r="4070" spans="2:5">
      <c r="B4070" s="121">
        <v>351</v>
      </c>
      <c r="C4070" s="121">
        <v>6</v>
      </c>
      <c r="D4070" s="734">
        <v>141.39429049605701</v>
      </c>
      <c r="E4070" s="733"/>
    </row>
    <row r="4071" spans="2:5">
      <c r="B4071" s="121">
        <v>351</v>
      </c>
      <c r="C4071" s="121">
        <v>7</v>
      </c>
      <c r="D4071" s="734">
        <v>140.58041924558006</v>
      </c>
      <c r="E4071" s="733"/>
    </row>
    <row r="4072" spans="2:5">
      <c r="B4072" s="121">
        <v>351</v>
      </c>
      <c r="C4072" s="121">
        <v>8</v>
      </c>
      <c r="D4072" s="734">
        <v>140.83729960402997</v>
      </c>
      <c r="E4072" s="733"/>
    </row>
    <row r="4073" spans="2:5">
      <c r="B4073" s="121">
        <v>351</v>
      </c>
      <c r="C4073" s="121">
        <v>9</v>
      </c>
      <c r="D4073" s="734">
        <v>135.71226493089981</v>
      </c>
      <c r="E4073" s="733"/>
    </row>
    <row r="4074" spans="2:5">
      <c r="B4074" s="121">
        <v>351</v>
      </c>
      <c r="C4074" s="121">
        <v>10</v>
      </c>
      <c r="D4074" s="734">
        <v>145.39142746282522</v>
      </c>
      <c r="E4074" s="733"/>
    </row>
    <row r="4075" spans="2:5">
      <c r="B4075" s="121">
        <v>351</v>
      </c>
      <c r="C4075" s="121">
        <v>11</v>
      </c>
      <c r="D4075" s="734">
        <v>144.634760160947</v>
      </c>
      <c r="E4075" s="733"/>
    </row>
    <row r="4076" spans="2:5">
      <c r="B4076" s="121">
        <v>351</v>
      </c>
      <c r="C4076" s="121">
        <v>12</v>
      </c>
      <c r="D4076" s="734">
        <v>139.22276665727716</v>
      </c>
      <c r="E4076" s="733"/>
    </row>
    <row r="4077" spans="2:5">
      <c r="B4077" s="121">
        <v>351</v>
      </c>
      <c r="C4077" s="121">
        <v>13</v>
      </c>
      <c r="D4077" s="734">
        <v>139.75365409892447</v>
      </c>
      <c r="E4077" s="733"/>
    </row>
    <row r="4078" spans="2:5">
      <c r="B4078" s="121">
        <v>351</v>
      </c>
      <c r="C4078" s="121">
        <v>14</v>
      </c>
      <c r="D4078" s="734">
        <v>140.53950457336941</v>
      </c>
      <c r="E4078" s="733"/>
    </row>
    <row r="4079" spans="2:5">
      <c r="B4079" s="121">
        <v>351</v>
      </c>
      <c r="C4079" s="121">
        <v>15</v>
      </c>
      <c r="D4079" s="734">
        <v>139.70642889894867</v>
      </c>
      <c r="E4079" s="733"/>
    </row>
    <row r="4080" spans="2:5">
      <c r="B4080" s="121">
        <v>351</v>
      </c>
      <c r="C4080" s="121">
        <v>16</v>
      </c>
      <c r="D4080" s="734">
        <v>145.81499149517865</v>
      </c>
      <c r="E4080" s="733"/>
    </row>
    <row r="4081" spans="2:5">
      <c r="B4081" s="121">
        <v>351</v>
      </c>
      <c r="C4081" s="121">
        <v>17</v>
      </c>
      <c r="D4081" s="734">
        <v>146.81495087015873</v>
      </c>
      <c r="E4081" s="733"/>
    </row>
    <row r="4082" spans="2:5">
      <c r="B4082" s="121">
        <v>351</v>
      </c>
      <c r="C4082" s="121">
        <v>18</v>
      </c>
      <c r="D4082" s="734">
        <v>142.68596666971268</v>
      </c>
      <c r="E4082" s="733"/>
    </row>
    <row r="4083" spans="2:5">
      <c r="B4083" s="121">
        <v>351</v>
      </c>
      <c r="C4083" s="121">
        <v>19</v>
      </c>
      <c r="D4083" s="734">
        <v>137.70997504562604</v>
      </c>
      <c r="E4083" s="733"/>
    </row>
    <row r="4084" spans="2:5">
      <c r="B4084" s="121">
        <v>351</v>
      </c>
      <c r="C4084" s="121">
        <v>20</v>
      </c>
      <c r="D4084" s="734">
        <v>137.24887639740561</v>
      </c>
      <c r="E4084" s="733"/>
    </row>
    <row r="4085" spans="2:5">
      <c r="B4085" s="121">
        <v>351</v>
      </c>
      <c r="C4085" s="121">
        <v>21</v>
      </c>
      <c r="D4085" s="734">
        <v>137.05685298776055</v>
      </c>
      <c r="E4085" s="733"/>
    </row>
    <row r="4086" spans="2:5">
      <c r="B4086" s="121">
        <v>351</v>
      </c>
      <c r="C4086" s="121">
        <v>22</v>
      </c>
      <c r="D4086" s="734">
        <v>138.82643440659373</v>
      </c>
      <c r="E4086" s="733"/>
    </row>
    <row r="4087" spans="2:5">
      <c r="B4087" s="121">
        <v>351</v>
      </c>
      <c r="C4087" s="121">
        <v>23</v>
      </c>
      <c r="D4087" s="734">
        <v>137.61058686663591</v>
      </c>
      <c r="E4087" s="733"/>
    </row>
    <row r="4088" spans="2:5">
      <c r="B4088" s="121">
        <v>351</v>
      </c>
      <c r="C4088" s="121">
        <v>24</v>
      </c>
      <c r="D4088" s="734">
        <v>140.38919454053314</v>
      </c>
      <c r="E4088" s="733"/>
    </row>
    <row r="4089" spans="2:5">
      <c r="B4089" s="121">
        <v>351</v>
      </c>
      <c r="C4089" s="121">
        <v>25</v>
      </c>
      <c r="D4089" s="734">
        <v>135.44215308338298</v>
      </c>
      <c r="E4089" s="733"/>
    </row>
    <row r="4090" spans="2:5">
      <c r="B4090" s="121">
        <v>351</v>
      </c>
      <c r="C4090" s="121">
        <v>26</v>
      </c>
      <c r="D4090" s="734">
        <v>142.63996168399157</v>
      </c>
      <c r="E4090" s="733"/>
    </row>
    <row r="4091" spans="2:5">
      <c r="B4091" s="121">
        <v>351</v>
      </c>
      <c r="C4091" s="121">
        <v>27</v>
      </c>
      <c r="D4091" s="734">
        <v>134.74199123808637</v>
      </c>
      <c r="E4091" s="733"/>
    </row>
    <row r="4092" spans="2:5">
      <c r="B4092" s="121">
        <v>351</v>
      </c>
      <c r="C4092" s="121">
        <v>28</v>
      </c>
      <c r="D4092" s="734">
        <v>139.60387042203703</v>
      </c>
      <c r="E4092" s="733"/>
    </row>
    <row r="4093" spans="2:5">
      <c r="B4093" s="121">
        <v>351</v>
      </c>
      <c r="C4093" s="121">
        <v>29</v>
      </c>
      <c r="D4093" s="734">
        <v>146.74346523551753</v>
      </c>
      <c r="E4093" s="733"/>
    </row>
    <row r="4094" spans="2:5">
      <c r="B4094" s="121">
        <v>351</v>
      </c>
      <c r="C4094" s="121">
        <v>30</v>
      </c>
      <c r="D4094" s="734">
        <v>136.82623752710128</v>
      </c>
      <c r="E4094" s="733"/>
    </row>
    <row r="4095" spans="2:5">
      <c r="B4095" s="121">
        <v>351</v>
      </c>
      <c r="C4095" s="121">
        <v>31</v>
      </c>
      <c r="D4095" s="734">
        <v>140.97584053854814</v>
      </c>
      <c r="E4095" s="733"/>
    </row>
    <row r="4096" spans="2:5">
      <c r="B4096" s="121">
        <v>351</v>
      </c>
      <c r="C4096" s="121">
        <v>32</v>
      </c>
      <c r="D4096" s="734">
        <v>144.69043456226396</v>
      </c>
      <c r="E4096" s="733"/>
    </row>
    <row r="4097" spans="2:5">
      <c r="B4097" s="121">
        <v>351</v>
      </c>
      <c r="C4097" s="121">
        <v>33</v>
      </c>
      <c r="D4097" s="734">
        <v>139.84157067095856</v>
      </c>
      <c r="E4097" s="733"/>
    </row>
    <row r="4098" spans="2:5">
      <c r="B4098" s="121">
        <v>351</v>
      </c>
      <c r="C4098" s="121">
        <v>34</v>
      </c>
      <c r="D4098" s="734">
        <v>142.79553760038502</v>
      </c>
      <c r="E4098" s="733"/>
    </row>
    <row r="4099" spans="2:5">
      <c r="B4099" s="121">
        <v>351</v>
      </c>
      <c r="C4099" s="121">
        <v>35</v>
      </c>
      <c r="D4099" s="734">
        <v>140.80502623583925</v>
      </c>
      <c r="E4099" s="733"/>
    </row>
    <row r="4100" spans="2:5">
      <c r="B4100" s="121">
        <v>351</v>
      </c>
      <c r="C4100" s="121">
        <v>36</v>
      </c>
      <c r="D4100" s="734">
        <v>135.5725884009623</v>
      </c>
      <c r="E4100" s="733"/>
    </row>
    <row r="4101" spans="2:5">
      <c r="B4101" s="121">
        <v>352</v>
      </c>
      <c r="C4101" s="121">
        <v>1</v>
      </c>
      <c r="D4101" s="734">
        <v>5</v>
      </c>
      <c r="E4101" s="733"/>
    </row>
    <row r="4102" spans="2:5">
      <c r="B4102" s="121">
        <v>352</v>
      </c>
      <c r="C4102" s="121">
        <v>2</v>
      </c>
      <c r="D4102" s="734">
        <v>99.700501292845416</v>
      </c>
      <c r="E4102" s="733"/>
    </row>
    <row r="4103" spans="2:5">
      <c r="B4103" s="121">
        <v>352</v>
      </c>
      <c r="C4103" s="121">
        <v>3</v>
      </c>
      <c r="D4103" s="734">
        <v>120.79971834588841</v>
      </c>
      <c r="E4103" s="733"/>
    </row>
    <row r="4104" spans="2:5">
      <c r="B4104" s="121">
        <v>352</v>
      </c>
      <c r="C4104" s="121">
        <v>4</v>
      </c>
      <c r="D4104" s="734">
        <v>134.89843267396915</v>
      </c>
      <c r="E4104" s="733"/>
    </row>
    <row r="4105" spans="2:5">
      <c r="B4105" s="121">
        <v>352</v>
      </c>
      <c r="C4105" s="121">
        <v>5</v>
      </c>
      <c r="D4105" s="734">
        <v>142.08168659243927</v>
      </c>
      <c r="E4105" s="733"/>
    </row>
    <row r="4106" spans="2:5">
      <c r="B4106" s="121">
        <v>352</v>
      </c>
      <c r="C4106" s="121">
        <v>6</v>
      </c>
      <c r="D4106" s="734">
        <v>145.70180591286532</v>
      </c>
      <c r="E4106" s="733"/>
    </row>
    <row r="4107" spans="2:5">
      <c r="B4107" s="121">
        <v>352</v>
      </c>
      <c r="C4107" s="121">
        <v>7</v>
      </c>
      <c r="D4107" s="734">
        <v>144.32842811162689</v>
      </c>
      <c r="E4107" s="733"/>
    </row>
    <row r="4108" spans="2:5">
      <c r="B4108" s="121">
        <v>352</v>
      </c>
      <c r="C4108" s="121">
        <v>8</v>
      </c>
      <c r="D4108" s="734">
        <v>136.45655784918992</v>
      </c>
      <c r="E4108" s="733"/>
    </row>
    <row r="4109" spans="2:5">
      <c r="B4109" s="121">
        <v>352</v>
      </c>
      <c r="C4109" s="121">
        <v>9</v>
      </c>
      <c r="D4109" s="734">
        <v>137.5256817880053</v>
      </c>
      <c r="E4109" s="733"/>
    </row>
    <row r="4110" spans="2:5">
      <c r="B4110" s="121">
        <v>352</v>
      </c>
      <c r="C4110" s="121">
        <v>10</v>
      </c>
      <c r="D4110" s="734">
        <v>141.73241340611372</v>
      </c>
      <c r="E4110" s="733"/>
    </row>
    <row r="4111" spans="2:5">
      <c r="B4111" s="121">
        <v>352</v>
      </c>
      <c r="C4111" s="121">
        <v>11</v>
      </c>
      <c r="D4111" s="734">
        <v>137.32311242320037</v>
      </c>
      <c r="E4111" s="733"/>
    </row>
    <row r="4112" spans="2:5">
      <c r="B4112" s="121">
        <v>352</v>
      </c>
      <c r="C4112" s="121">
        <v>12</v>
      </c>
      <c r="D4112" s="734">
        <v>146.35801238973465</v>
      </c>
      <c r="E4112" s="733"/>
    </row>
    <row r="4113" spans="2:5">
      <c r="B4113" s="121">
        <v>352</v>
      </c>
      <c r="C4113" s="121">
        <v>13</v>
      </c>
      <c r="D4113" s="734">
        <v>144.26758416853554</v>
      </c>
      <c r="E4113" s="733"/>
    </row>
    <row r="4114" spans="2:5">
      <c r="B4114" s="121">
        <v>352</v>
      </c>
      <c r="C4114" s="121">
        <v>14</v>
      </c>
      <c r="D4114" s="734">
        <v>144.8011427066335</v>
      </c>
      <c r="E4114" s="733"/>
    </row>
    <row r="4115" spans="2:5">
      <c r="B4115" s="121">
        <v>352</v>
      </c>
      <c r="C4115" s="121">
        <v>15</v>
      </c>
      <c r="D4115" s="734">
        <v>137.18157538611811</v>
      </c>
      <c r="E4115" s="733"/>
    </row>
    <row r="4116" spans="2:5">
      <c r="B4116" s="121">
        <v>352</v>
      </c>
      <c r="C4116" s="121">
        <v>16</v>
      </c>
      <c r="D4116" s="734">
        <v>137.62600750597582</v>
      </c>
      <c r="E4116" s="733"/>
    </row>
    <row r="4117" spans="2:5">
      <c r="B4117" s="121">
        <v>352</v>
      </c>
      <c r="C4117" s="121">
        <v>17</v>
      </c>
      <c r="D4117" s="734">
        <v>136.31892700977667</v>
      </c>
      <c r="E4117" s="733"/>
    </row>
    <row r="4118" spans="2:5">
      <c r="B4118" s="121">
        <v>352</v>
      </c>
      <c r="C4118" s="121">
        <v>18</v>
      </c>
      <c r="D4118" s="734">
        <v>141.02452982647381</v>
      </c>
      <c r="E4118" s="733"/>
    </row>
    <row r="4119" spans="2:5">
      <c r="B4119" s="121">
        <v>353</v>
      </c>
      <c r="C4119" s="121">
        <v>1</v>
      </c>
      <c r="D4119" s="734">
        <v>5</v>
      </c>
      <c r="E4119" s="733"/>
    </row>
    <row r="4120" spans="2:5">
      <c r="B4120" s="121">
        <v>353</v>
      </c>
      <c r="C4120" s="121">
        <v>2</v>
      </c>
      <c r="D4120" s="734">
        <v>97.928913261973989</v>
      </c>
      <c r="E4120" s="733"/>
    </row>
    <row r="4121" spans="2:5">
      <c r="B4121" s="121">
        <v>353</v>
      </c>
      <c r="C4121" s="121">
        <v>3</v>
      </c>
      <c r="D4121" s="734">
        <v>120.9440264936287</v>
      </c>
      <c r="E4121" s="733"/>
    </row>
    <row r="4122" spans="2:5">
      <c r="B4122" s="121">
        <v>353</v>
      </c>
      <c r="C4122" s="121">
        <v>4</v>
      </c>
      <c r="D4122" s="734">
        <v>135.93796255709807</v>
      </c>
      <c r="E4122" s="733"/>
    </row>
    <row r="4123" spans="2:5">
      <c r="B4123" s="121">
        <v>353</v>
      </c>
      <c r="C4123" s="121">
        <v>5</v>
      </c>
      <c r="D4123" s="734">
        <v>139.0540042443703</v>
      </c>
      <c r="E4123" s="733"/>
    </row>
    <row r="4124" spans="2:5">
      <c r="B4124" s="121">
        <v>353</v>
      </c>
      <c r="C4124" s="121">
        <v>6</v>
      </c>
      <c r="D4124" s="734">
        <v>146.92697926504425</v>
      </c>
      <c r="E4124" s="733"/>
    </row>
    <row r="4125" spans="2:5">
      <c r="B4125" s="121">
        <v>353</v>
      </c>
      <c r="C4125" s="121">
        <v>7</v>
      </c>
      <c r="D4125" s="734">
        <v>144.98114478540253</v>
      </c>
      <c r="E4125" s="733"/>
    </row>
    <row r="4126" spans="2:5">
      <c r="B4126" s="121">
        <v>353</v>
      </c>
      <c r="C4126" s="121">
        <v>8</v>
      </c>
      <c r="D4126" s="734">
        <v>143.73811758099734</v>
      </c>
      <c r="E4126" s="733"/>
    </row>
    <row r="4127" spans="2:5">
      <c r="B4127" s="121">
        <v>353</v>
      </c>
      <c r="C4127" s="121">
        <v>9</v>
      </c>
      <c r="D4127" s="734">
        <v>135.93351071159393</v>
      </c>
      <c r="E4127" s="733"/>
    </row>
    <row r="4128" spans="2:5">
      <c r="B4128" s="121">
        <v>353</v>
      </c>
      <c r="C4128" s="121">
        <v>10</v>
      </c>
      <c r="D4128" s="734">
        <v>143.49159408556451</v>
      </c>
      <c r="E4128" s="733"/>
    </row>
    <row r="4129" spans="2:5">
      <c r="B4129" s="121">
        <v>353</v>
      </c>
      <c r="C4129" s="121">
        <v>11</v>
      </c>
      <c r="D4129" s="734">
        <v>145.95530507202596</v>
      </c>
      <c r="E4129" s="733"/>
    </row>
    <row r="4130" spans="2:5">
      <c r="B4130" s="121">
        <v>353</v>
      </c>
      <c r="C4130" s="121">
        <v>12</v>
      </c>
      <c r="D4130" s="734">
        <v>137.44993727364852</v>
      </c>
      <c r="E4130" s="733"/>
    </row>
    <row r="4131" spans="2:5">
      <c r="B4131" s="121">
        <v>353</v>
      </c>
      <c r="C4131" s="121">
        <v>13</v>
      </c>
      <c r="D4131" s="734">
        <v>145.55231805120607</v>
      </c>
      <c r="E4131" s="733"/>
    </row>
    <row r="4132" spans="2:5">
      <c r="B4132" s="121">
        <v>353</v>
      </c>
      <c r="C4132" s="121">
        <v>14</v>
      </c>
      <c r="D4132" s="734">
        <v>134.73269485187959</v>
      </c>
      <c r="E4132" s="733"/>
    </row>
    <row r="4133" spans="2:5">
      <c r="B4133" s="121">
        <v>353</v>
      </c>
      <c r="C4133" s="121">
        <v>15</v>
      </c>
      <c r="D4133" s="734">
        <v>137.35501741429565</v>
      </c>
      <c r="E4133" s="733"/>
    </row>
    <row r="4134" spans="2:5">
      <c r="B4134" s="121">
        <v>353</v>
      </c>
      <c r="C4134" s="121">
        <v>16</v>
      </c>
      <c r="D4134" s="734">
        <v>144.7627015014412</v>
      </c>
      <c r="E4134" s="733"/>
    </row>
    <row r="4135" spans="2:5">
      <c r="B4135" s="121">
        <v>353</v>
      </c>
      <c r="C4135" s="121">
        <v>17</v>
      </c>
      <c r="D4135" s="734">
        <v>140.37465442214716</v>
      </c>
      <c r="E4135" s="733"/>
    </row>
    <row r="4136" spans="2:5">
      <c r="B4136" s="121">
        <v>353</v>
      </c>
      <c r="C4136" s="121">
        <v>18</v>
      </c>
      <c r="D4136" s="734">
        <v>141.53896714921228</v>
      </c>
      <c r="E4136" s="733"/>
    </row>
    <row r="4137" spans="2:5">
      <c r="B4137" s="121">
        <v>353</v>
      </c>
      <c r="C4137" s="121">
        <v>19</v>
      </c>
      <c r="D4137" s="734">
        <v>143.93236171885229</v>
      </c>
      <c r="E4137" s="733"/>
    </row>
    <row r="4138" spans="2:5">
      <c r="B4138" s="121">
        <v>353</v>
      </c>
      <c r="C4138" s="121">
        <v>20</v>
      </c>
      <c r="D4138" s="734">
        <v>137.69123698478134</v>
      </c>
      <c r="E4138" s="733"/>
    </row>
    <row r="4139" spans="2:5">
      <c r="B4139" s="121">
        <v>353</v>
      </c>
      <c r="C4139" s="121">
        <v>21</v>
      </c>
      <c r="D4139" s="734">
        <v>137.18977989053357</v>
      </c>
      <c r="E4139" s="733"/>
    </row>
    <row r="4140" spans="2:5">
      <c r="B4140" s="121">
        <v>354</v>
      </c>
      <c r="C4140" s="121">
        <v>1</v>
      </c>
      <c r="D4140" s="734">
        <v>5</v>
      </c>
      <c r="E4140" s="733"/>
    </row>
    <row r="4141" spans="2:5">
      <c r="B4141" s="121">
        <v>355</v>
      </c>
      <c r="C4141" s="121">
        <v>1</v>
      </c>
      <c r="D4141" s="734">
        <v>5</v>
      </c>
      <c r="E4141" s="733"/>
    </row>
    <row r="4142" spans="2:5">
      <c r="B4142" s="121">
        <v>355</v>
      </c>
      <c r="C4142" s="121">
        <v>2</v>
      </c>
      <c r="D4142" s="734">
        <v>98.012401994713457</v>
      </c>
      <c r="E4142" s="733"/>
    </row>
    <row r="4143" spans="2:5">
      <c r="B4143" s="121">
        <v>355</v>
      </c>
      <c r="C4143" s="121">
        <v>3</v>
      </c>
      <c r="D4143" s="734">
        <v>114.51633544482964</v>
      </c>
      <c r="E4143" s="733"/>
    </row>
    <row r="4144" spans="2:5">
      <c r="B4144" s="121">
        <v>355</v>
      </c>
      <c r="C4144" s="121">
        <v>4</v>
      </c>
      <c r="D4144" s="734">
        <v>137.72395461800579</v>
      </c>
      <c r="E4144" s="733"/>
    </row>
    <row r="4145" spans="2:5">
      <c r="B4145" s="121">
        <v>355</v>
      </c>
      <c r="C4145" s="121">
        <v>5</v>
      </c>
      <c r="D4145" s="734">
        <v>143.79795611813535</v>
      </c>
      <c r="E4145" s="733"/>
    </row>
    <row r="4146" spans="2:5">
      <c r="B4146" s="121">
        <v>355</v>
      </c>
      <c r="C4146" s="121">
        <v>6</v>
      </c>
      <c r="D4146" s="734">
        <v>136.81673522992051</v>
      </c>
      <c r="E4146" s="733"/>
    </row>
    <row r="4147" spans="2:5">
      <c r="B4147" s="121">
        <v>355</v>
      </c>
      <c r="C4147" s="121">
        <v>7</v>
      </c>
      <c r="D4147" s="734">
        <v>140.77913912911842</v>
      </c>
      <c r="E4147" s="733"/>
    </row>
    <row r="4148" spans="2:5">
      <c r="B4148" s="121">
        <v>355</v>
      </c>
      <c r="C4148" s="121">
        <v>8</v>
      </c>
      <c r="D4148" s="734">
        <v>143.54122093821294</v>
      </c>
      <c r="E4148" s="733"/>
    </row>
    <row r="4149" spans="2:5">
      <c r="B4149" s="121">
        <v>355</v>
      </c>
      <c r="C4149" s="121">
        <v>9</v>
      </c>
      <c r="D4149" s="734">
        <v>142.51955571773732</v>
      </c>
      <c r="E4149" s="733"/>
    </row>
    <row r="4150" spans="2:5">
      <c r="B4150" s="121">
        <v>355</v>
      </c>
      <c r="C4150" s="121">
        <v>10</v>
      </c>
      <c r="D4150" s="734">
        <v>146.36479097473989</v>
      </c>
      <c r="E4150" s="733"/>
    </row>
    <row r="4151" spans="2:5">
      <c r="B4151" s="121">
        <v>355</v>
      </c>
      <c r="C4151" s="121">
        <v>11</v>
      </c>
      <c r="D4151" s="734">
        <v>137.66847069062462</v>
      </c>
      <c r="E4151" s="733"/>
    </row>
    <row r="4152" spans="2:5">
      <c r="B4152" s="121">
        <v>355</v>
      </c>
      <c r="C4152" s="121">
        <v>12</v>
      </c>
      <c r="D4152" s="734">
        <v>140.29612737972755</v>
      </c>
      <c r="E4152" s="733"/>
    </row>
    <row r="4153" spans="2:5">
      <c r="B4153" s="121">
        <v>355</v>
      </c>
      <c r="C4153" s="121">
        <v>13</v>
      </c>
      <c r="D4153" s="734">
        <v>140.71564827923325</v>
      </c>
      <c r="E4153" s="733"/>
    </row>
    <row r="4154" spans="2:5">
      <c r="B4154" s="121">
        <v>355</v>
      </c>
      <c r="C4154" s="121">
        <v>14</v>
      </c>
      <c r="D4154" s="734">
        <v>138.76232198600877</v>
      </c>
      <c r="E4154" s="733"/>
    </row>
    <row r="4155" spans="2:5">
      <c r="B4155" s="121">
        <v>355</v>
      </c>
      <c r="C4155" s="121">
        <v>15</v>
      </c>
      <c r="D4155" s="734">
        <v>134.68747591296085</v>
      </c>
      <c r="E4155" s="733"/>
    </row>
    <row r="4156" spans="2:5">
      <c r="B4156" s="121">
        <v>355</v>
      </c>
      <c r="C4156" s="121">
        <v>16</v>
      </c>
      <c r="D4156" s="734">
        <v>136.95575351942452</v>
      </c>
      <c r="E4156" s="733"/>
    </row>
    <row r="4157" spans="2:5">
      <c r="B4157" s="121">
        <v>355</v>
      </c>
      <c r="C4157" s="121">
        <v>17</v>
      </c>
      <c r="D4157" s="734">
        <v>140.52857248568833</v>
      </c>
      <c r="E4157" s="733"/>
    </row>
    <row r="4158" spans="2:5">
      <c r="B4158" s="121">
        <v>355</v>
      </c>
      <c r="C4158" s="121">
        <v>18</v>
      </c>
      <c r="D4158" s="734">
        <v>145.73379120659234</v>
      </c>
      <c r="E4158" s="733"/>
    </row>
    <row r="4159" spans="2:5">
      <c r="B4159" s="121">
        <v>355</v>
      </c>
      <c r="C4159" s="121">
        <v>19</v>
      </c>
      <c r="D4159" s="734">
        <v>137.68172785806362</v>
      </c>
      <c r="E4159" s="733"/>
    </row>
    <row r="4160" spans="2:5">
      <c r="B4160" s="121">
        <v>355</v>
      </c>
      <c r="C4160" s="121">
        <v>20</v>
      </c>
      <c r="D4160" s="734">
        <v>143.38027987694772</v>
      </c>
      <c r="E4160" s="733"/>
    </row>
    <row r="4161" spans="2:5">
      <c r="B4161" s="121">
        <v>355</v>
      </c>
      <c r="C4161" s="121">
        <v>21</v>
      </c>
      <c r="D4161" s="734">
        <v>136.90828598578869</v>
      </c>
      <c r="E4161" s="733"/>
    </row>
    <row r="4162" spans="2:5">
      <c r="B4162" s="121">
        <v>355</v>
      </c>
      <c r="C4162" s="121">
        <v>22</v>
      </c>
      <c r="D4162" s="734">
        <v>144.61882985604473</v>
      </c>
      <c r="E4162" s="733"/>
    </row>
    <row r="4163" spans="2:5">
      <c r="B4163" s="121">
        <v>355</v>
      </c>
      <c r="C4163" s="121">
        <v>23</v>
      </c>
      <c r="D4163" s="734">
        <v>139.52035290037014</v>
      </c>
      <c r="E4163" s="733"/>
    </row>
    <row r="4164" spans="2:5">
      <c r="B4164" s="121">
        <v>355</v>
      </c>
      <c r="C4164" s="121">
        <v>24</v>
      </c>
      <c r="D4164" s="734">
        <v>143.98174724154214</v>
      </c>
      <c r="E4164" s="733"/>
    </row>
    <row r="4165" spans="2:5">
      <c r="B4165" s="121">
        <v>355</v>
      </c>
      <c r="C4165" s="121">
        <v>25</v>
      </c>
      <c r="D4165" s="734">
        <v>146.31803540324839</v>
      </c>
      <c r="E4165" s="733"/>
    </row>
    <row r="4166" spans="2:5">
      <c r="B4166" s="121">
        <v>355</v>
      </c>
      <c r="C4166" s="121">
        <v>26</v>
      </c>
      <c r="D4166" s="734">
        <v>138.75736507945803</v>
      </c>
      <c r="E4166" s="733"/>
    </row>
    <row r="4167" spans="2:5">
      <c r="B4167" s="121">
        <v>355</v>
      </c>
      <c r="C4167" s="121">
        <v>27</v>
      </c>
      <c r="D4167" s="734">
        <v>144.22380427793325</v>
      </c>
      <c r="E4167" s="733"/>
    </row>
    <row r="4168" spans="2:5">
      <c r="B4168" s="121">
        <v>355</v>
      </c>
      <c r="C4168" s="121">
        <v>28</v>
      </c>
      <c r="D4168" s="734">
        <v>139.0361998523079</v>
      </c>
      <c r="E4168" s="733"/>
    </row>
    <row r="4169" spans="2:5">
      <c r="B4169" s="121">
        <v>355</v>
      </c>
      <c r="C4169" s="121">
        <v>29</v>
      </c>
      <c r="D4169" s="734">
        <v>139.54239560073754</v>
      </c>
      <c r="E4169" s="733"/>
    </row>
    <row r="4170" spans="2:5">
      <c r="B4170" s="121">
        <v>355</v>
      </c>
      <c r="C4170" s="121">
        <v>30</v>
      </c>
      <c r="D4170" s="734">
        <v>146.24178711520869</v>
      </c>
      <c r="E4170" s="733"/>
    </row>
    <row r="4171" spans="2:5">
      <c r="B4171" s="121">
        <v>355</v>
      </c>
      <c r="C4171" s="121">
        <v>31</v>
      </c>
      <c r="D4171" s="734">
        <v>140.53393952950435</v>
      </c>
      <c r="E4171" s="733"/>
    </row>
    <row r="4172" spans="2:5">
      <c r="B4172" s="121">
        <v>355</v>
      </c>
      <c r="C4172" s="121">
        <v>32</v>
      </c>
      <c r="D4172" s="734">
        <v>143.30842714297535</v>
      </c>
      <c r="E4172" s="733"/>
    </row>
    <row r="4173" spans="2:5">
      <c r="B4173" s="121">
        <v>355</v>
      </c>
      <c r="C4173" s="121">
        <v>33</v>
      </c>
      <c r="D4173" s="734">
        <v>142.31095904910234</v>
      </c>
      <c r="E4173" s="733"/>
    </row>
    <row r="4174" spans="2:5">
      <c r="B4174" s="121">
        <v>355</v>
      </c>
      <c r="C4174" s="121">
        <v>34</v>
      </c>
      <c r="D4174" s="734">
        <v>141.88077480764531</v>
      </c>
      <c r="E4174" s="733"/>
    </row>
    <row r="4175" spans="2:5">
      <c r="B4175" s="121">
        <v>355</v>
      </c>
      <c r="C4175" s="121">
        <v>35</v>
      </c>
      <c r="D4175" s="734">
        <v>144.25776148069275</v>
      </c>
      <c r="E4175" s="733"/>
    </row>
    <row r="4176" spans="2:5">
      <c r="B4176" s="121">
        <v>355</v>
      </c>
      <c r="C4176" s="121">
        <v>36</v>
      </c>
      <c r="D4176" s="734">
        <v>134.76491569637031</v>
      </c>
      <c r="E4176" s="733"/>
    </row>
    <row r="4177" spans="2:5">
      <c r="B4177" s="121">
        <v>356</v>
      </c>
      <c r="C4177" s="121">
        <v>1</v>
      </c>
      <c r="D4177" s="734">
        <v>5</v>
      </c>
      <c r="E4177" s="733"/>
    </row>
    <row r="4178" spans="2:5">
      <c r="B4178" s="121">
        <v>356</v>
      </c>
      <c r="C4178" s="121">
        <v>2</v>
      </c>
      <c r="D4178" s="734">
        <v>100.48333710509816</v>
      </c>
      <c r="E4178" s="733"/>
    </row>
    <row r="4179" spans="2:5">
      <c r="B4179" s="121">
        <v>356</v>
      </c>
      <c r="C4179" s="121">
        <v>3</v>
      </c>
      <c r="D4179" s="734">
        <v>118.87113658545184</v>
      </c>
      <c r="E4179" s="733"/>
    </row>
    <row r="4180" spans="2:5">
      <c r="B4180" s="121">
        <v>356</v>
      </c>
      <c r="C4180" s="121">
        <v>4</v>
      </c>
      <c r="D4180" s="734">
        <v>133.95088425179043</v>
      </c>
      <c r="E4180" s="733"/>
    </row>
    <row r="4181" spans="2:5">
      <c r="B4181" s="121">
        <v>356</v>
      </c>
      <c r="C4181" s="121">
        <v>5</v>
      </c>
      <c r="D4181" s="734">
        <v>139.03471101672369</v>
      </c>
      <c r="E4181" s="733"/>
    </row>
    <row r="4182" spans="2:5">
      <c r="B4182" s="121">
        <v>356</v>
      </c>
      <c r="C4182" s="121">
        <v>6</v>
      </c>
      <c r="D4182" s="734">
        <v>144.38049195858619</v>
      </c>
      <c r="E4182" s="733"/>
    </row>
    <row r="4183" spans="2:5">
      <c r="B4183" s="121">
        <v>356</v>
      </c>
      <c r="C4183" s="121">
        <v>7</v>
      </c>
      <c r="D4183" s="734">
        <v>141.70249715349712</v>
      </c>
      <c r="E4183" s="733"/>
    </row>
    <row r="4184" spans="2:5">
      <c r="B4184" s="121">
        <v>356</v>
      </c>
      <c r="C4184" s="121">
        <v>8</v>
      </c>
      <c r="D4184" s="734">
        <v>133.74323835127595</v>
      </c>
      <c r="E4184" s="733"/>
    </row>
    <row r="4185" spans="2:5">
      <c r="B4185" s="121">
        <v>356</v>
      </c>
      <c r="C4185" s="121">
        <v>9</v>
      </c>
      <c r="D4185" s="734">
        <v>135.06451072377936</v>
      </c>
      <c r="E4185" s="733"/>
    </row>
    <row r="4186" spans="2:5">
      <c r="B4186" s="121">
        <v>356</v>
      </c>
      <c r="C4186" s="121">
        <v>10</v>
      </c>
      <c r="D4186" s="734">
        <v>138.82318396428084</v>
      </c>
      <c r="E4186" s="733"/>
    </row>
    <row r="4187" spans="2:5">
      <c r="B4187" s="121">
        <v>356</v>
      </c>
      <c r="C4187" s="121">
        <v>11</v>
      </c>
      <c r="D4187" s="734">
        <v>145.01138076646359</v>
      </c>
      <c r="E4187" s="733"/>
    </row>
    <row r="4188" spans="2:5">
      <c r="B4188" s="121">
        <v>356</v>
      </c>
      <c r="C4188" s="121">
        <v>12</v>
      </c>
      <c r="D4188" s="734">
        <v>134.37561772155388</v>
      </c>
      <c r="E4188" s="733"/>
    </row>
    <row r="4189" spans="2:5">
      <c r="B4189" s="121">
        <v>356</v>
      </c>
      <c r="C4189" s="121">
        <v>13</v>
      </c>
      <c r="D4189" s="734">
        <v>137.19825313063967</v>
      </c>
      <c r="E4189" s="733"/>
    </row>
    <row r="4190" spans="2:5">
      <c r="B4190" s="121">
        <v>356</v>
      </c>
      <c r="C4190" s="121">
        <v>14</v>
      </c>
      <c r="D4190" s="734">
        <v>136.57437575579615</v>
      </c>
      <c r="E4190" s="733"/>
    </row>
    <row r="4191" spans="2:5">
      <c r="B4191" s="121">
        <v>356</v>
      </c>
      <c r="C4191" s="121">
        <v>15</v>
      </c>
      <c r="D4191" s="734">
        <v>134.21665088071964</v>
      </c>
      <c r="E4191" s="733"/>
    </row>
    <row r="4192" spans="2:5">
      <c r="B4192" s="121">
        <v>356</v>
      </c>
      <c r="C4192" s="121">
        <v>16</v>
      </c>
      <c r="D4192" s="734">
        <v>143.97072290900013</v>
      </c>
      <c r="E4192" s="733"/>
    </row>
    <row r="4193" spans="2:5">
      <c r="B4193" s="121">
        <v>356</v>
      </c>
      <c r="C4193" s="121">
        <v>17</v>
      </c>
      <c r="D4193" s="734">
        <v>141.50230090714902</v>
      </c>
      <c r="E4193" s="733"/>
    </row>
    <row r="4194" spans="2:5">
      <c r="B4194" s="121">
        <v>356</v>
      </c>
      <c r="C4194" s="121">
        <v>18</v>
      </c>
      <c r="D4194" s="734">
        <v>145.25617268005064</v>
      </c>
      <c r="E4194" s="733"/>
    </row>
    <row r="4195" spans="2:5">
      <c r="B4195" s="121">
        <v>356</v>
      </c>
      <c r="C4195" s="121">
        <v>19</v>
      </c>
      <c r="D4195" s="734">
        <v>141.30150988234161</v>
      </c>
      <c r="E4195" s="733"/>
    </row>
    <row r="4196" spans="2:5">
      <c r="B4196" s="121">
        <v>356</v>
      </c>
      <c r="C4196" s="121">
        <v>20</v>
      </c>
      <c r="D4196" s="734">
        <v>138.69404213611347</v>
      </c>
      <c r="E4196" s="733"/>
    </row>
    <row r="4197" spans="2:5">
      <c r="B4197" s="121">
        <v>356</v>
      </c>
      <c r="C4197" s="121">
        <v>21</v>
      </c>
      <c r="D4197" s="734">
        <v>142.22805497699116</v>
      </c>
      <c r="E4197" s="733"/>
    </row>
    <row r="4198" spans="2:5">
      <c r="B4198" s="121">
        <v>356</v>
      </c>
      <c r="C4198" s="121">
        <v>22</v>
      </c>
      <c r="D4198" s="734">
        <v>141.21046208793899</v>
      </c>
      <c r="E4198" s="733"/>
    </row>
    <row r="4199" spans="2:5">
      <c r="B4199" s="121">
        <v>356</v>
      </c>
      <c r="C4199" s="121">
        <v>23</v>
      </c>
      <c r="D4199" s="734">
        <v>135.71457990148377</v>
      </c>
      <c r="E4199" s="733"/>
    </row>
    <row r="4200" spans="2:5">
      <c r="B4200" s="121">
        <v>356</v>
      </c>
      <c r="C4200" s="121">
        <v>24</v>
      </c>
      <c r="D4200" s="734">
        <v>142.49458863665924</v>
      </c>
      <c r="E4200" s="733"/>
    </row>
    <row r="4201" spans="2:5">
      <c r="B4201" s="121">
        <v>356</v>
      </c>
      <c r="C4201" s="121">
        <v>25</v>
      </c>
      <c r="D4201" s="734">
        <v>143.60297609591441</v>
      </c>
      <c r="E4201" s="733"/>
    </row>
    <row r="4202" spans="2:5">
      <c r="B4202" s="121">
        <v>356</v>
      </c>
      <c r="C4202" s="121">
        <v>26</v>
      </c>
      <c r="D4202" s="734">
        <v>142.33152940520023</v>
      </c>
      <c r="E4202" s="733"/>
    </row>
    <row r="4203" spans="2:5">
      <c r="B4203" s="121">
        <v>356</v>
      </c>
      <c r="C4203" s="121">
        <v>27</v>
      </c>
      <c r="D4203" s="734">
        <v>133.99708103182942</v>
      </c>
      <c r="E4203" s="733"/>
    </row>
    <row r="4204" spans="2:5">
      <c r="B4204" s="121">
        <v>356</v>
      </c>
      <c r="C4204" s="121">
        <v>28</v>
      </c>
      <c r="D4204" s="734">
        <v>144.46073763211072</v>
      </c>
      <c r="E4204" s="733"/>
    </row>
    <row r="4205" spans="2:5">
      <c r="B4205" s="121">
        <v>356</v>
      </c>
      <c r="C4205" s="121">
        <v>29</v>
      </c>
      <c r="D4205" s="734">
        <v>141.60300143772488</v>
      </c>
      <c r="E4205" s="733"/>
    </row>
    <row r="4206" spans="2:5">
      <c r="B4206" s="121">
        <v>356</v>
      </c>
      <c r="C4206" s="121">
        <v>30</v>
      </c>
      <c r="D4206" s="734">
        <v>146.09778340670496</v>
      </c>
      <c r="E4206" s="733"/>
    </row>
    <row r="4207" spans="2:5">
      <c r="B4207" s="121">
        <v>356</v>
      </c>
      <c r="C4207" s="121">
        <v>31</v>
      </c>
      <c r="D4207" s="734">
        <v>133.9273831333702</v>
      </c>
      <c r="E4207" s="733"/>
    </row>
    <row r="4208" spans="2:5">
      <c r="B4208" s="121">
        <v>356</v>
      </c>
      <c r="C4208" s="121">
        <v>32</v>
      </c>
      <c r="D4208" s="734">
        <v>138.9203577961471</v>
      </c>
      <c r="E4208" s="733"/>
    </row>
    <row r="4209" spans="2:5">
      <c r="B4209" s="121">
        <v>356</v>
      </c>
      <c r="C4209" s="121">
        <v>33</v>
      </c>
      <c r="D4209" s="734">
        <v>142.57507363243798</v>
      </c>
      <c r="E4209" s="733"/>
    </row>
    <row r="4210" spans="2:5">
      <c r="B4210" s="121">
        <v>356</v>
      </c>
      <c r="C4210" s="121">
        <v>34</v>
      </c>
      <c r="D4210" s="734">
        <v>137.63801244204649</v>
      </c>
      <c r="E4210" s="733"/>
    </row>
    <row r="4211" spans="2:5">
      <c r="B4211" s="121">
        <v>356</v>
      </c>
      <c r="C4211" s="121">
        <v>35</v>
      </c>
      <c r="D4211" s="734">
        <v>135.47750321126344</v>
      </c>
      <c r="E4211" s="733"/>
    </row>
    <row r="4212" spans="2:5">
      <c r="B4212" s="121">
        <v>356</v>
      </c>
      <c r="C4212" s="121">
        <v>36</v>
      </c>
      <c r="D4212" s="734">
        <v>136.77708349633224</v>
      </c>
      <c r="E4212" s="733"/>
    </row>
    <row r="4213" spans="2:5">
      <c r="B4213" s="121">
        <v>357</v>
      </c>
      <c r="C4213" s="121">
        <v>1</v>
      </c>
      <c r="D4213" s="734">
        <v>5</v>
      </c>
      <c r="E4213" s="733"/>
    </row>
    <row r="4214" spans="2:5">
      <c r="B4214" s="121">
        <v>357</v>
      </c>
      <c r="C4214" s="121">
        <v>2</v>
      </c>
      <c r="D4214" s="734">
        <v>96.798178642752291</v>
      </c>
      <c r="E4214" s="733"/>
    </row>
    <row r="4215" spans="2:5">
      <c r="B4215" s="121">
        <v>357</v>
      </c>
      <c r="C4215" s="121">
        <v>3</v>
      </c>
      <c r="D4215" s="734">
        <v>118.02255257800373</v>
      </c>
      <c r="E4215" s="733"/>
    </row>
    <row r="4216" spans="2:5">
      <c r="B4216" s="121">
        <v>357</v>
      </c>
      <c r="C4216" s="121">
        <v>4</v>
      </c>
      <c r="D4216" s="734">
        <v>141.5943031906472</v>
      </c>
      <c r="E4216" s="733"/>
    </row>
    <row r="4217" spans="2:5">
      <c r="B4217" s="121">
        <v>357</v>
      </c>
      <c r="C4217" s="121">
        <v>5</v>
      </c>
      <c r="D4217" s="734">
        <v>135.46975307258032</v>
      </c>
      <c r="E4217" s="733"/>
    </row>
    <row r="4218" spans="2:5">
      <c r="B4218" s="121">
        <v>357</v>
      </c>
      <c r="C4218" s="121">
        <v>6</v>
      </c>
      <c r="D4218" s="734">
        <v>141.02418601211022</v>
      </c>
      <c r="E4218" s="733"/>
    </row>
    <row r="4219" spans="2:5">
      <c r="B4219" s="121">
        <v>357</v>
      </c>
      <c r="C4219" s="121">
        <v>7</v>
      </c>
      <c r="D4219" s="734">
        <v>142.72607609443267</v>
      </c>
      <c r="E4219" s="733"/>
    </row>
    <row r="4220" spans="2:5">
      <c r="B4220" s="121">
        <v>357</v>
      </c>
      <c r="C4220" s="121">
        <v>8</v>
      </c>
      <c r="D4220" s="734">
        <v>137.0011367400958</v>
      </c>
      <c r="E4220" s="733"/>
    </row>
    <row r="4221" spans="2:5">
      <c r="B4221" s="121">
        <v>357</v>
      </c>
      <c r="C4221" s="121">
        <v>9</v>
      </c>
      <c r="D4221" s="734">
        <v>145.95042777933463</v>
      </c>
      <c r="E4221" s="733"/>
    </row>
    <row r="4222" spans="2:5">
      <c r="B4222" s="121">
        <v>357</v>
      </c>
      <c r="C4222" s="121">
        <v>10</v>
      </c>
      <c r="D4222" s="734">
        <v>142.68153412805006</v>
      </c>
      <c r="E4222" s="733"/>
    </row>
    <row r="4223" spans="2:5">
      <c r="B4223" s="121">
        <v>357</v>
      </c>
      <c r="C4223" s="121">
        <v>11</v>
      </c>
      <c r="D4223" s="734">
        <v>140.63422779107776</v>
      </c>
      <c r="E4223" s="733"/>
    </row>
    <row r="4224" spans="2:5">
      <c r="B4224" s="121">
        <v>357</v>
      </c>
      <c r="C4224" s="121">
        <v>12</v>
      </c>
      <c r="D4224" s="734">
        <v>134.53049899696651</v>
      </c>
      <c r="E4224" s="733"/>
    </row>
    <row r="4225" spans="2:5">
      <c r="B4225" s="121">
        <v>357</v>
      </c>
      <c r="C4225" s="121">
        <v>13</v>
      </c>
      <c r="D4225" s="734">
        <v>146.90481424675608</v>
      </c>
      <c r="E4225" s="733"/>
    </row>
    <row r="4226" spans="2:5">
      <c r="B4226" s="121">
        <v>357</v>
      </c>
      <c r="C4226" s="121">
        <v>14</v>
      </c>
      <c r="D4226" s="734">
        <v>135.48189714834103</v>
      </c>
      <c r="E4226" s="733"/>
    </row>
    <row r="4227" spans="2:5">
      <c r="B4227" s="121">
        <v>357</v>
      </c>
      <c r="C4227" s="121">
        <v>15</v>
      </c>
      <c r="D4227" s="734">
        <v>137.69178897870037</v>
      </c>
      <c r="E4227" s="733"/>
    </row>
    <row r="4228" spans="2:5">
      <c r="B4228" s="121">
        <v>357</v>
      </c>
      <c r="C4228" s="121">
        <v>16</v>
      </c>
      <c r="D4228" s="734">
        <v>136.94917431605654</v>
      </c>
      <c r="E4228" s="733"/>
    </row>
    <row r="4229" spans="2:5">
      <c r="B4229" s="121">
        <v>357</v>
      </c>
      <c r="C4229" s="121">
        <v>17</v>
      </c>
      <c r="D4229" s="734">
        <v>142.39996908961345</v>
      </c>
      <c r="E4229" s="733"/>
    </row>
    <row r="4230" spans="2:5">
      <c r="B4230" s="121">
        <v>357</v>
      </c>
      <c r="C4230" s="121">
        <v>18</v>
      </c>
      <c r="D4230" s="734">
        <v>134.05014490612746</v>
      </c>
      <c r="E4230" s="733"/>
    </row>
    <row r="4231" spans="2:5">
      <c r="B4231" s="121">
        <v>357</v>
      </c>
      <c r="C4231" s="121">
        <v>19</v>
      </c>
      <c r="D4231" s="734">
        <v>146.44672728273494</v>
      </c>
      <c r="E4231" s="733"/>
    </row>
    <row r="4232" spans="2:5">
      <c r="B4232" s="121">
        <v>358</v>
      </c>
      <c r="C4232" s="121">
        <v>1</v>
      </c>
      <c r="D4232" s="734">
        <v>5</v>
      </c>
      <c r="E4232" s="733"/>
    </row>
    <row r="4233" spans="2:5">
      <c r="B4233" s="121">
        <v>358</v>
      </c>
      <c r="C4233" s="121">
        <v>2</v>
      </c>
      <c r="D4233" s="734">
        <v>102.94698967114995</v>
      </c>
      <c r="E4233" s="733"/>
    </row>
    <row r="4234" spans="2:5">
      <c r="B4234" s="121">
        <v>358</v>
      </c>
      <c r="C4234" s="121">
        <v>3</v>
      </c>
      <c r="D4234" s="734">
        <v>121.47444251671027</v>
      </c>
      <c r="E4234" s="733"/>
    </row>
    <row r="4235" spans="2:5">
      <c r="B4235" s="121">
        <v>358</v>
      </c>
      <c r="C4235" s="121">
        <v>4</v>
      </c>
      <c r="D4235" s="734">
        <v>142.25130430359786</v>
      </c>
      <c r="E4235" s="733"/>
    </row>
    <row r="4236" spans="2:5">
      <c r="B4236" s="121">
        <v>358</v>
      </c>
      <c r="C4236" s="121">
        <v>5</v>
      </c>
      <c r="D4236" s="734">
        <v>140.19166218632273</v>
      </c>
      <c r="E4236" s="733"/>
    </row>
    <row r="4237" spans="2:5">
      <c r="B4237" s="121">
        <v>358</v>
      </c>
      <c r="C4237" s="121">
        <v>6</v>
      </c>
      <c r="D4237" s="734">
        <v>139.51600833142183</v>
      </c>
      <c r="E4237" s="733"/>
    </row>
    <row r="4238" spans="2:5">
      <c r="B4238" s="121">
        <v>358</v>
      </c>
      <c r="C4238" s="121">
        <v>7</v>
      </c>
      <c r="D4238" s="734">
        <v>136.48217396316693</v>
      </c>
      <c r="E4238" s="733"/>
    </row>
    <row r="4239" spans="2:5">
      <c r="B4239" s="121">
        <v>358</v>
      </c>
      <c r="C4239" s="121">
        <v>8</v>
      </c>
      <c r="D4239" s="734">
        <v>135.27885403137546</v>
      </c>
      <c r="E4239" s="733"/>
    </row>
    <row r="4240" spans="2:5">
      <c r="B4240" s="121">
        <v>358</v>
      </c>
      <c r="C4240" s="121">
        <v>9</v>
      </c>
      <c r="D4240" s="734">
        <v>143.23430119309714</v>
      </c>
      <c r="E4240" s="733"/>
    </row>
    <row r="4241" spans="2:5">
      <c r="B4241" s="121">
        <v>359</v>
      </c>
      <c r="C4241" s="121">
        <v>1</v>
      </c>
      <c r="D4241" s="734">
        <v>5</v>
      </c>
      <c r="E4241" s="733"/>
    </row>
    <row r="4242" spans="2:5">
      <c r="B4242" s="121">
        <v>360</v>
      </c>
      <c r="C4242" s="121">
        <v>1</v>
      </c>
      <c r="D4242" s="734">
        <v>5</v>
      </c>
      <c r="E4242" s="733"/>
    </row>
    <row r="4243" spans="2:5">
      <c r="B4243" s="121">
        <v>360</v>
      </c>
      <c r="C4243" s="121">
        <v>2</v>
      </c>
      <c r="D4243" s="734">
        <v>98.290833458802723</v>
      </c>
      <c r="E4243" s="733"/>
    </row>
    <row r="4244" spans="2:5">
      <c r="B4244" s="121">
        <v>360</v>
      </c>
      <c r="C4244" s="121">
        <v>3</v>
      </c>
      <c r="D4244" s="734">
        <v>123.51983322503757</v>
      </c>
      <c r="E4244" s="733"/>
    </row>
    <row r="4245" spans="2:5">
      <c r="B4245" s="121">
        <v>360</v>
      </c>
      <c r="C4245" s="121">
        <v>4</v>
      </c>
      <c r="D4245" s="734">
        <v>139.60884376549902</v>
      </c>
      <c r="E4245" s="733"/>
    </row>
    <row r="4246" spans="2:5">
      <c r="B4246" s="121">
        <v>360</v>
      </c>
      <c r="C4246" s="121">
        <v>5</v>
      </c>
      <c r="D4246" s="734">
        <v>137.75493057739624</v>
      </c>
      <c r="E4246" s="733"/>
    </row>
    <row r="4247" spans="2:5">
      <c r="B4247" s="121">
        <v>360</v>
      </c>
      <c r="C4247" s="121">
        <v>6</v>
      </c>
      <c r="D4247" s="734">
        <v>134.7344576037944</v>
      </c>
      <c r="E4247" s="733"/>
    </row>
    <row r="4248" spans="2:5">
      <c r="B4248" s="121">
        <v>360</v>
      </c>
      <c r="C4248" s="121">
        <v>7</v>
      </c>
      <c r="D4248" s="734">
        <v>144.92190163020476</v>
      </c>
      <c r="E4248" s="733"/>
    </row>
    <row r="4249" spans="2:5">
      <c r="B4249" s="121">
        <v>360</v>
      </c>
      <c r="C4249" s="121">
        <v>8</v>
      </c>
      <c r="D4249" s="734">
        <v>134.30936144805932</v>
      </c>
      <c r="E4249" s="733"/>
    </row>
    <row r="4250" spans="2:5">
      <c r="B4250" s="121">
        <v>360</v>
      </c>
      <c r="C4250" s="121">
        <v>9</v>
      </c>
      <c r="D4250" s="734">
        <v>134.27225549399543</v>
      </c>
      <c r="E4250" s="733"/>
    </row>
    <row r="4251" spans="2:5">
      <c r="B4251" s="121">
        <v>360</v>
      </c>
      <c r="C4251" s="121">
        <v>10</v>
      </c>
      <c r="D4251" s="734">
        <v>134.56928979022382</v>
      </c>
      <c r="E4251" s="733"/>
    </row>
    <row r="4252" spans="2:5">
      <c r="B4252" s="121">
        <v>360</v>
      </c>
      <c r="C4252" s="121">
        <v>11</v>
      </c>
      <c r="D4252" s="734">
        <v>143.7964927247717</v>
      </c>
      <c r="E4252" s="733"/>
    </row>
    <row r="4253" spans="2:5">
      <c r="B4253" s="121">
        <v>360</v>
      </c>
      <c r="C4253" s="121">
        <v>12</v>
      </c>
      <c r="D4253" s="734">
        <v>138.74960352283742</v>
      </c>
      <c r="E4253" s="733"/>
    </row>
    <row r="4254" spans="2:5">
      <c r="B4254" s="121">
        <v>360</v>
      </c>
      <c r="C4254" s="121">
        <v>13</v>
      </c>
      <c r="D4254" s="734">
        <v>137.80024334848815</v>
      </c>
      <c r="E4254" s="733"/>
    </row>
    <row r="4255" spans="2:5">
      <c r="B4255" s="121">
        <v>360</v>
      </c>
      <c r="C4255" s="121">
        <v>14</v>
      </c>
      <c r="D4255" s="734">
        <v>139.40332724196045</v>
      </c>
      <c r="E4255" s="733"/>
    </row>
    <row r="4256" spans="2:5">
      <c r="B4256" s="121">
        <v>360</v>
      </c>
      <c r="C4256" s="121">
        <v>15</v>
      </c>
      <c r="D4256" s="734">
        <v>146.54296834402578</v>
      </c>
      <c r="E4256" s="733"/>
    </row>
    <row r="4257" spans="2:5">
      <c r="B4257" s="121">
        <v>360</v>
      </c>
      <c r="C4257" s="121">
        <v>16</v>
      </c>
      <c r="D4257" s="734">
        <v>135.46795304633366</v>
      </c>
      <c r="E4257" s="733"/>
    </row>
    <row r="4258" spans="2:5">
      <c r="B4258" s="121">
        <v>360</v>
      </c>
      <c r="C4258" s="121">
        <v>17</v>
      </c>
      <c r="D4258" s="734">
        <v>135.22864523447993</v>
      </c>
      <c r="E4258" s="733"/>
    </row>
    <row r="4259" spans="2:5">
      <c r="B4259" s="121">
        <v>360</v>
      </c>
      <c r="C4259" s="121">
        <v>18</v>
      </c>
      <c r="D4259" s="734">
        <v>138.74705595103114</v>
      </c>
      <c r="E4259" s="733"/>
    </row>
    <row r="4260" spans="2:5">
      <c r="B4260" s="121">
        <v>360</v>
      </c>
      <c r="C4260" s="121">
        <v>19</v>
      </c>
      <c r="D4260" s="734">
        <v>135.59931677633566</v>
      </c>
      <c r="E4260" s="733"/>
    </row>
    <row r="4261" spans="2:5">
      <c r="B4261" s="121">
        <v>360</v>
      </c>
      <c r="C4261" s="121">
        <v>20</v>
      </c>
      <c r="D4261" s="734">
        <v>141.67060250831869</v>
      </c>
      <c r="E4261" s="733"/>
    </row>
    <row r="4262" spans="2:5">
      <c r="B4262" s="121">
        <v>360</v>
      </c>
      <c r="C4262" s="121">
        <v>21</v>
      </c>
      <c r="D4262" s="734">
        <v>146.48109045239221</v>
      </c>
      <c r="E4262" s="733"/>
    </row>
    <row r="4263" spans="2:5">
      <c r="B4263" s="121">
        <v>360</v>
      </c>
      <c r="C4263" s="121">
        <v>22</v>
      </c>
      <c r="D4263" s="734">
        <v>143.5213287981243</v>
      </c>
      <c r="E4263" s="733"/>
    </row>
    <row r="4264" spans="2:5">
      <c r="B4264" s="121">
        <v>360</v>
      </c>
      <c r="C4264" s="121">
        <v>23</v>
      </c>
      <c r="D4264" s="734">
        <v>146.65529050242901</v>
      </c>
      <c r="E4264" s="733"/>
    </row>
    <row r="4265" spans="2:5">
      <c r="B4265" s="121">
        <v>360</v>
      </c>
      <c r="C4265" s="121">
        <v>24</v>
      </c>
      <c r="D4265" s="734">
        <v>144.01239710093949</v>
      </c>
      <c r="E4265" s="733"/>
    </row>
    <row r="4266" spans="2:5">
      <c r="B4266" s="121">
        <v>360</v>
      </c>
      <c r="C4266" s="121">
        <v>25</v>
      </c>
      <c r="D4266" s="734">
        <v>138.67873867020589</v>
      </c>
      <c r="E4266" s="733"/>
    </row>
    <row r="4267" spans="2:5">
      <c r="B4267" s="121">
        <v>360</v>
      </c>
      <c r="C4267" s="121">
        <v>26</v>
      </c>
      <c r="D4267" s="734">
        <v>136.93932383376756</v>
      </c>
      <c r="E4267" s="733"/>
    </row>
    <row r="4268" spans="2:5">
      <c r="B4268" s="121">
        <v>360</v>
      </c>
      <c r="C4268" s="121">
        <v>27</v>
      </c>
      <c r="D4268" s="734">
        <v>141.74449366866796</v>
      </c>
      <c r="E4268" s="733"/>
    </row>
    <row r="4269" spans="2:5">
      <c r="B4269" s="121">
        <v>360</v>
      </c>
      <c r="C4269" s="121">
        <v>28</v>
      </c>
      <c r="D4269" s="734">
        <v>140.00350725550661</v>
      </c>
      <c r="E4269" s="733"/>
    </row>
    <row r="4270" spans="2:5">
      <c r="B4270" s="121">
        <v>360</v>
      </c>
      <c r="C4270" s="121">
        <v>29</v>
      </c>
      <c r="D4270" s="734">
        <v>142.03043187287176</v>
      </c>
      <c r="E4270" s="733"/>
    </row>
    <row r="4271" spans="2:5">
      <c r="B4271" s="121">
        <v>360</v>
      </c>
      <c r="C4271" s="121">
        <v>30</v>
      </c>
      <c r="D4271" s="734">
        <v>139.02859966923995</v>
      </c>
      <c r="E4271" s="733"/>
    </row>
    <row r="4272" spans="2:5">
      <c r="B4272" s="121">
        <v>360</v>
      </c>
      <c r="C4272" s="121">
        <v>31</v>
      </c>
      <c r="D4272" s="734">
        <v>139.88065389296872</v>
      </c>
      <c r="E4272" s="733"/>
    </row>
    <row r="4273" spans="2:5">
      <c r="B4273" s="121">
        <v>360</v>
      </c>
      <c r="C4273" s="121">
        <v>32</v>
      </c>
      <c r="D4273" s="734">
        <v>138.80271883630894</v>
      </c>
      <c r="E4273" s="733"/>
    </row>
    <row r="4274" spans="2:5">
      <c r="B4274" s="121">
        <v>360</v>
      </c>
      <c r="C4274" s="121">
        <v>33</v>
      </c>
      <c r="D4274" s="734">
        <v>147.01726278209338</v>
      </c>
      <c r="E4274" s="733"/>
    </row>
    <row r="4275" spans="2:5">
      <c r="B4275" s="121">
        <v>360</v>
      </c>
      <c r="C4275" s="121">
        <v>34</v>
      </c>
      <c r="D4275" s="734">
        <v>139.32363186330579</v>
      </c>
      <c r="E4275" s="733"/>
    </row>
    <row r="4276" spans="2:5">
      <c r="B4276" s="121">
        <v>360</v>
      </c>
      <c r="C4276" s="121">
        <v>35</v>
      </c>
      <c r="D4276" s="734">
        <v>142.20063138549818</v>
      </c>
      <c r="E4276" s="733"/>
    </row>
    <row r="4277" spans="2:5">
      <c r="B4277" s="121">
        <v>360</v>
      </c>
      <c r="C4277" s="121">
        <v>36</v>
      </c>
      <c r="D4277" s="734">
        <v>138.79662008952943</v>
      </c>
      <c r="E4277" s="733"/>
    </row>
    <row r="4278" spans="2:5">
      <c r="B4278" s="121">
        <v>361</v>
      </c>
      <c r="C4278" s="121">
        <v>1</v>
      </c>
      <c r="D4278" s="734">
        <v>5</v>
      </c>
      <c r="E4278" s="733"/>
    </row>
    <row r="4279" spans="2:5">
      <c r="B4279" s="121">
        <v>361</v>
      </c>
      <c r="C4279" s="121">
        <v>2</v>
      </c>
      <c r="D4279" s="734">
        <v>99.005597795288551</v>
      </c>
      <c r="E4279" s="733"/>
    </row>
    <row r="4280" spans="2:5">
      <c r="B4280" s="121">
        <v>361</v>
      </c>
      <c r="C4280" s="121">
        <v>3</v>
      </c>
      <c r="D4280" s="734">
        <v>123.92178272835262</v>
      </c>
      <c r="E4280" s="733"/>
    </row>
    <row r="4281" spans="2:5">
      <c r="B4281" s="121">
        <v>361</v>
      </c>
      <c r="C4281" s="121">
        <v>4</v>
      </c>
      <c r="D4281" s="734">
        <v>143.66221005203954</v>
      </c>
      <c r="E4281" s="733"/>
    </row>
    <row r="4282" spans="2:5">
      <c r="B4282" s="121">
        <v>361</v>
      </c>
      <c r="C4282" s="121">
        <v>5</v>
      </c>
      <c r="D4282" s="734">
        <v>134.92689046497114</v>
      </c>
      <c r="E4282" s="733"/>
    </row>
    <row r="4283" spans="2:5">
      <c r="B4283" s="121">
        <v>361</v>
      </c>
      <c r="C4283" s="121">
        <v>6</v>
      </c>
      <c r="D4283" s="734">
        <v>135.68442170985335</v>
      </c>
      <c r="E4283" s="733"/>
    </row>
    <row r="4284" spans="2:5">
      <c r="B4284" s="121">
        <v>361</v>
      </c>
      <c r="C4284" s="121">
        <v>7</v>
      </c>
      <c r="D4284" s="734">
        <v>134.62811720553012</v>
      </c>
      <c r="E4284" s="733"/>
    </row>
    <row r="4285" spans="2:5">
      <c r="B4285" s="121">
        <v>361</v>
      </c>
      <c r="C4285" s="121">
        <v>8</v>
      </c>
      <c r="D4285" s="734">
        <v>146.33818852145993</v>
      </c>
      <c r="E4285" s="733"/>
    </row>
    <row r="4286" spans="2:5">
      <c r="B4286" s="121">
        <v>362</v>
      </c>
      <c r="C4286" s="121">
        <v>1</v>
      </c>
      <c r="D4286" s="734">
        <v>5</v>
      </c>
      <c r="E4286" s="733"/>
    </row>
    <row r="4287" spans="2:5">
      <c r="B4287" s="121">
        <v>362</v>
      </c>
      <c r="C4287" s="121">
        <v>2</v>
      </c>
      <c r="D4287" s="734">
        <v>100.05909076253829</v>
      </c>
      <c r="E4287" s="733"/>
    </row>
    <row r="4288" spans="2:5">
      <c r="B4288" s="121">
        <v>362</v>
      </c>
      <c r="C4288" s="121">
        <v>3</v>
      </c>
      <c r="D4288" s="734">
        <v>119.08546091467439</v>
      </c>
      <c r="E4288" s="733"/>
    </row>
    <row r="4289" spans="2:5">
      <c r="B4289" s="121">
        <v>362</v>
      </c>
      <c r="C4289" s="121">
        <v>4</v>
      </c>
      <c r="D4289" s="734">
        <v>138.69252003581556</v>
      </c>
      <c r="E4289" s="733"/>
    </row>
    <row r="4290" spans="2:5">
      <c r="B4290" s="121">
        <v>363</v>
      </c>
      <c r="C4290" s="121">
        <v>1</v>
      </c>
      <c r="D4290" s="734">
        <v>5</v>
      </c>
      <c r="E4290" s="733"/>
    </row>
    <row r="4291" spans="2:5">
      <c r="B4291" s="121">
        <v>363</v>
      </c>
      <c r="C4291" s="121">
        <v>2</v>
      </c>
      <c r="D4291" s="734">
        <v>94.245922810881865</v>
      </c>
      <c r="E4291" s="733"/>
    </row>
    <row r="4292" spans="2:5">
      <c r="B4292" s="121">
        <v>363</v>
      </c>
      <c r="C4292" s="121">
        <v>3</v>
      </c>
      <c r="D4292" s="734">
        <v>119.25189695186215</v>
      </c>
      <c r="E4292" s="733"/>
    </row>
    <row r="4293" spans="2:5">
      <c r="B4293" s="121">
        <v>363</v>
      </c>
      <c r="C4293" s="121">
        <v>4</v>
      </c>
      <c r="D4293" s="734">
        <v>145.01652968411028</v>
      </c>
      <c r="E4293" s="733"/>
    </row>
    <row r="4294" spans="2:5">
      <c r="B4294" s="121">
        <v>363</v>
      </c>
      <c r="C4294" s="121">
        <v>5</v>
      </c>
      <c r="D4294" s="734">
        <v>142.25240122312314</v>
      </c>
      <c r="E4294" s="733"/>
    </row>
    <row r="4295" spans="2:5">
      <c r="B4295" s="121">
        <v>363</v>
      </c>
      <c r="C4295" s="121">
        <v>6</v>
      </c>
      <c r="D4295" s="734">
        <v>137.03223069996099</v>
      </c>
      <c r="E4295" s="733"/>
    </row>
    <row r="4296" spans="2:5">
      <c r="B4296" s="121">
        <v>363</v>
      </c>
      <c r="C4296" s="121">
        <v>7</v>
      </c>
      <c r="D4296" s="734">
        <v>134.76663284504193</v>
      </c>
      <c r="E4296" s="733"/>
    </row>
    <row r="4297" spans="2:5">
      <c r="B4297" s="121">
        <v>363</v>
      </c>
      <c r="C4297" s="121">
        <v>8</v>
      </c>
      <c r="D4297" s="734">
        <v>138.85723978553216</v>
      </c>
      <c r="E4297" s="733"/>
    </row>
    <row r="4298" spans="2:5">
      <c r="B4298" s="121">
        <v>363</v>
      </c>
      <c r="C4298" s="121">
        <v>9</v>
      </c>
      <c r="D4298" s="734">
        <v>145.32801946269538</v>
      </c>
      <c r="E4298" s="733"/>
    </row>
    <row r="4299" spans="2:5">
      <c r="B4299" s="121">
        <v>363</v>
      </c>
      <c r="C4299" s="121">
        <v>10</v>
      </c>
      <c r="D4299" s="734">
        <v>140.41461657466112</v>
      </c>
      <c r="E4299" s="733"/>
    </row>
    <row r="4300" spans="2:5">
      <c r="B4300" s="121">
        <v>363</v>
      </c>
      <c r="C4300" s="121">
        <v>11</v>
      </c>
      <c r="D4300" s="734">
        <v>141.43261463198536</v>
      </c>
      <c r="E4300" s="733"/>
    </row>
    <row r="4301" spans="2:5">
      <c r="B4301" s="121">
        <v>363</v>
      </c>
      <c r="C4301" s="121">
        <v>12</v>
      </c>
      <c r="D4301" s="734">
        <v>138.18394205597249</v>
      </c>
      <c r="E4301" s="733"/>
    </row>
    <row r="4302" spans="2:5">
      <c r="B4302" s="121">
        <v>363</v>
      </c>
      <c r="C4302" s="121">
        <v>13</v>
      </c>
      <c r="D4302" s="734">
        <v>146.45172701665237</v>
      </c>
      <c r="E4302" s="733"/>
    </row>
    <row r="4303" spans="2:5">
      <c r="B4303" s="121">
        <v>363</v>
      </c>
      <c r="C4303" s="121">
        <v>14</v>
      </c>
      <c r="D4303" s="734">
        <v>146.51236420864578</v>
      </c>
      <c r="E4303" s="733"/>
    </row>
    <row r="4304" spans="2:5">
      <c r="B4304" s="121">
        <v>363</v>
      </c>
      <c r="C4304" s="121">
        <v>15</v>
      </c>
      <c r="D4304" s="734">
        <v>146.86284027590986</v>
      </c>
      <c r="E4304" s="733"/>
    </row>
    <row r="4305" spans="2:5">
      <c r="B4305" s="121">
        <v>363</v>
      </c>
      <c r="C4305" s="121">
        <v>16</v>
      </c>
      <c r="D4305" s="734">
        <v>139.00743965100324</v>
      </c>
      <c r="E4305" s="733"/>
    </row>
    <row r="4306" spans="2:5">
      <c r="B4306" s="121">
        <v>363</v>
      </c>
      <c r="C4306" s="121">
        <v>17</v>
      </c>
      <c r="D4306" s="734">
        <v>143.92121589484321</v>
      </c>
      <c r="E4306" s="733"/>
    </row>
    <row r="4307" spans="2:5">
      <c r="B4307" s="121">
        <v>363</v>
      </c>
      <c r="C4307" s="121">
        <v>18</v>
      </c>
      <c r="D4307" s="734">
        <v>137.02790002761094</v>
      </c>
      <c r="E4307" s="733"/>
    </row>
    <row r="4308" spans="2:5">
      <c r="B4308" s="121">
        <v>363</v>
      </c>
      <c r="C4308" s="121">
        <v>19</v>
      </c>
      <c r="D4308" s="734">
        <v>141.33577870607192</v>
      </c>
      <c r="E4308" s="733"/>
    </row>
    <row r="4309" spans="2:5">
      <c r="B4309" s="121">
        <v>363</v>
      </c>
      <c r="C4309" s="121">
        <v>20</v>
      </c>
      <c r="D4309" s="734">
        <v>136.22275960612404</v>
      </c>
      <c r="E4309" s="733"/>
    </row>
    <row r="4310" spans="2:5">
      <c r="B4310" s="121">
        <v>363</v>
      </c>
      <c r="C4310" s="121">
        <v>21</v>
      </c>
      <c r="D4310" s="734">
        <v>141.7751508461547</v>
      </c>
      <c r="E4310" s="733"/>
    </row>
    <row r="4311" spans="2:5">
      <c r="B4311" s="121">
        <v>363</v>
      </c>
      <c r="C4311" s="121">
        <v>22</v>
      </c>
      <c r="D4311" s="734">
        <v>140.56624779259377</v>
      </c>
      <c r="E4311" s="733"/>
    </row>
    <row r="4312" spans="2:5">
      <c r="B4312" s="121">
        <v>363</v>
      </c>
      <c r="C4312" s="121">
        <v>23</v>
      </c>
      <c r="D4312" s="734">
        <v>138.43309963565528</v>
      </c>
      <c r="E4312" s="733"/>
    </row>
    <row r="4313" spans="2:5">
      <c r="B4313" s="121">
        <v>363</v>
      </c>
      <c r="C4313" s="121">
        <v>24</v>
      </c>
      <c r="D4313" s="734">
        <v>146.09781774970244</v>
      </c>
      <c r="E4313" s="733"/>
    </row>
    <row r="4314" spans="2:5">
      <c r="B4314" s="121">
        <v>363</v>
      </c>
      <c r="C4314" s="121">
        <v>25</v>
      </c>
      <c r="D4314" s="734">
        <v>135.46361491293999</v>
      </c>
      <c r="E4314" s="733"/>
    </row>
    <row r="4315" spans="2:5">
      <c r="B4315" s="121">
        <v>363</v>
      </c>
      <c r="C4315" s="121">
        <v>26</v>
      </c>
      <c r="D4315" s="734">
        <v>135.73797277747002</v>
      </c>
      <c r="E4315" s="733"/>
    </row>
    <row r="4316" spans="2:5">
      <c r="B4316" s="121">
        <v>363</v>
      </c>
      <c r="C4316" s="121">
        <v>27</v>
      </c>
      <c r="D4316" s="734">
        <v>143.79599792202836</v>
      </c>
      <c r="E4316" s="733"/>
    </row>
    <row r="4317" spans="2:5">
      <c r="B4317" s="121">
        <v>363</v>
      </c>
      <c r="C4317" s="121">
        <v>28</v>
      </c>
      <c r="D4317" s="734">
        <v>141.0448852667167</v>
      </c>
      <c r="E4317" s="733"/>
    </row>
    <row r="4318" spans="2:5">
      <c r="B4318" s="121">
        <v>363</v>
      </c>
      <c r="C4318" s="121">
        <v>29</v>
      </c>
      <c r="D4318" s="734">
        <v>133.96209821618646</v>
      </c>
      <c r="E4318" s="733"/>
    </row>
    <row r="4319" spans="2:5">
      <c r="B4319" s="121">
        <v>363</v>
      </c>
      <c r="C4319" s="121">
        <v>30</v>
      </c>
      <c r="D4319" s="734">
        <v>140.70668617868733</v>
      </c>
      <c r="E4319" s="733"/>
    </row>
    <row r="4320" spans="2:5">
      <c r="B4320" s="121">
        <v>363</v>
      </c>
      <c r="C4320" s="121">
        <v>31</v>
      </c>
      <c r="D4320" s="734">
        <v>136.44731902818936</v>
      </c>
      <c r="E4320" s="733"/>
    </row>
    <row r="4321" spans="2:5">
      <c r="B4321" s="121">
        <v>363</v>
      </c>
      <c r="C4321" s="121">
        <v>32</v>
      </c>
      <c r="D4321" s="734">
        <v>139.50700555986589</v>
      </c>
      <c r="E4321" s="733"/>
    </row>
    <row r="4322" spans="2:5">
      <c r="B4322" s="121">
        <v>363</v>
      </c>
      <c r="C4322" s="121">
        <v>33</v>
      </c>
      <c r="D4322" s="734">
        <v>135.84095740325958</v>
      </c>
      <c r="E4322" s="733"/>
    </row>
    <row r="4323" spans="2:5">
      <c r="B4323" s="121">
        <v>363</v>
      </c>
      <c r="C4323" s="121">
        <v>34</v>
      </c>
      <c r="D4323" s="734">
        <v>143.76173153235999</v>
      </c>
      <c r="E4323" s="733"/>
    </row>
    <row r="4324" spans="2:5">
      <c r="B4324" s="121">
        <v>363</v>
      </c>
      <c r="C4324" s="121">
        <v>35</v>
      </c>
      <c r="D4324" s="734">
        <v>136.74137496066407</v>
      </c>
      <c r="E4324" s="733"/>
    </row>
    <row r="4325" spans="2:5">
      <c r="B4325" s="121">
        <v>363</v>
      </c>
      <c r="C4325" s="121">
        <v>36</v>
      </c>
      <c r="D4325" s="734">
        <v>138.00633135636255</v>
      </c>
      <c r="E4325" s="733"/>
    </row>
    <row r="4326" spans="2:5">
      <c r="B4326" s="121">
        <v>364</v>
      </c>
      <c r="C4326" s="121">
        <v>1</v>
      </c>
      <c r="D4326" s="734">
        <v>5</v>
      </c>
      <c r="E4326" s="733"/>
    </row>
    <row r="4327" spans="2:5">
      <c r="B4327" s="121">
        <v>364</v>
      </c>
      <c r="C4327" s="121">
        <v>2</v>
      </c>
      <c r="D4327" s="734">
        <v>94.057321040268491</v>
      </c>
      <c r="E4327" s="733"/>
    </row>
    <row r="4328" spans="2:5">
      <c r="B4328" s="121">
        <v>364</v>
      </c>
      <c r="C4328" s="121">
        <v>3</v>
      </c>
      <c r="D4328" s="734">
        <v>119.02018574439819</v>
      </c>
      <c r="E4328" s="733"/>
    </row>
    <row r="4329" spans="2:5">
      <c r="B4329" s="121">
        <v>364</v>
      </c>
      <c r="C4329" s="121">
        <v>4</v>
      </c>
      <c r="D4329" s="734">
        <v>141.0364744010694</v>
      </c>
      <c r="E4329" s="733"/>
    </row>
    <row r="4330" spans="2:5">
      <c r="B4330" s="121">
        <v>364</v>
      </c>
      <c r="C4330" s="121">
        <v>5</v>
      </c>
      <c r="D4330" s="734">
        <v>142.29765919252281</v>
      </c>
      <c r="E4330" s="733"/>
    </row>
    <row r="4331" spans="2:5">
      <c r="B4331" s="121">
        <v>364</v>
      </c>
      <c r="C4331" s="121">
        <v>6</v>
      </c>
      <c r="D4331" s="734">
        <v>135.19141101167014</v>
      </c>
      <c r="E4331" s="733"/>
    </row>
    <row r="4332" spans="2:5">
      <c r="B4332" s="121">
        <v>364</v>
      </c>
      <c r="C4332" s="121">
        <v>7</v>
      </c>
      <c r="D4332" s="734">
        <v>133.69345184138928</v>
      </c>
      <c r="E4332" s="733"/>
    </row>
    <row r="4333" spans="2:5">
      <c r="B4333" s="121">
        <v>364</v>
      </c>
      <c r="C4333" s="121">
        <v>8</v>
      </c>
      <c r="D4333" s="734">
        <v>140.68175594957518</v>
      </c>
      <c r="E4333" s="733"/>
    </row>
    <row r="4334" spans="2:5">
      <c r="B4334" s="121">
        <v>364</v>
      </c>
      <c r="C4334" s="121">
        <v>9</v>
      </c>
      <c r="D4334" s="734">
        <v>137.37464619228501</v>
      </c>
      <c r="E4334" s="733"/>
    </row>
    <row r="4335" spans="2:5">
      <c r="B4335" s="121">
        <v>364</v>
      </c>
      <c r="C4335" s="121">
        <v>10</v>
      </c>
      <c r="D4335" s="734">
        <v>133.91420941795977</v>
      </c>
      <c r="E4335" s="733"/>
    </row>
    <row r="4336" spans="2:5">
      <c r="B4336" s="121">
        <v>364</v>
      </c>
      <c r="C4336" s="121">
        <v>11</v>
      </c>
      <c r="D4336" s="734">
        <v>146.68375614307882</v>
      </c>
      <c r="E4336" s="733"/>
    </row>
    <row r="4337" spans="2:5">
      <c r="B4337" s="121">
        <v>364</v>
      </c>
      <c r="C4337" s="121">
        <v>12</v>
      </c>
      <c r="D4337" s="734">
        <v>140.78638199895408</v>
      </c>
      <c r="E4337" s="733"/>
    </row>
    <row r="4338" spans="2:5">
      <c r="B4338" s="121">
        <v>364</v>
      </c>
      <c r="C4338" s="121">
        <v>13</v>
      </c>
      <c r="D4338" s="734">
        <v>142.91207817820865</v>
      </c>
      <c r="E4338" s="733"/>
    </row>
    <row r="4339" spans="2:5">
      <c r="B4339" s="121">
        <v>364</v>
      </c>
      <c r="C4339" s="121">
        <v>14</v>
      </c>
      <c r="D4339" s="734">
        <v>144.01366703322287</v>
      </c>
      <c r="E4339" s="733"/>
    </row>
    <row r="4340" spans="2:5">
      <c r="B4340" s="121">
        <v>364</v>
      </c>
      <c r="C4340" s="121">
        <v>15</v>
      </c>
      <c r="D4340" s="734">
        <v>141.24622510607256</v>
      </c>
      <c r="E4340" s="733"/>
    </row>
    <row r="4341" spans="2:5">
      <c r="B4341" s="121">
        <v>364</v>
      </c>
      <c r="C4341" s="121">
        <v>16</v>
      </c>
      <c r="D4341" s="734">
        <v>146.80162174143427</v>
      </c>
      <c r="E4341" s="733"/>
    </row>
    <row r="4342" spans="2:5">
      <c r="B4342" s="121">
        <v>364</v>
      </c>
      <c r="C4342" s="121">
        <v>17</v>
      </c>
      <c r="D4342" s="734">
        <v>134.42070210548869</v>
      </c>
      <c r="E4342" s="733"/>
    </row>
    <row r="4343" spans="2:5">
      <c r="B4343" s="121">
        <v>364</v>
      </c>
      <c r="C4343" s="121">
        <v>18</v>
      </c>
      <c r="D4343" s="734">
        <v>143.82075109318544</v>
      </c>
      <c r="E4343" s="733"/>
    </row>
    <row r="4344" spans="2:5">
      <c r="B4344" s="121">
        <v>364</v>
      </c>
      <c r="C4344" s="121">
        <v>19</v>
      </c>
      <c r="D4344" s="734">
        <v>135.6538232139028</v>
      </c>
      <c r="E4344" s="733"/>
    </row>
    <row r="4345" spans="2:5">
      <c r="B4345" s="121">
        <v>364</v>
      </c>
      <c r="C4345" s="121">
        <v>20</v>
      </c>
      <c r="D4345" s="734">
        <v>142.0831200903076</v>
      </c>
      <c r="E4345" s="733"/>
    </row>
    <row r="4346" spans="2:5">
      <c r="B4346" s="121">
        <v>364</v>
      </c>
      <c r="C4346" s="121">
        <v>21</v>
      </c>
      <c r="D4346" s="734">
        <v>141.20597023666429</v>
      </c>
      <c r="E4346" s="733"/>
    </row>
    <row r="4347" spans="2:5">
      <c r="B4347" s="121">
        <v>364</v>
      </c>
      <c r="C4347" s="121">
        <v>22</v>
      </c>
      <c r="D4347" s="734">
        <v>133.9384238868746</v>
      </c>
      <c r="E4347" s="733"/>
    </row>
    <row r="4348" spans="2:5">
      <c r="B4348" s="121">
        <v>364</v>
      </c>
      <c r="C4348" s="121">
        <v>23</v>
      </c>
      <c r="D4348" s="734">
        <v>143.30695705527575</v>
      </c>
      <c r="E4348" s="733"/>
    </row>
    <row r="4349" spans="2:5">
      <c r="B4349" s="121">
        <v>364</v>
      </c>
      <c r="C4349" s="121">
        <v>24</v>
      </c>
      <c r="D4349" s="734">
        <v>146.0104762853656</v>
      </c>
      <c r="E4349" s="733"/>
    </row>
    <row r="4350" spans="2:5">
      <c r="B4350" s="121">
        <v>364</v>
      </c>
      <c r="C4350" s="121">
        <v>25</v>
      </c>
      <c r="D4350" s="734">
        <v>136.17971731196107</v>
      </c>
      <c r="E4350" s="733"/>
    </row>
    <row r="4351" spans="2:5">
      <c r="B4351" s="121">
        <v>364</v>
      </c>
      <c r="C4351" s="121">
        <v>26</v>
      </c>
      <c r="D4351" s="734">
        <v>136.43268534923027</v>
      </c>
      <c r="E4351" s="733"/>
    </row>
    <row r="4352" spans="2:5">
      <c r="B4352" s="121">
        <v>364</v>
      </c>
      <c r="C4352" s="121">
        <v>27</v>
      </c>
      <c r="D4352" s="734">
        <v>141.08901573492304</v>
      </c>
      <c r="E4352" s="733"/>
    </row>
    <row r="4353" spans="2:5">
      <c r="B4353" s="121">
        <v>364</v>
      </c>
      <c r="C4353" s="121">
        <v>28</v>
      </c>
      <c r="D4353" s="734">
        <v>140.25029213878364</v>
      </c>
      <c r="E4353" s="733"/>
    </row>
    <row r="4354" spans="2:5">
      <c r="B4354" s="121">
        <v>364</v>
      </c>
      <c r="C4354" s="121">
        <v>29</v>
      </c>
      <c r="D4354" s="734">
        <v>140.60835497622091</v>
      </c>
      <c r="E4354" s="733"/>
    </row>
    <row r="4355" spans="2:5">
      <c r="B4355" s="121">
        <v>365</v>
      </c>
      <c r="C4355" s="121">
        <v>1</v>
      </c>
      <c r="D4355" s="734">
        <v>5</v>
      </c>
      <c r="E4355" s="733"/>
    </row>
    <row r="4356" spans="2:5">
      <c r="B4356" s="121">
        <v>365</v>
      </c>
      <c r="C4356" s="121">
        <v>2</v>
      </c>
      <c r="D4356" s="734">
        <v>94.895536068811509</v>
      </c>
      <c r="E4356" s="733"/>
    </row>
    <row r="4357" spans="2:5">
      <c r="B4357" s="121">
        <v>365</v>
      </c>
      <c r="C4357" s="121">
        <v>3</v>
      </c>
      <c r="D4357" s="734">
        <v>123.59658238331401</v>
      </c>
      <c r="E4357" s="733"/>
    </row>
    <row r="4358" spans="2:5">
      <c r="B4358" s="121">
        <v>365</v>
      </c>
      <c r="C4358" s="121">
        <v>4</v>
      </c>
      <c r="D4358" s="734">
        <v>135.27902409671043</v>
      </c>
      <c r="E4358" s="733"/>
    </row>
    <row r="4359" spans="2:5">
      <c r="B4359" s="121">
        <v>365</v>
      </c>
      <c r="C4359" s="121">
        <v>5</v>
      </c>
      <c r="D4359" s="734">
        <v>139.6948611965793</v>
      </c>
      <c r="E4359" s="733"/>
    </row>
    <row r="4360" spans="2:5">
      <c r="B4360" s="121">
        <v>365</v>
      </c>
      <c r="C4360" s="121">
        <v>6</v>
      </c>
      <c r="D4360" s="734">
        <v>142.93063876096269</v>
      </c>
      <c r="E4360" s="733"/>
    </row>
    <row r="4361" spans="2:5">
      <c r="B4361" s="121">
        <v>365</v>
      </c>
      <c r="C4361" s="121">
        <v>7</v>
      </c>
      <c r="D4361" s="734">
        <v>139.73859382843864</v>
      </c>
      <c r="E4361" s="733"/>
    </row>
    <row r="4362" spans="2:5">
      <c r="B4362" s="121">
        <v>365</v>
      </c>
      <c r="C4362" s="121">
        <v>8</v>
      </c>
      <c r="D4362" s="734">
        <v>137.49460675016903</v>
      </c>
      <c r="E4362" s="733"/>
    </row>
    <row r="4363" spans="2:5">
      <c r="B4363" s="121">
        <v>365</v>
      </c>
      <c r="C4363" s="121">
        <v>9</v>
      </c>
      <c r="D4363" s="734">
        <v>138.52137619885173</v>
      </c>
      <c r="E4363" s="733"/>
    </row>
    <row r="4364" spans="2:5">
      <c r="B4364" s="121">
        <v>365</v>
      </c>
      <c r="C4364" s="121">
        <v>10</v>
      </c>
      <c r="D4364" s="734">
        <v>144.80178975166697</v>
      </c>
      <c r="E4364" s="733"/>
    </row>
    <row r="4365" spans="2:5">
      <c r="B4365" s="121">
        <v>365</v>
      </c>
      <c r="C4365" s="121">
        <v>11</v>
      </c>
      <c r="D4365" s="734">
        <v>143.35065939735054</v>
      </c>
      <c r="E4365" s="733"/>
    </row>
    <row r="4366" spans="2:5">
      <c r="B4366" s="121">
        <v>365</v>
      </c>
      <c r="C4366" s="121">
        <v>12</v>
      </c>
      <c r="D4366" s="734">
        <v>137.7687245665179</v>
      </c>
      <c r="E4366" s="733"/>
    </row>
    <row r="4367" spans="2:5">
      <c r="B4367" s="121">
        <v>366</v>
      </c>
      <c r="C4367" s="121">
        <v>1</v>
      </c>
      <c r="D4367" s="734">
        <v>5</v>
      </c>
      <c r="E4367" s="733"/>
    </row>
    <row r="4368" spans="2:5">
      <c r="B4368" s="121">
        <v>366</v>
      </c>
      <c r="C4368" s="121">
        <v>2</v>
      </c>
      <c r="D4368" s="734">
        <v>100.55239105376263</v>
      </c>
      <c r="E4368" s="733"/>
    </row>
    <row r="4369" spans="2:5">
      <c r="B4369" s="121">
        <v>366</v>
      </c>
      <c r="C4369" s="121">
        <v>3</v>
      </c>
      <c r="D4369" s="734">
        <v>118.19089118713448</v>
      </c>
      <c r="E4369" s="733"/>
    </row>
    <row r="4370" spans="2:5">
      <c r="B4370" s="121">
        <v>366</v>
      </c>
      <c r="C4370" s="121">
        <v>4</v>
      </c>
      <c r="D4370" s="734">
        <v>135.35414032511656</v>
      </c>
      <c r="E4370" s="733"/>
    </row>
    <row r="4371" spans="2:5">
      <c r="B4371" s="121">
        <v>366</v>
      </c>
      <c r="C4371" s="121">
        <v>5</v>
      </c>
      <c r="D4371" s="734">
        <v>144.76223498058721</v>
      </c>
      <c r="E4371" s="733"/>
    </row>
    <row r="4372" spans="2:5">
      <c r="B4372" s="121">
        <v>366</v>
      </c>
      <c r="C4372" s="121">
        <v>6</v>
      </c>
      <c r="D4372" s="734">
        <v>137.79392851704978</v>
      </c>
      <c r="E4372" s="733"/>
    </row>
    <row r="4373" spans="2:5">
      <c r="B4373" s="121">
        <v>366</v>
      </c>
      <c r="C4373" s="121">
        <v>7</v>
      </c>
      <c r="D4373" s="734">
        <v>135.50731333604062</v>
      </c>
      <c r="E4373" s="733"/>
    </row>
    <row r="4374" spans="2:5">
      <c r="B4374" s="121">
        <v>366</v>
      </c>
      <c r="C4374" s="121">
        <v>8</v>
      </c>
      <c r="D4374" s="734">
        <v>146.66963483909328</v>
      </c>
      <c r="E4374" s="733"/>
    </row>
    <row r="4375" spans="2:5">
      <c r="B4375" s="121">
        <v>366</v>
      </c>
      <c r="C4375" s="121">
        <v>9</v>
      </c>
      <c r="D4375" s="734">
        <v>143.83126821949597</v>
      </c>
      <c r="E4375" s="733"/>
    </row>
    <row r="4376" spans="2:5">
      <c r="B4376" s="121">
        <v>366</v>
      </c>
      <c r="C4376" s="121">
        <v>10</v>
      </c>
      <c r="D4376" s="734">
        <v>144.02236211328923</v>
      </c>
      <c r="E4376" s="733"/>
    </row>
    <row r="4377" spans="2:5">
      <c r="B4377" s="121">
        <v>366</v>
      </c>
      <c r="C4377" s="121">
        <v>11</v>
      </c>
      <c r="D4377" s="734">
        <v>137.04026743628359</v>
      </c>
      <c r="E4377" s="733"/>
    </row>
    <row r="4378" spans="2:5">
      <c r="B4378" s="121">
        <v>366</v>
      </c>
      <c r="C4378" s="121">
        <v>12</v>
      </c>
      <c r="D4378" s="734">
        <v>145.98689969192307</v>
      </c>
      <c r="E4378" s="733"/>
    </row>
    <row r="4379" spans="2:5">
      <c r="B4379" s="121">
        <v>366</v>
      </c>
      <c r="C4379" s="121">
        <v>13</v>
      </c>
      <c r="D4379" s="734">
        <v>144.91129370492098</v>
      </c>
      <c r="E4379" s="733"/>
    </row>
    <row r="4380" spans="2:5">
      <c r="B4380" s="121">
        <v>366</v>
      </c>
      <c r="C4380" s="121">
        <v>14</v>
      </c>
      <c r="D4380" s="734">
        <v>135.2332660984527</v>
      </c>
      <c r="E4380" s="733"/>
    </row>
    <row r="4381" spans="2:5">
      <c r="B4381" s="121">
        <v>366</v>
      </c>
      <c r="C4381" s="121">
        <v>15</v>
      </c>
      <c r="D4381" s="734">
        <v>146.60399092885427</v>
      </c>
      <c r="E4381" s="733"/>
    </row>
    <row r="4382" spans="2:5">
      <c r="B4382" s="121">
        <v>366</v>
      </c>
      <c r="C4382" s="121">
        <v>16</v>
      </c>
      <c r="D4382" s="734">
        <v>145.27619976843914</v>
      </c>
      <c r="E4382" s="733"/>
    </row>
    <row r="4383" spans="2:5">
      <c r="B4383" s="121">
        <v>366</v>
      </c>
      <c r="C4383" s="121">
        <v>17</v>
      </c>
      <c r="D4383" s="734">
        <v>135.70766050196897</v>
      </c>
      <c r="E4383" s="733"/>
    </row>
    <row r="4384" spans="2:5">
      <c r="B4384" s="121">
        <v>367</v>
      </c>
      <c r="C4384" s="121">
        <v>1</v>
      </c>
      <c r="D4384" s="734">
        <v>5</v>
      </c>
      <c r="E4384" s="733"/>
    </row>
    <row r="4385" spans="2:5">
      <c r="B4385" s="121">
        <v>367</v>
      </c>
      <c r="C4385" s="121">
        <v>2</v>
      </c>
      <c r="D4385" s="734">
        <v>100.00530020142602</v>
      </c>
      <c r="E4385" s="733"/>
    </row>
    <row r="4386" spans="2:5">
      <c r="B4386" s="121">
        <v>367</v>
      </c>
      <c r="C4386" s="121">
        <v>3</v>
      </c>
      <c r="D4386" s="734">
        <v>120.16026781168689</v>
      </c>
      <c r="E4386" s="733"/>
    </row>
    <row r="4387" spans="2:5">
      <c r="B4387" s="121">
        <v>368</v>
      </c>
      <c r="C4387" s="121">
        <v>1</v>
      </c>
      <c r="D4387" s="734">
        <v>5</v>
      </c>
      <c r="E4387" s="733"/>
    </row>
    <row r="4388" spans="2:5">
      <c r="B4388" s="121">
        <v>368</v>
      </c>
      <c r="C4388" s="121">
        <v>2</v>
      </c>
      <c r="D4388" s="734">
        <v>97.701357881678177</v>
      </c>
      <c r="E4388" s="733"/>
    </row>
    <row r="4389" spans="2:5">
      <c r="B4389" s="121">
        <v>368</v>
      </c>
      <c r="C4389" s="121">
        <v>3</v>
      </c>
      <c r="D4389" s="734">
        <v>123.23417352483364</v>
      </c>
      <c r="E4389" s="733"/>
    </row>
    <row r="4390" spans="2:5">
      <c r="B4390" s="121">
        <v>368</v>
      </c>
      <c r="C4390" s="121">
        <v>4</v>
      </c>
      <c r="D4390" s="734">
        <v>134.62104024082907</v>
      </c>
      <c r="E4390" s="733"/>
    </row>
    <row r="4391" spans="2:5">
      <c r="B4391" s="121">
        <v>368</v>
      </c>
      <c r="C4391" s="121">
        <v>5</v>
      </c>
      <c r="D4391" s="734">
        <v>140.78169981276594</v>
      </c>
      <c r="E4391" s="733"/>
    </row>
    <row r="4392" spans="2:5">
      <c r="B4392" s="121">
        <v>368</v>
      </c>
      <c r="C4392" s="121">
        <v>6</v>
      </c>
      <c r="D4392" s="734">
        <v>141.5155847374696</v>
      </c>
      <c r="E4392" s="733"/>
    </row>
    <row r="4393" spans="2:5">
      <c r="B4393" s="121">
        <v>368</v>
      </c>
      <c r="C4393" s="121">
        <v>7</v>
      </c>
      <c r="D4393" s="734">
        <v>146.82211676084933</v>
      </c>
      <c r="E4393" s="733"/>
    </row>
    <row r="4394" spans="2:5">
      <c r="B4394" s="121">
        <v>368</v>
      </c>
      <c r="C4394" s="121">
        <v>8</v>
      </c>
      <c r="D4394" s="734">
        <v>141.77702102360848</v>
      </c>
      <c r="E4394" s="733"/>
    </row>
    <row r="4395" spans="2:5">
      <c r="B4395" s="121">
        <v>368</v>
      </c>
      <c r="C4395" s="121">
        <v>9</v>
      </c>
      <c r="D4395" s="734">
        <v>138.03455459102767</v>
      </c>
      <c r="E4395" s="733"/>
    </row>
    <row r="4396" spans="2:5">
      <c r="B4396" s="121">
        <v>368</v>
      </c>
      <c r="C4396" s="121">
        <v>10</v>
      </c>
      <c r="D4396" s="734">
        <v>135.82729019091482</v>
      </c>
      <c r="E4396" s="733"/>
    </row>
    <row r="4397" spans="2:5">
      <c r="B4397" s="121">
        <v>368</v>
      </c>
      <c r="C4397" s="121">
        <v>11</v>
      </c>
      <c r="D4397" s="734">
        <v>146.8686524271364</v>
      </c>
      <c r="E4397" s="733"/>
    </row>
    <row r="4398" spans="2:5">
      <c r="B4398" s="121">
        <v>368</v>
      </c>
      <c r="C4398" s="121">
        <v>12</v>
      </c>
      <c r="D4398" s="734">
        <v>135.46286282838574</v>
      </c>
      <c r="E4398" s="733"/>
    </row>
    <row r="4399" spans="2:5">
      <c r="B4399" s="121">
        <v>368</v>
      </c>
      <c r="C4399" s="121">
        <v>13</v>
      </c>
      <c r="D4399" s="734">
        <v>146.43054652292025</v>
      </c>
      <c r="E4399" s="733"/>
    </row>
    <row r="4400" spans="2:5">
      <c r="B4400" s="121">
        <v>369</v>
      </c>
      <c r="C4400" s="121">
        <v>1</v>
      </c>
      <c r="D4400" s="734">
        <v>5</v>
      </c>
      <c r="E4400" s="733"/>
    </row>
    <row r="4401" spans="2:5">
      <c r="B4401" s="121">
        <v>369</v>
      </c>
      <c r="C4401" s="121">
        <v>2</v>
      </c>
      <c r="D4401" s="734">
        <v>94.947329334444547</v>
      </c>
      <c r="E4401" s="733"/>
    </row>
    <row r="4402" spans="2:5">
      <c r="B4402" s="121">
        <v>369</v>
      </c>
      <c r="C4402" s="121">
        <v>3</v>
      </c>
      <c r="D4402" s="734">
        <v>122.83877248384442</v>
      </c>
      <c r="E4402" s="733"/>
    </row>
    <row r="4403" spans="2:5">
      <c r="B4403" s="121">
        <v>369</v>
      </c>
      <c r="C4403" s="121">
        <v>4</v>
      </c>
      <c r="D4403" s="734">
        <v>142.77318823282766</v>
      </c>
      <c r="E4403" s="733"/>
    </row>
    <row r="4404" spans="2:5">
      <c r="B4404" s="121">
        <v>369</v>
      </c>
      <c r="C4404" s="121">
        <v>5</v>
      </c>
      <c r="D4404" s="734">
        <v>137.89461029276734</v>
      </c>
      <c r="E4404" s="733"/>
    </row>
    <row r="4405" spans="2:5">
      <c r="B4405" s="121">
        <v>369</v>
      </c>
      <c r="C4405" s="121">
        <v>6</v>
      </c>
      <c r="D4405" s="734">
        <v>142.90731947944619</v>
      </c>
      <c r="E4405" s="733"/>
    </row>
    <row r="4406" spans="2:5">
      <c r="B4406" s="121">
        <v>369</v>
      </c>
      <c r="C4406" s="121">
        <v>7</v>
      </c>
      <c r="D4406" s="734">
        <v>144.43175743765977</v>
      </c>
      <c r="E4406" s="733"/>
    </row>
    <row r="4407" spans="2:5">
      <c r="B4407" s="121">
        <v>370</v>
      </c>
      <c r="C4407" s="121">
        <v>1</v>
      </c>
      <c r="D4407" s="734">
        <v>5</v>
      </c>
      <c r="E4407" s="733"/>
    </row>
    <row r="4408" spans="2:5">
      <c r="B4408" s="121">
        <v>370</v>
      </c>
      <c r="C4408" s="121">
        <v>2</v>
      </c>
      <c r="D4408" s="734">
        <v>101.02411964157932</v>
      </c>
      <c r="E4408" s="733"/>
    </row>
    <row r="4409" spans="2:5">
      <c r="B4409" s="121">
        <v>370</v>
      </c>
      <c r="C4409" s="121">
        <v>3</v>
      </c>
      <c r="D4409" s="734">
        <v>123.70655082027628</v>
      </c>
      <c r="E4409" s="733"/>
    </row>
    <row r="4410" spans="2:5">
      <c r="B4410" s="121">
        <v>370</v>
      </c>
      <c r="C4410" s="121">
        <v>4</v>
      </c>
      <c r="D4410" s="734">
        <v>138.2866440456896</v>
      </c>
      <c r="E4410" s="733"/>
    </row>
    <row r="4411" spans="2:5">
      <c r="B4411" s="121">
        <v>370</v>
      </c>
      <c r="C4411" s="121">
        <v>5</v>
      </c>
      <c r="D4411" s="734">
        <v>141.39745145784462</v>
      </c>
      <c r="E4411" s="733"/>
    </row>
    <row r="4412" spans="2:5">
      <c r="B4412" s="121">
        <v>370</v>
      </c>
      <c r="C4412" s="121">
        <v>6</v>
      </c>
      <c r="D4412" s="734">
        <v>138.36896302281059</v>
      </c>
      <c r="E4412" s="733"/>
    </row>
    <row r="4413" spans="2:5">
      <c r="B4413" s="121">
        <v>370</v>
      </c>
      <c r="C4413" s="121">
        <v>7</v>
      </c>
      <c r="D4413" s="734">
        <v>145.81729034687709</v>
      </c>
      <c r="E4413" s="733"/>
    </row>
    <row r="4414" spans="2:5">
      <c r="B4414" s="121">
        <v>370</v>
      </c>
      <c r="C4414" s="121">
        <v>8</v>
      </c>
      <c r="D4414" s="734">
        <v>141.9560260860064</v>
      </c>
      <c r="E4414" s="733"/>
    </row>
    <row r="4415" spans="2:5">
      <c r="B4415" s="121">
        <v>370</v>
      </c>
      <c r="C4415" s="121">
        <v>9</v>
      </c>
      <c r="D4415" s="734">
        <v>146.87058548401887</v>
      </c>
      <c r="E4415" s="733"/>
    </row>
    <row r="4416" spans="2:5">
      <c r="B4416" s="121">
        <v>370</v>
      </c>
      <c r="C4416" s="121">
        <v>10</v>
      </c>
      <c r="D4416" s="734">
        <v>139.77995474491482</v>
      </c>
      <c r="E4416" s="733"/>
    </row>
    <row r="4417" spans="2:5">
      <c r="B4417" s="121">
        <v>370</v>
      </c>
      <c r="C4417" s="121">
        <v>11</v>
      </c>
      <c r="D4417" s="734">
        <v>141.25104520877065</v>
      </c>
      <c r="E4417" s="733"/>
    </row>
    <row r="4418" spans="2:5">
      <c r="B4418" s="121">
        <v>370</v>
      </c>
      <c r="C4418" s="121">
        <v>12</v>
      </c>
      <c r="D4418" s="734">
        <v>138.52754708223964</v>
      </c>
      <c r="E4418" s="733"/>
    </row>
    <row r="4419" spans="2:5">
      <c r="B4419" s="121">
        <v>370</v>
      </c>
      <c r="C4419" s="121">
        <v>13</v>
      </c>
      <c r="D4419" s="734">
        <v>144.37410963447559</v>
      </c>
      <c r="E4419" s="733"/>
    </row>
    <row r="4420" spans="2:5">
      <c r="B4420" s="121">
        <v>370</v>
      </c>
      <c r="C4420" s="121">
        <v>14</v>
      </c>
      <c r="D4420" s="734">
        <v>142.7399152721527</v>
      </c>
      <c r="E4420" s="733"/>
    </row>
    <row r="4421" spans="2:5">
      <c r="B4421" s="121">
        <v>370</v>
      </c>
      <c r="C4421" s="121">
        <v>15</v>
      </c>
      <c r="D4421" s="734">
        <v>136.23420545481468</v>
      </c>
      <c r="E4421" s="733"/>
    </row>
    <row r="4422" spans="2:5">
      <c r="B4422" s="121">
        <v>370</v>
      </c>
      <c r="C4422" s="121">
        <v>16</v>
      </c>
      <c r="D4422" s="734">
        <v>135.71933473722959</v>
      </c>
      <c r="E4422" s="733"/>
    </row>
    <row r="4423" spans="2:5">
      <c r="B4423" s="121">
        <v>370</v>
      </c>
      <c r="C4423" s="121">
        <v>17</v>
      </c>
      <c r="D4423" s="734">
        <v>139.55333251214557</v>
      </c>
      <c r="E4423" s="733"/>
    </row>
    <row r="4424" spans="2:5">
      <c r="B4424" s="121">
        <v>370</v>
      </c>
      <c r="C4424" s="121">
        <v>18</v>
      </c>
      <c r="D4424" s="734">
        <v>140.05525078105228</v>
      </c>
      <c r="E4424" s="733"/>
    </row>
    <row r="4425" spans="2:5">
      <c r="B4425" s="121">
        <v>370</v>
      </c>
      <c r="C4425" s="121">
        <v>19</v>
      </c>
      <c r="D4425" s="734">
        <v>143.76235132393785</v>
      </c>
      <c r="E4425" s="733"/>
    </row>
    <row r="4426" spans="2:5">
      <c r="B4426" s="121">
        <v>370</v>
      </c>
      <c r="C4426" s="121">
        <v>20</v>
      </c>
      <c r="D4426" s="734">
        <v>147.22272178127852</v>
      </c>
      <c r="E4426" s="733"/>
    </row>
    <row r="4427" spans="2:5">
      <c r="B4427" s="121">
        <v>370</v>
      </c>
      <c r="C4427" s="121">
        <v>21</v>
      </c>
      <c r="D4427" s="734">
        <v>139.04514138174187</v>
      </c>
      <c r="E4427" s="733"/>
    </row>
    <row r="4428" spans="2:5">
      <c r="B4428" s="121">
        <v>370</v>
      </c>
      <c r="C4428" s="121">
        <v>22</v>
      </c>
      <c r="D4428" s="734">
        <v>145.23160427180119</v>
      </c>
      <c r="E4428" s="733"/>
    </row>
    <row r="4429" spans="2:5">
      <c r="B4429" s="121">
        <v>370</v>
      </c>
      <c r="C4429" s="121">
        <v>23</v>
      </c>
      <c r="D4429" s="734">
        <v>146.67173457820365</v>
      </c>
      <c r="E4429" s="733"/>
    </row>
    <row r="4430" spans="2:5">
      <c r="B4430" s="121">
        <v>370</v>
      </c>
      <c r="C4430" s="121">
        <v>24</v>
      </c>
      <c r="D4430" s="734">
        <v>138.69323523797621</v>
      </c>
      <c r="E4430" s="733"/>
    </row>
    <row r="4431" spans="2:5">
      <c r="B4431" s="121">
        <v>370</v>
      </c>
      <c r="C4431" s="121">
        <v>25</v>
      </c>
      <c r="D4431" s="734">
        <v>139.51853435652481</v>
      </c>
      <c r="E4431" s="733"/>
    </row>
    <row r="4432" spans="2:5">
      <c r="B4432" s="121">
        <v>370</v>
      </c>
      <c r="C4432" s="121">
        <v>26</v>
      </c>
      <c r="D4432" s="734">
        <v>136.68262598936869</v>
      </c>
      <c r="E4432" s="733"/>
    </row>
    <row r="4433" spans="2:5">
      <c r="B4433" s="121">
        <v>370</v>
      </c>
      <c r="C4433" s="121">
        <v>27</v>
      </c>
      <c r="D4433" s="734">
        <v>147.09326321091638</v>
      </c>
      <c r="E4433" s="733"/>
    </row>
    <row r="4434" spans="2:5">
      <c r="B4434" s="121">
        <v>370</v>
      </c>
      <c r="C4434" s="121">
        <v>28</v>
      </c>
      <c r="D4434" s="734">
        <v>143.51755565656993</v>
      </c>
      <c r="E4434" s="733"/>
    </row>
    <row r="4435" spans="2:5">
      <c r="B4435" s="121">
        <v>370</v>
      </c>
      <c r="C4435" s="121">
        <v>29</v>
      </c>
      <c r="D4435" s="734">
        <v>134.83090929001855</v>
      </c>
      <c r="E4435" s="733"/>
    </row>
    <row r="4436" spans="2:5">
      <c r="B4436" s="121">
        <v>370</v>
      </c>
      <c r="C4436" s="121">
        <v>30</v>
      </c>
      <c r="D4436" s="734">
        <v>145.77765430358082</v>
      </c>
      <c r="E4436" s="733"/>
    </row>
    <row r="4437" spans="2:5">
      <c r="B4437" s="121">
        <v>370</v>
      </c>
      <c r="C4437" s="121">
        <v>31</v>
      </c>
      <c r="D4437" s="734">
        <v>146.73213390050589</v>
      </c>
      <c r="E4437" s="733"/>
    </row>
    <row r="4438" spans="2:5">
      <c r="B4438" s="121">
        <v>370</v>
      </c>
      <c r="C4438" s="121">
        <v>32</v>
      </c>
      <c r="D4438" s="734">
        <v>142.02259471978485</v>
      </c>
      <c r="E4438" s="733"/>
    </row>
    <row r="4439" spans="2:5">
      <c r="B4439" s="121">
        <v>370</v>
      </c>
      <c r="C4439" s="121">
        <v>33</v>
      </c>
      <c r="D4439" s="734">
        <v>143.85006049078726</v>
      </c>
      <c r="E4439" s="733"/>
    </row>
    <row r="4440" spans="2:5">
      <c r="B4440" s="121">
        <v>370</v>
      </c>
      <c r="C4440" s="121">
        <v>34</v>
      </c>
      <c r="D4440" s="734">
        <v>144.5253225746431</v>
      </c>
      <c r="E4440" s="733"/>
    </row>
    <row r="4441" spans="2:5">
      <c r="B4441" s="121">
        <v>370</v>
      </c>
      <c r="C4441" s="121">
        <v>35</v>
      </c>
      <c r="D4441" s="734">
        <v>134.37293842217326</v>
      </c>
      <c r="E4441" s="733"/>
    </row>
    <row r="4442" spans="2:5">
      <c r="B4442" s="121">
        <v>370</v>
      </c>
      <c r="C4442" s="121">
        <v>36</v>
      </c>
      <c r="D4442" s="734">
        <v>135.23882692972342</v>
      </c>
      <c r="E4442" s="733"/>
    </row>
    <row r="4443" spans="2:5">
      <c r="B4443" s="121">
        <v>371</v>
      </c>
      <c r="C4443" s="121">
        <v>1</v>
      </c>
      <c r="D4443" s="734">
        <v>5</v>
      </c>
      <c r="E4443" s="733"/>
    </row>
    <row r="4444" spans="2:5">
      <c r="B4444" s="121">
        <v>371</v>
      </c>
      <c r="C4444" s="121">
        <v>2</v>
      </c>
      <c r="D4444" s="734">
        <v>96.265148070498824</v>
      </c>
      <c r="E4444" s="733"/>
    </row>
    <row r="4445" spans="2:5">
      <c r="B4445" s="121">
        <v>371</v>
      </c>
      <c r="C4445" s="121">
        <v>3</v>
      </c>
      <c r="D4445" s="734">
        <v>119.25654964420472</v>
      </c>
      <c r="E4445" s="733"/>
    </row>
    <row r="4446" spans="2:5">
      <c r="B4446" s="121">
        <v>371</v>
      </c>
      <c r="C4446" s="121">
        <v>4</v>
      </c>
      <c r="D4446" s="734">
        <v>135.38963697041058</v>
      </c>
      <c r="E4446" s="733"/>
    </row>
    <row r="4447" spans="2:5">
      <c r="B4447" s="121">
        <v>371</v>
      </c>
      <c r="C4447" s="121">
        <v>5</v>
      </c>
      <c r="D4447" s="734">
        <v>140.60224189424508</v>
      </c>
      <c r="E4447" s="733"/>
    </row>
    <row r="4448" spans="2:5">
      <c r="B4448" s="121">
        <v>372</v>
      </c>
      <c r="C4448" s="121">
        <v>1</v>
      </c>
      <c r="D4448" s="734">
        <v>5</v>
      </c>
      <c r="E4448" s="733"/>
    </row>
    <row r="4449" spans="2:5">
      <c r="B4449" s="121">
        <v>372</v>
      </c>
      <c r="C4449" s="121">
        <v>2</v>
      </c>
      <c r="D4449" s="734">
        <v>97.831197669694632</v>
      </c>
      <c r="E4449" s="733"/>
    </row>
    <row r="4450" spans="2:5">
      <c r="B4450" s="121">
        <v>372</v>
      </c>
      <c r="C4450" s="121">
        <v>3</v>
      </c>
      <c r="D4450" s="734">
        <v>119.21961994850852</v>
      </c>
      <c r="E4450" s="733"/>
    </row>
    <row r="4451" spans="2:5">
      <c r="B4451" s="121">
        <v>372</v>
      </c>
      <c r="C4451" s="121">
        <v>4</v>
      </c>
      <c r="D4451" s="734">
        <v>146.21859936443659</v>
      </c>
      <c r="E4451" s="733"/>
    </row>
    <row r="4452" spans="2:5">
      <c r="B4452" s="121">
        <v>372</v>
      </c>
      <c r="C4452" s="121">
        <v>5</v>
      </c>
      <c r="D4452" s="734">
        <v>142.71974731061948</v>
      </c>
      <c r="E4452" s="733"/>
    </row>
    <row r="4453" spans="2:5">
      <c r="B4453" s="121">
        <v>372</v>
      </c>
      <c r="C4453" s="121">
        <v>6</v>
      </c>
      <c r="D4453" s="734">
        <v>134.41360091146367</v>
      </c>
      <c r="E4453" s="733"/>
    </row>
    <row r="4454" spans="2:5">
      <c r="B4454" s="121">
        <v>372</v>
      </c>
      <c r="C4454" s="121">
        <v>7</v>
      </c>
      <c r="D4454" s="734">
        <v>145.31055741648808</v>
      </c>
      <c r="E4454" s="733"/>
    </row>
    <row r="4455" spans="2:5">
      <c r="B4455" s="121">
        <v>372</v>
      </c>
      <c r="C4455" s="121">
        <v>8</v>
      </c>
      <c r="D4455" s="734">
        <v>138.7707552072072</v>
      </c>
      <c r="E4455" s="733"/>
    </row>
    <row r="4456" spans="2:5">
      <c r="B4456" s="121">
        <v>372</v>
      </c>
      <c r="C4456" s="121">
        <v>9</v>
      </c>
      <c r="D4456" s="734">
        <v>143.9279869989843</v>
      </c>
      <c r="E4456" s="733"/>
    </row>
    <row r="4457" spans="2:5">
      <c r="B4457" s="121">
        <v>372</v>
      </c>
      <c r="C4457" s="121">
        <v>10</v>
      </c>
      <c r="D4457" s="734">
        <v>140.44728344458744</v>
      </c>
      <c r="E4457" s="733"/>
    </row>
    <row r="4458" spans="2:5">
      <c r="B4458" s="121">
        <v>372</v>
      </c>
      <c r="C4458" s="121">
        <v>11</v>
      </c>
      <c r="D4458" s="734">
        <v>142.31255201330748</v>
      </c>
      <c r="E4458" s="733"/>
    </row>
    <row r="4459" spans="2:5">
      <c r="B4459" s="121">
        <v>372</v>
      </c>
      <c r="C4459" s="121">
        <v>12</v>
      </c>
      <c r="D4459" s="734">
        <v>145.3041758749917</v>
      </c>
      <c r="E4459" s="733"/>
    </row>
    <row r="4460" spans="2:5">
      <c r="B4460" s="121">
        <v>372</v>
      </c>
      <c r="C4460" s="121">
        <v>13</v>
      </c>
      <c r="D4460" s="734">
        <v>142.92058832609223</v>
      </c>
      <c r="E4460" s="733"/>
    </row>
    <row r="4461" spans="2:5">
      <c r="B4461" s="121">
        <v>372</v>
      </c>
      <c r="C4461" s="121">
        <v>14</v>
      </c>
      <c r="D4461" s="734">
        <v>140.02238693094466</v>
      </c>
      <c r="E4461" s="733"/>
    </row>
    <row r="4462" spans="2:5">
      <c r="B4462" s="121">
        <v>372</v>
      </c>
      <c r="C4462" s="121">
        <v>15</v>
      </c>
      <c r="D4462" s="734">
        <v>143.70380152953459</v>
      </c>
      <c r="E4462" s="733"/>
    </row>
    <row r="4463" spans="2:5">
      <c r="B4463" s="121">
        <v>372</v>
      </c>
      <c r="C4463" s="121">
        <v>16</v>
      </c>
      <c r="D4463" s="734">
        <v>142.59940737971894</v>
      </c>
      <c r="E4463" s="733"/>
    </row>
    <row r="4464" spans="2:5">
      <c r="B4464" s="121">
        <v>372</v>
      </c>
      <c r="C4464" s="121">
        <v>17</v>
      </c>
      <c r="D4464" s="734">
        <v>135.71390553107082</v>
      </c>
      <c r="E4464" s="733"/>
    </row>
    <row r="4465" spans="2:5">
      <c r="B4465" s="121">
        <v>372</v>
      </c>
      <c r="C4465" s="121">
        <v>18</v>
      </c>
      <c r="D4465" s="734">
        <v>134.3581630940773</v>
      </c>
      <c r="E4465" s="733"/>
    </row>
    <row r="4466" spans="2:5">
      <c r="B4466" s="121">
        <v>372</v>
      </c>
      <c r="C4466" s="121">
        <v>19</v>
      </c>
      <c r="D4466" s="734">
        <v>144.56999829583191</v>
      </c>
      <c r="E4466" s="733"/>
    </row>
    <row r="4467" spans="2:5">
      <c r="B4467" s="121">
        <v>372</v>
      </c>
      <c r="C4467" s="121">
        <v>20</v>
      </c>
      <c r="D4467" s="734">
        <v>145.7973968888559</v>
      </c>
      <c r="E4467" s="733"/>
    </row>
    <row r="4468" spans="2:5">
      <c r="B4468" s="121">
        <v>372</v>
      </c>
      <c r="C4468" s="121">
        <v>21</v>
      </c>
      <c r="D4468" s="734">
        <v>146.98545089720716</v>
      </c>
      <c r="E4468" s="733"/>
    </row>
    <row r="4469" spans="2:5">
      <c r="B4469" s="121">
        <v>372</v>
      </c>
      <c r="C4469" s="121">
        <v>22</v>
      </c>
      <c r="D4469" s="734">
        <v>138.61064618191881</v>
      </c>
      <c r="E4469" s="733"/>
    </row>
    <row r="4470" spans="2:5">
      <c r="B4470" s="121">
        <v>372</v>
      </c>
      <c r="C4470" s="121">
        <v>23</v>
      </c>
      <c r="D4470" s="734">
        <v>143.77303649280401</v>
      </c>
      <c r="E4470" s="733"/>
    </row>
    <row r="4471" spans="2:5">
      <c r="B4471" s="121">
        <v>372</v>
      </c>
      <c r="C4471" s="121">
        <v>24</v>
      </c>
      <c r="D4471" s="734">
        <v>137.82489575831644</v>
      </c>
      <c r="E4471" s="733"/>
    </row>
    <row r="4472" spans="2:5">
      <c r="B4472" s="121">
        <v>372</v>
      </c>
      <c r="C4472" s="121">
        <v>25</v>
      </c>
      <c r="D4472" s="734">
        <v>143.22785896054529</v>
      </c>
      <c r="E4472" s="733"/>
    </row>
    <row r="4473" spans="2:5">
      <c r="B4473" s="121">
        <v>372</v>
      </c>
      <c r="C4473" s="121">
        <v>26</v>
      </c>
      <c r="D4473" s="734">
        <v>146.52653986958089</v>
      </c>
      <c r="E4473" s="733"/>
    </row>
    <row r="4474" spans="2:5">
      <c r="B4474" s="121">
        <v>373</v>
      </c>
      <c r="C4474" s="121">
        <v>1</v>
      </c>
      <c r="D4474" s="734">
        <v>5</v>
      </c>
      <c r="E4474" s="733"/>
    </row>
    <row r="4475" spans="2:5">
      <c r="B4475" s="121">
        <v>373</v>
      </c>
      <c r="C4475" s="121">
        <v>2</v>
      </c>
      <c r="D4475" s="734">
        <v>95.628537846361695</v>
      </c>
      <c r="E4475" s="733"/>
    </row>
    <row r="4476" spans="2:5">
      <c r="B4476" s="121">
        <v>373</v>
      </c>
      <c r="C4476" s="121">
        <v>3</v>
      </c>
      <c r="D4476" s="734">
        <v>115.1908224723291</v>
      </c>
      <c r="E4476" s="733"/>
    </row>
    <row r="4477" spans="2:5">
      <c r="B4477" s="121">
        <v>373</v>
      </c>
      <c r="C4477" s="121">
        <v>4</v>
      </c>
      <c r="D4477" s="734">
        <v>143.34775336921211</v>
      </c>
      <c r="E4477" s="733"/>
    </row>
    <row r="4478" spans="2:5">
      <c r="B4478" s="121">
        <v>373</v>
      </c>
      <c r="C4478" s="121">
        <v>5</v>
      </c>
      <c r="D4478" s="734">
        <v>138.72850114013573</v>
      </c>
      <c r="E4478" s="733"/>
    </row>
    <row r="4479" spans="2:5">
      <c r="B4479" s="121">
        <v>373</v>
      </c>
      <c r="C4479" s="121">
        <v>6</v>
      </c>
      <c r="D4479" s="734">
        <v>135.91036224813445</v>
      </c>
      <c r="E4479" s="733"/>
    </row>
    <row r="4480" spans="2:5">
      <c r="B4480" s="121">
        <v>373</v>
      </c>
      <c r="C4480" s="121">
        <v>7</v>
      </c>
      <c r="D4480" s="734">
        <v>139.82000036845912</v>
      </c>
      <c r="E4480" s="733"/>
    </row>
    <row r="4481" spans="2:5">
      <c r="B4481" s="121">
        <v>373</v>
      </c>
      <c r="C4481" s="121">
        <v>8</v>
      </c>
      <c r="D4481" s="734">
        <v>137.93359258871067</v>
      </c>
      <c r="E4481" s="733"/>
    </row>
    <row r="4482" spans="2:5">
      <c r="B4482" s="121">
        <v>373</v>
      </c>
      <c r="C4482" s="121">
        <v>9</v>
      </c>
      <c r="D4482" s="734">
        <v>145.53205294969192</v>
      </c>
      <c r="E4482" s="733"/>
    </row>
    <row r="4483" spans="2:5">
      <c r="B4483" s="121">
        <v>373</v>
      </c>
      <c r="C4483" s="121">
        <v>10</v>
      </c>
      <c r="D4483" s="734">
        <v>140.65183907855112</v>
      </c>
      <c r="E4483" s="733"/>
    </row>
    <row r="4484" spans="2:5">
      <c r="B4484" s="121">
        <v>373</v>
      </c>
      <c r="C4484" s="121">
        <v>11</v>
      </c>
      <c r="D4484" s="734">
        <v>137.30102821544062</v>
      </c>
      <c r="E4484" s="733"/>
    </row>
    <row r="4485" spans="2:5">
      <c r="B4485" s="121">
        <v>373</v>
      </c>
      <c r="C4485" s="121">
        <v>12</v>
      </c>
      <c r="D4485" s="734">
        <v>135.85466433201958</v>
      </c>
      <c r="E4485" s="733"/>
    </row>
    <row r="4486" spans="2:5">
      <c r="B4486" s="121">
        <v>373</v>
      </c>
      <c r="C4486" s="121">
        <v>13</v>
      </c>
      <c r="D4486" s="734">
        <v>137.05807883744896</v>
      </c>
      <c r="E4486" s="733"/>
    </row>
    <row r="4487" spans="2:5">
      <c r="B4487" s="121">
        <v>373</v>
      </c>
      <c r="C4487" s="121">
        <v>14</v>
      </c>
      <c r="D4487" s="734">
        <v>135.04516711195717</v>
      </c>
      <c r="E4487" s="733"/>
    </row>
    <row r="4488" spans="2:5">
      <c r="B4488" s="121">
        <v>373</v>
      </c>
      <c r="C4488" s="121">
        <v>15</v>
      </c>
      <c r="D4488" s="734">
        <v>136.66711416839971</v>
      </c>
      <c r="E4488" s="733"/>
    </row>
    <row r="4489" spans="2:5">
      <c r="B4489" s="121">
        <v>373</v>
      </c>
      <c r="C4489" s="121">
        <v>16</v>
      </c>
      <c r="D4489" s="734">
        <v>134.75700198436101</v>
      </c>
      <c r="E4489" s="733"/>
    </row>
    <row r="4490" spans="2:5">
      <c r="B4490" s="121">
        <v>373</v>
      </c>
      <c r="C4490" s="121">
        <v>17</v>
      </c>
      <c r="D4490" s="734">
        <v>141.44425013865407</v>
      </c>
      <c r="E4490" s="733"/>
    </row>
    <row r="4491" spans="2:5">
      <c r="B4491" s="121">
        <v>373</v>
      </c>
      <c r="C4491" s="121">
        <v>18</v>
      </c>
      <c r="D4491" s="734">
        <v>139.40396616102038</v>
      </c>
      <c r="E4491" s="733"/>
    </row>
    <row r="4492" spans="2:5">
      <c r="B4492" s="121">
        <v>373</v>
      </c>
      <c r="C4492" s="121">
        <v>19</v>
      </c>
      <c r="D4492" s="734">
        <v>140.75360562788012</v>
      </c>
      <c r="E4492" s="733"/>
    </row>
    <row r="4493" spans="2:5">
      <c r="B4493" s="121">
        <v>374</v>
      </c>
      <c r="C4493" s="121">
        <v>1</v>
      </c>
      <c r="D4493" s="734">
        <v>5</v>
      </c>
      <c r="E4493" s="733"/>
    </row>
    <row r="4494" spans="2:5">
      <c r="B4494" s="121">
        <v>374</v>
      </c>
      <c r="C4494" s="121">
        <v>2</v>
      </c>
      <c r="D4494" s="734">
        <v>98.791578484509074</v>
      </c>
      <c r="E4494" s="733"/>
    </row>
    <row r="4495" spans="2:5">
      <c r="B4495" s="121">
        <v>374</v>
      </c>
      <c r="C4495" s="121">
        <v>3</v>
      </c>
      <c r="D4495" s="734">
        <v>114.77852812359937</v>
      </c>
      <c r="E4495" s="733"/>
    </row>
    <row r="4496" spans="2:5">
      <c r="B4496" s="121">
        <v>374</v>
      </c>
      <c r="C4496" s="121">
        <v>4</v>
      </c>
      <c r="D4496" s="734">
        <v>138.73095603906847</v>
      </c>
      <c r="E4496" s="733"/>
    </row>
    <row r="4497" spans="2:5">
      <c r="B4497" s="121">
        <v>374</v>
      </c>
      <c r="C4497" s="121">
        <v>5</v>
      </c>
      <c r="D4497" s="734">
        <v>137.04263430781546</v>
      </c>
      <c r="E4497" s="733"/>
    </row>
    <row r="4498" spans="2:5">
      <c r="B4498" s="121">
        <v>375</v>
      </c>
      <c r="C4498" s="121">
        <v>1</v>
      </c>
      <c r="D4498" s="734">
        <v>5</v>
      </c>
      <c r="E4498" s="733"/>
    </row>
    <row r="4499" spans="2:5">
      <c r="B4499" s="121">
        <v>375</v>
      </c>
      <c r="C4499" s="121">
        <v>2</v>
      </c>
      <c r="D4499" s="734">
        <v>97.079741485454974</v>
      </c>
      <c r="E4499" s="733"/>
    </row>
    <row r="4500" spans="2:5">
      <c r="B4500" s="121">
        <v>375</v>
      </c>
      <c r="C4500" s="121">
        <v>3</v>
      </c>
      <c r="D4500" s="734">
        <v>121.80251200322979</v>
      </c>
      <c r="E4500" s="733"/>
    </row>
    <row r="4501" spans="2:5">
      <c r="B4501" s="121">
        <v>375</v>
      </c>
      <c r="C4501" s="121">
        <v>4</v>
      </c>
      <c r="D4501" s="734">
        <v>137.62434506302034</v>
      </c>
      <c r="E4501" s="733"/>
    </row>
    <row r="4502" spans="2:5">
      <c r="B4502" s="121">
        <v>375</v>
      </c>
      <c r="C4502" s="121">
        <v>5</v>
      </c>
      <c r="D4502" s="734">
        <v>140.45397407535978</v>
      </c>
      <c r="E4502" s="733"/>
    </row>
    <row r="4503" spans="2:5">
      <c r="B4503" s="121">
        <v>375</v>
      </c>
      <c r="C4503" s="121">
        <v>6</v>
      </c>
      <c r="D4503" s="734">
        <v>144.92639208817022</v>
      </c>
      <c r="E4503" s="733"/>
    </row>
    <row r="4504" spans="2:5">
      <c r="B4504" s="121">
        <v>375</v>
      </c>
      <c r="C4504" s="121">
        <v>7</v>
      </c>
      <c r="D4504" s="734">
        <v>146.04319780032677</v>
      </c>
      <c r="E4504" s="733"/>
    </row>
    <row r="4505" spans="2:5">
      <c r="B4505" s="121">
        <v>375</v>
      </c>
      <c r="C4505" s="121">
        <v>8</v>
      </c>
      <c r="D4505" s="734">
        <v>138.87458726025253</v>
      </c>
      <c r="E4505" s="733"/>
    </row>
    <row r="4506" spans="2:5">
      <c r="B4506" s="121">
        <v>375</v>
      </c>
      <c r="C4506" s="121">
        <v>9</v>
      </c>
      <c r="D4506" s="734">
        <v>145.00253713212749</v>
      </c>
      <c r="E4506" s="733"/>
    </row>
    <row r="4507" spans="2:5">
      <c r="B4507" s="121">
        <v>375</v>
      </c>
      <c r="C4507" s="121">
        <v>10</v>
      </c>
      <c r="D4507" s="734">
        <v>140.93047259091642</v>
      </c>
      <c r="E4507" s="733"/>
    </row>
    <row r="4508" spans="2:5">
      <c r="B4508" s="121">
        <v>375</v>
      </c>
      <c r="C4508" s="121">
        <v>11</v>
      </c>
      <c r="D4508" s="734">
        <v>142.6451285502128</v>
      </c>
      <c r="E4508" s="733"/>
    </row>
    <row r="4509" spans="2:5">
      <c r="B4509" s="121">
        <v>375</v>
      </c>
      <c r="C4509" s="121">
        <v>12</v>
      </c>
      <c r="D4509" s="734">
        <v>135.61228609150456</v>
      </c>
      <c r="E4509" s="733"/>
    </row>
    <row r="4510" spans="2:5">
      <c r="B4510" s="121">
        <v>375</v>
      </c>
      <c r="C4510" s="121">
        <v>13</v>
      </c>
      <c r="D4510" s="734">
        <v>145.90034936359808</v>
      </c>
      <c r="E4510" s="733"/>
    </row>
    <row r="4511" spans="2:5">
      <c r="B4511" s="121">
        <v>375</v>
      </c>
      <c r="C4511" s="121">
        <v>14</v>
      </c>
      <c r="D4511" s="734">
        <v>136.66479731889163</v>
      </c>
      <c r="E4511" s="733"/>
    </row>
    <row r="4512" spans="2:5">
      <c r="B4512" s="121">
        <v>375</v>
      </c>
      <c r="C4512" s="121">
        <v>15</v>
      </c>
      <c r="D4512" s="734">
        <v>143.67429396519694</v>
      </c>
      <c r="E4512" s="733"/>
    </row>
    <row r="4513" spans="2:5">
      <c r="B4513" s="121">
        <v>375</v>
      </c>
      <c r="C4513" s="121">
        <v>16</v>
      </c>
      <c r="D4513" s="734">
        <v>144.73564813620158</v>
      </c>
      <c r="E4513" s="733"/>
    </row>
    <row r="4514" spans="2:5">
      <c r="B4514" s="121">
        <v>375</v>
      </c>
      <c r="C4514" s="121">
        <v>17</v>
      </c>
      <c r="D4514" s="734">
        <v>136.75176853842191</v>
      </c>
      <c r="E4514" s="733"/>
    </row>
    <row r="4515" spans="2:5">
      <c r="B4515" s="121">
        <v>375</v>
      </c>
      <c r="C4515" s="121">
        <v>18</v>
      </c>
      <c r="D4515" s="734">
        <v>142.60323885613494</v>
      </c>
      <c r="E4515" s="733"/>
    </row>
    <row r="4516" spans="2:5">
      <c r="B4516" s="121">
        <v>375</v>
      </c>
      <c r="C4516" s="121">
        <v>19</v>
      </c>
      <c r="D4516" s="734">
        <v>137.57948358168295</v>
      </c>
      <c r="E4516" s="733"/>
    </row>
    <row r="4517" spans="2:5">
      <c r="B4517" s="121">
        <v>375</v>
      </c>
      <c r="C4517" s="121">
        <v>20</v>
      </c>
      <c r="D4517" s="734">
        <v>134.27123375604654</v>
      </c>
      <c r="E4517" s="733"/>
    </row>
    <row r="4518" spans="2:5">
      <c r="B4518" s="121">
        <v>375</v>
      </c>
      <c r="C4518" s="121">
        <v>21</v>
      </c>
      <c r="D4518" s="734">
        <v>134.24705261206921</v>
      </c>
      <c r="E4518" s="733"/>
    </row>
    <row r="4519" spans="2:5">
      <c r="B4519" s="121">
        <v>375</v>
      </c>
      <c r="C4519" s="121">
        <v>22</v>
      </c>
      <c r="D4519" s="734">
        <v>139.51041762657752</v>
      </c>
      <c r="E4519" s="733"/>
    </row>
    <row r="4520" spans="2:5">
      <c r="B4520" s="121">
        <v>375</v>
      </c>
      <c r="C4520" s="121">
        <v>23</v>
      </c>
      <c r="D4520" s="734">
        <v>134.85532831212257</v>
      </c>
      <c r="E4520" s="733"/>
    </row>
    <row r="4521" spans="2:5">
      <c r="B4521" s="121">
        <v>375</v>
      </c>
      <c r="C4521" s="121">
        <v>24</v>
      </c>
      <c r="D4521" s="734">
        <v>144.95643128170943</v>
      </c>
      <c r="E4521" s="733"/>
    </row>
    <row r="4522" spans="2:5">
      <c r="B4522" s="121">
        <v>375</v>
      </c>
      <c r="C4522" s="121">
        <v>25</v>
      </c>
      <c r="D4522" s="734">
        <v>145.30280322200966</v>
      </c>
      <c r="E4522" s="733"/>
    </row>
    <row r="4523" spans="2:5">
      <c r="B4523" s="121">
        <v>375</v>
      </c>
      <c r="C4523" s="121">
        <v>26</v>
      </c>
      <c r="D4523" s="734">
        <v>134.55196459743445</v>
      </c>
      <c r="E4523" s="733"/>
    </row>
    <row r="4524" spans="2:5">
      <c r="B4524" s="121">
        <v>376</v>
      </c>
      <c r="C4524" s="121">
        <v>1</v>
      </c>
      <c r="D4524" s="734">
        <v>5</v>
      </c>
      <c r="E4524" s="733"/>
    </row>
    <row r="4525" spans="2:5">
      <c r="B4525" s="121">
        <v>376</v>
      </c>
      <c r="C4525" s="121">
        <v>2</v>
      </c>
      <c r="D4525" s="734">
        <v>99.048965826294392</v>
      </c>
      <c r="E4525" s="733"/>
    </row>
    <row r="4526" spans="2:5">
      <c r="B4526" s="121">
        <v>376</v>
      </c>
      <c r="C4526" s="121">
        <v>3</v>
      </c>
      <c r="D4526" s="734">
        <v>122.07864620846833</v>
      </c>
      <c r="E4526" s="733"/>
    </row>
    <row r="4527" spans="2:5">
      <c r="B4527" s="121">
        <v>376</v>
      </c>
      <c r="C4527" s="121">
        <v>4</v>
      </c>
      <c r="D4527" s="734">
        <v>143.09125695352571</v>
      </c>
      <c r="E4527" s="733"/>
    </row>
    <row r="4528" spans="2:5">
      <c r="B4528" s="121">
        <v>376</v>
      </c>
      <c r="C4528" s="121">
        <v>5</v>
      </c>
      <c r="D4528" s="734">
        <v>134.42888265767354</v>
      </c>
      <c r="E4528" s="733"/>
    </row>
    <row r="4529" spans="2:5">
      <c r="B4529" s="121">
        <v>376</v>
      </c>
      <c r="C4529" s="121">
        <v>6</v>
      </c>
      <c r="D4529" s="734">
        <v>140.01961323961515</v>
      </c>
      <c r="E4529" s="733"/>
    </row>
    <row r="4530" spans="2:5">
      <c r="B4530" s="121">
        <v>376</v>
      </c>
      <c r="C4530" s="121">
        <v>7</v>
      </c>
      <c r="D4530" s="734">
        <v>146.48910951880757</v>
      </c>
      <c r="E4530" s="733"/>
    </row>
    <row r="4531" spans="2:5">
      <c r="B4531" s="121">
        <v>376</v>
      </c>
      <c r="C4531" s="121">
        <v>8</v>
      </c>
      <c r="D4531" s="734">
        <v>138.85494545146278</v>
      </c>
      <c r="E4531" s="733"/>
    </row>
    <row r="4532" spans="2:5">
      <c r="B4532" s="121">
        <v>376</v>
      </c>
      <c r="C4532" s="121">
        <v>9</v>
      </c>
      <c r="D4532" s="734">
        <v>140.03560986833222</v>
      </c>
      <c r="E4532" s="733"/>
    </row>
    <row r="4533" spans="2:5">
      <c r="B4533" s="121">
        <v>376</v>
      </c>
      <c r="C4533" s="121">
        <v>10</v>
      </c>
      <c r="D4533" s="734">
        <v>135.04038557642076</v>
      </c>
      <c r="E4533" s="733"/>
    </row>
    <row r="4534" spans="2:5">
      <c r="B4534" s="121">
        <v>376</v>
      </c>
      <c r="C4534" s="121">
        <v>11</v>
      </c>
      <c r="D4534" s="734">
        <v>146.73724798917272</v>
      </c>
      <c r="E4534" s="733"/>
    </row>
    <row r="4535" spans="2:5">
      <c r="B4535" s="121">
        <v>376</v>
      </c>
      <c r="C4535" s="121">
        <v>12</v>
      </c>
      <c r="D4535" s="734">
        <v>136.32794562505015</v>
      </c>
      <c r="E4535" s="733"/>
    </row>
    <row r="4536" spans="2:5">
      <c r="B4536" s="121">
        <v>376</v>
      </c>
      <c r="C4536" s="121">
        <v>13</v>
      </c>
      <c r="D4536" s="734">
        <v>144.73915029520424</v>
      </c>
      <c r="E4536" s="733"/>
    </row>
    <row r="4537" spans="2:5">
      <c r="B4537" s="121">
        <v>376</v>
      </c>
      <c r="C4537" s="121">
        <v>14</v>
      </c>
      <c r="D4537" s="734">
        <v>142.73965010296465</v>
      </c>
      <c r="E4537" s="733"/>
    </row>
    <row r="4538" spans="2:5">
      <c r="B4538" s="121">
        <v>377</v>
      </c>
      <c r="C4538" s="121">
        <v>1</v>
      </c>
      <c r="D4538" s="734">
        <v>5</v>
      </c>
      <c r="E4538" s="733"/>
    </row>
    <row r="4539" spans="2:5">
      <c r="B4539" s="121">
        <v>377</v>
      </c>
      <c r="C4539" s="121">
        <v>2</v>
      </c>
      <c r="D4539" s="734">
        <v>96.012517767497982</v>
      </c>
      <c r="E4539" s="733"/>
    </row>
    <row r="4540" spans="2:5">
      <c r="B4540" s="121">
        <v>377</v>
      </c>
      <c r="C4540" s="121">
        <v>3</v>
      </c>
      <c r="D4540" s="734">
        <v>125.2919459241582</v>
      </c>
      <c r="E4540" s="733"/>
    </row>
    <row r="4541" spans="2:5">
      <c r="B4541" s="121">
        <v>377</v>
      </c>
      <c r="C4541" s="121">
        <v>4</v>
      </c>
      <c r="D4541" s="734">
        <v>142.79525137071076</v>
      </c>
      <c r="E4541" s="733"/>
    </row>
    <row r="4542" spans="2:5">
      <c r="B4542" s="121">
        <v>377</v>
      </c>
      <c r="C4542" s="121">
        <v>5</v>
      </c>
      <c r="D4542" s="734">
        <v>139.26675307785803</v>
      </c>
      <c r="E4542" s="733"/>
    </row>
    <row r="4543" spans="2:5">
      <c r="B4543" s="121">
        <v>378</v>
      </c>
      <c r="C4543" s="121">
        <v>1</v>
      </c>
      <c r="D4543" s="734">
        <v>5</v>
      </c>
      <c r="E4543" s="733"/>
    </row>
    <row r="4544" spans="2:5">
      <c r="B4544" s="121">
        <v>379</v>
      </c>
      <c r="C4544" s="121">
        <v>1</v>
      </c>
      <c r="D4544" s="734">
        <v>5</v>
      </c>
      <c r="E4544" s="733"/>
    </row>
    <row r="4545" spans="2:5">
      <c r="B4545" s="121">
        <v>379</v>
      </c>
      <c r="C4545" s="121">
        <v>2</v>
      </c>
      <c r="D4545" s="734">
        <v>94.60212309823234</v>
      </c>
      <c r="E4545" s="733"/>
    </row>
    <row r="4546" spans="2:5">
      <c r="B4546" s="121">
        <v>379</v>
      </c>
      <c r="C4546" s="121">
        <v>3</v>
      </c>
      <c r="D4546" s="734">
        <v>119.13179448744759</v>
      </c>
      <c r="E4546" s="733"/>
    </row>
    <row r="4547" spans="2:5">
      <c r="B4547" s="121">
        <v>379</v>
      </c>
      <c r="C4547" s="121">
        <v>4</v>
      </c>
      <c r="D4547" s="734">
        <v>136.55339483103518</v>
      </c>
      <c r="E4547" s="733"/>
    </row>
    <row r="4548" spans="2:5">
      <c r="B4548" s="121">
        <v>379</v>
      </c>
      <c r="C4548" s="121">
        <v>5</v>
      </c>
      <c r="D4548" s="734">
        <v>135.28977008710888</v>
      </c>
      <c r="E4548" s="733"/>
    </row>
    <row r="4549" spans="2:5">
      <c r="B4549" s="121">
        <v>379</v>
      </c>
      <c r="C4549" s="121">
        <v>6</v>
      </c>
      <c r="D4549" s="734">
        <v>135.91363300085158</v>
      </c>
      <c r="E4549" s="733"/>
    </row>
    <row r="4550" spans="2:5">
      <c r="B4550" s="121">
        <v>379</v>
      </c>
      <c r="C4550" s="121">
        <v>7</v>
      </c>
      <c r="D4550" s="734">
        <v>139.04774796106625</v>
      </c>
      <c r="E4550" s="733"/>
    </row>
    <row r="4551" spans="2:5">
      <c r="B4551" s="121">
        <v>379</v>
      </c>
      <c r="C4551" s="121">
        <v>8</v>
      </c>
      <c r="D4551" s="734">
        <v>137.69640217980614</v>
      </c>
      <c r="E4551" s="733"/>
    </row>
    <row r="4552" spans="2:5">
      <c r="B4552" s="121">
        <v>379</v>
      </c>
      <c r="C4552" s="121">
        <v>9</v>
      </c>
      <c r="D4552" s="734">
        <v>144.03235826048706</v>
      </c>
      <c r="E4552" s="733"/>
    </row>
    <row r="4553" spans="2:5">
      <c r="B4553" s="121">
        <v>379</v>
      </c>
      <c r="C4553" s="121">
        <v>10</v>
      </c>
      <c r="D4553" s="734">
        <v>145.43278588856418</v>
      </c>
      <c r="E4553" s="733"/>
    </row>
    <row r="4554" spans="2:5">
      <c r="B4554" s="121">
        <v>380</v>
      </c>
      <c r="C4554" s="121">
        <v>1</v>
      </c>
      <c r="D4554" s="734">
        <v>5</v>
      </c>
      <c r="E4554" s="733"/>
    </row>
    <row r="4555" spans="2:5">
      <c r="B4555" s="121">
        <v>380</v>
      </c>
      <c r="C4555" s="121">
        <v>2</v>
      </c>
      <c r="D4555" s="734">
        <v>96.709021636310283</v>
      </c>
      <c r="E4555" s="733"/>
    </row>
    <row r="4556" spans="2:5">
      <c r="B4556" s="121">
        <v>380</v>
      </c>
      <c r="C4556" s="121">
        <v>3</v>
      </c>
      <c r="D4556" s="734">
        <v>117.01827884004285</v>
      </c>
      <c r="E4556" s="733"/>
    </row>
    <row r="4557" spans="2:5">
      <c r="B4557" s="121">
        <v>380</v>
      </c>
      <c r="C4557" s="121">
        <v>4</v>
      </c>
      <c r="D4557" s="734">
        <v>136.29320717881322</v>
      </c>
      <c r="E4557" s="733"/>
    </row>
    <row r="4558" spans="2:5">
      <c r="B4558" s="121">
        <v>380</v>
      </c>
      <c r="C4558" s="121">
        <v>5</v>
      </c>
      <c r="D4558" s="734">
        <v>144.46814023166172</v>
      </c>
      <c r="E4558" s="733"/>
    </row>
    <row r="4559" spans="2:5">
      <c r="B4559" s="121">
        <v>380</v>
      </c>
      <c r="C4559" s="121">
        <v>6</v>
      </c>
      <c r="D4559" s="734">
        <v>141.06100067397563</v>
      </c>
      <c r="E4559" s="733"/>
    </row>
    <row r="4560" spans="2:5">
      <c r="B4560" s="121">
        <v>380</v>
      </c>
      <c r="C4560" s="121">
        <v>7</v>
      </c>
      <c r="D4560" s="734">
        <v>146.81466820931755</v>
      </c>
      <c r="E4560" s="733"/>
    </row>
    <row r="4561" spans="2:5">
      <c r="B4561" s="121">
        <v>380</v>
      </c>
      <c r="C4561" s="121">
        <v>8</v>
      </c>
      <c r="D4561" s="734">
        <v>134.8866544177246</v>
      </c>
      <c r="E4561" s="733"/>
    </row>
    <row r="4562" spans="2:5">
      <c r="B4562" s="121">
        <v>380</v>
      </c>
      <c r="C4562" s="121">
        <v>9</v>
      </c>
      <c r="D4562" s="734">
        <v>144.6440226262302</v>
      </c>
      <c r="E4562" s="733"/>
    </row>
    <row r="4563" spans="2:5">
      <c r="B4563" s="121">
        <v>380</v>
      </c>
      <c r="C4563" s="121">
        <v>10</v>
      </c>
      <c r="D4563" s="734">
        <v>142.39255907829809</v>
      </c>
      <c r="E4563" s="733"/>
    </row>
    <row r="4564" spans="2:5">
      <c r="B4564" s="121">
        <v>380</v>
      </c>
      <c r="C4564" s="121">
        <v>11</v>
      </c>
      <c r="D4564" s="734">
        <v>145.68047636494811</v>
      </c>
      <c r="E4564" s="733"/>
    </row>
    <row r="4565" spans="2:5">
      <c r="B4565" s="121">
        <v>380</v>
      </c>
      <c r="C4565" s="121">
        <v>12</v>
      </c>
      <c r="D4565" s="734">
        <v>137.68393688079772</v>
      </c>
      <c r="E4565" s="733"/>
    </row>
    <row r="4566" spans="2:5">
      <c r="B4566" s="121">
        <v>380</v>
      </c>
      <c r="C4566" s="121">
        <v>13</v>
      </c>
      <c r="D4566" s="734">
        <v>134.82194504277857</v>
      </c>
      <c r="E4566" s="733"/>
    </row>
    <row r="4567" spans="2:5">
      <c r="B4567" s="121">
        <v>380</v>
      </c>
      <c r="C4567" s="121">
        <v>14</v>
      </c>
      <c r="D4567" s="734">
        <v>142.56979856978933</v>
      </c>
      <c r="E4567" s="733"/>
    </row>
    <row r="4568" spans="2:5">
      <c r="B4568" s="121">
        <v>380</v>
      </c>
      <c r="C4568" s="121">
        <v>15</v>
      </c>
      <c r="D4568" s="734">
        <v>147.08807093690712</v>
      </c>
      <c r="E4568" s="733"/>
    </row>
    <row r="4569" spans="2:5">
      <c r="B4569" s="121">
        <v>380</v>
      </c>
      <c r="C4569" s="121">
        <v>16</v>
      </c>
      <c r="D4569" s="734">
        <v>143.05227162268534</v>
      </c>
      <c r="E4569" s="733"/>
    </row>
    <row r="4570" spans="2:5">
      <c r="B4570" s="121">
        <v>380</v>
      </c>
      <c r="C4570" s="121">
        <v>17</v>
      </c>
      <c r="D4570" s="734">
        <v>142.62887984919067</v>
      </c>
      <c r="E4570" s="733"/>
    </row>
    <row r="4571" spans="2:5">
      <c r="B4571" s="121">
        <v>380</v>
      </c>
      <c r="C4571" s="121">
        <v>18</v>
      </c>
      <c r="D4571" s="734">
        <v>138.73174712410625</v>
      </c>
      <c r="E4571" s="733"/>
    </row>
    <row r="4572" spans="2:5">
      <c r="B4572" s="121">
        <v>380</v>
      </c>
      <c r="C4572" s="121">
        <v>19</v>
      </c>
      <c r="D4572" s="734">
        <v>135.98783941571349</v>
      </c>
      <c r="E4572" s="733"/>
    </row>
    <row r="4573" spans="2:5">
      <c r="B4573" s="121">
        <v>380</v>
      </c>
      <c r="C4573" s="121">
        <v>20</v>
      </c>
      <c r="D4573" s="734">
        <v>146.05652418993716</v>
      </c>
      <c r="E4573" s="733"/>
    </row>
    <row r="4574" spans="2:5">
      <c r="B4574" s="121">
        <v>380</v>
      </c>
      <c r="C4574" s="121">
        <v>21</v>
      </c>
      <c r="D4574" s="734">
        <v>134.34859170920453</v>
      </c>
      <c r="E4574" s="733"/>
    </row>
    <row r="4575" spans="2:5">
      <c r="B4575" s="121">
        <v>380</v>
      </c>
      <c r="C4575" s="121">
        <v>22</v>
      </c>
      <c r="D4575" s="734">
        <v>141.84098525808966</v>
      </c>
      <c r="E4575" s="733"/>
    </row>
    <row r="4576" spans="2:5">
      <c r="B4576" s="121">
        <v>380</v>
      </c>
      <c r="C4576" s="121">
        <v>23</v>
      </c>
      <c r="D4576" s="734">
        <v>137.95572802176758</v>
      </c>
      <c r="E4576" s="733"/>
    </row>
    <row r="4577" spans="2:5">
      <c r="B4577" s="121">
        <v>380</v>
      </c>
      <c r="C4577" s="121">
        <v>24</v>
      </c>
      <c r="D4577" s="734">
        <v>143.23299065647535</v>
      </c>
      <c r="E4577" s="733"/>
    </row>
    <row r="4578" spans="2:5">
      <c r="B4578" s="121">
        <v>381</v>
      </c>
      <c r="C4578" s="121">
        <v>1</v>
      </c>
      <c r="D4578" s="734">
        <v>5</v>
      </c>
      <c r="E4578" s="733"/>
    </row>
    <row r="4579" spans="2:5">
      <c r="B4579" s="121">
        <v>381</v>
      </c>
      <c r="C4579" s="121">
        <v>2</v>
      </c>
      <c r="D4579" s="734">
        <v>100.3210961578598</v>
      </c>
      <c r="E4579" s="733"/>
    </row>
    <row r="4580" spans="2:5">
      <c r="B4580" s="121">
        <v>381</v>
      </c>
      <c r="C4580" s="121">
        <v>3</v>
      </c>
      <c r="D4580" s="734">
        <v>116.99824136419866</v>
      </c>
      <c r="E4580" s="733"/>
    </row>
    <row r="4581" spans="2:5">
      <c r="B4581" s="121">
        <v>381</v>
      </c>
      <c r="C4581" s="121">
        <v>4</v>
      </c>
      <c r="D4581" s="734">
        <v>141.7211381963528</v>
      </c>
      <c r="E4581" s="733"/>
    </row>
    <row r="4582" spans="2:5">
      <c r="B4582" s="121">
        <v>381</v>
      </c>
      <c r="C4582" s="121">
        <v>5</v>
      </c>
      <c r="D4582" s="734">
        <v>146.7293494372008</v>
      </c>
      <c r="E4582" s="733"/>
    </row>
    <row r="4583" spans="2:5">
      <c r="B4583" s="121">
        <v>381</v>
      </c>
      <c r="C4583" s="121">
        <v>6</v>
      </c>
      <c r="D4583" s="734">
        <v>141.73560481599407</v>
      </c>
      <c r="E4583" s="733"/>
    </row>
    <row r="4584" spans="2:5">
      <c r="B4584" s="121">
        <v>381</v>
      </c>
      <c r="C4584" s="121">
        <v>7</v>
      </c>
      <c r="D4584" s="734">
        <v>137.27637888233517</v>
      </c>
      <c r="E4584" s="733"/>
    </row>
    <row r="4585" spans="2:5">
      <c r="B4585" s="121">
        <v>381</v>
      </c>
      <c r="C4585" s="121">
        <v>8</v>
      </c>
      <c r="D4585" s="734">
        <v>145.63186972223818</v>
      </c>
      <c r="E4585" s="733"/>
    </row>
    <row r="4586" spans="2:5">
      <c r="B4586" s="121">
        <v>381</v>
      </c>
      <c r="C4586" s="121">
        <v>9</v>
      </c>
      <c r="D4586" s="734">
        <v>146.97885955795078</v>
      </c>
      <c r="E4586" s="733"/>
    </row>
    <row r="4587" spans="2:5">
      <c r="B4587" s="121">
        <v>381</v>
      </c>
      <c r="C4587" s="121">
        <v>10</v>
      </c>
      <c r="D4587" s="734">
        <v>136.34808311917098</v>
      </c>
      <c r="E4587" s="733"/>
    </row>
    <row r="4588" spans="2:5">
      <c r="B4588" s="121">
        <v>381</v>
      </c>
      <c r="C4588" s="121">
        <v>11</v>
      </c>
      <c r="D4588" s="734">
        <v>145.89600902489238</v>
      </c>
      <c r="E4588" s="733"/>
    </row>
    <row r="4589" spans="2:5">
      <c r="B4589" s="121">
        <v>381</v>
      </c>
      <c r="C4589" s="121">
        <v>12</v>
      </c>
      <c r="D4589" s="734">
        <v>142.53850070570056</v>
      </c>
      <c r="E4589" s="733"/>
    </row>
    <row r="4590" spans="2:5">
      <c r="B4590" s="121">
        <v>381</v>
      </c>
      <c r="C4590" s="121">
        <v>13</v>
      </c>
      <c r="D4590" s="734">
        <v>135.47113941648962</v>
      </c>
      <c r="E4590" s="733"/>
    </row>
    <row r="4591" spans="2:5">
      <c r="B4591" s="121">
        <v>381</v>
      </c>
      <c r="C4591" s="121">
        <v>14</v>
      </c>
      <c r="D4591" s="734">
        <v>139.05862288606062</v>
      </c>
      <c r="E4591" s="733"/>
    </row>
    <row r="4592" spans="2:5">
      <c r="B4592" s="121">
        <v>381</v>
      </c>
      <c r="C4592" s="121">
        <v>15</v>
      </c>
      <c r="D4592" s="734">
        <v>138.18448559882512</v>
      </c>
      <c r="E4592" s="733"/>
    </row>
    <row r="4593" spans="2:5">
      <c r="B4593" s="121">
        <v>381</v>
      </c>
      <c r="C4593" s="121">
        <v>16</v>
      </c>
      <c r="D4593" s="734">
        <v>146.29622254649229</v>
      </c>
      <c r="E4593" s="733"/>
    </row>
    <row r="4594" spans="2:5">
      <c r="B4594" s="121">
        <v>381</v>
      </c>
      <c r="C4594" s="121">
        <v>17</v>
      </c>
      <c r="D4594" s="734">
        <v>142.6740511030967</v>
      </c>
      <c r="E4594" s="733"/>
    </row>
    <row r="4595" spans="2:5">
      <c r="B4595" s="121">
        <v>381</v>
      </c>
      <c r="C4595" s="121">
        <v>18</v>
      </c>
      <c r="D4595" s="734">
        <v>143.38156408716338</v>
      </c>
      <c r="E4595" s="733"/>
    </row>
    <row r="4596" spans="2:5">
      <c r="B4596" s="121">
        <v>381</v>
      </c>
      <c r="C4596" s="121">
        <v>19</v>
      </c>
      <c r="D4596" s="734">
        <v>143.0329380056431</v>
      </c>
      <c r="E4596" s="733"/>
    </row>
    <row r="4597" spans="2:5">
      <c r="B4597" s="121">
        <v>381</v>
      </c>
      <c r="C4597" s="121">
        <v>20</v>
      </c>
      <c r="D4597" s="734">
        <v>137.8193318980417</v>
      </c>
      <c r="E4597" s="733"/>
    </row>
    <row r="4598" spans="2:5">
      <c r="B4598" s="121">
        <v>381</v>
      </c>
      <c r="C4598" s="121">
        <v>21</v>
      </c>
      <c r="D4598" s="734">
        <v>135.05396483204464</v>
      </c>
      <c r="E4598" s="733"/>
    </row>
    <row r="4599" spans="2:5">
      <c r="B4599" s="121">
        <v>381</v>
      </c>
      <c r="C4599" s="121">
        <v>22</v>
      </c>
      <c r="D4599" s="734">
        <v>133.70225521633984</v>
      </c>
      <c r="E4599" s="733"/>
    </row>
    <row r="4600" spans="2:5">
      <c r="B4600" s="121">
        <v>381</v>
      </c>
      <c r="C4600" s="121">
        <v>23</v>
      </c>
      <c r="D4600" s="734">
        <v>134.27868939510711</v>
      </c>
      <c r="E4600" s="733"/>
    </row>
    <row r="4601" spans="2:5">
      <c r="B4601" s="121">
        <v>381</v>
      </c>
      <c r="C4601" s="121">
        <v>24</v>
      </c>
      <c r="D4601" s="734">
        <v>146.827917641856</v>
      </c>
      <c r="E4601" s="733"/>
    </row>
    <row r="4602" spans="2:5">
      <c r="B4602" s="121">
        <v>381</v>
      </c>
      <c r="C4602" s="121">
        <v>25</v>
      </c>
      <c r="D4602" s="734">
        <v>134.78696104509675</v>
      </c>
      <c r="E4602" s="733"/>
    </row>
    <row r="4603" spans="2:5">
      <c r="B4603" s="121">
        <v>381</v>
      </c>
      <c r="C4603" s="121">
        <v>26</v>
      </c>
      <c r="D4603" s="734">
        <v>140.25526350644287</v>
      </c>
      <c r="E4603" s="733"/>
    </row>
    <row r="4604" spans="2:5">
      <c r="B4604" s="121">
        <v>381</v>
      </c>
      <c r="C4604" s="121">
        <v>27</v>
      </c>
      <c r="D4604" s="734">
        <v>135.72070501202364</v>
      </c>
      <c r="E4604" s="733"/>
    </row>
    <row r="4605" spans="2:5">
      <c r="B4605" s="121">
        <v>381</v>
      </c>
      <c r="C4605" s="121">
        <v>28</v>
      </c>
      <c r="D4605" s="734">
        <v>134.29753176086828</v>
      </c>
      <c r="E4605" s="733"/>
    </row>
    <row r="4606" spans="2:5">
      <c r="B4606" s="121">
        <v>381</v>
      </c>
      <c r="C4606" s="121">
        <v>29</v>
      </c>
      <c r="D4606" s="734">
        <v>140.86015426121625</v>
      </c>
      <c r="E4606" s="733"/>
    </row>
    <row r="4607" spans="2:5">
      <c r="B4607" s="121">
        <v>381</v>
      </c>
      <c r="C4607" s="121">
        <v>30</v>
      </c>
      <c r="D4607" s="734">
        <v>143.75981457736827</v>
      </c>
      <c r="E4607" s="733"/>
    </row>
    <row r="4608" spans="2:5">
      <c r="B4608" s="121">
        <v>381</v>
      </c>
      <c r="C4608" s="121">
        <v>31</v>
      </c>
      <c r="D4608" s="734">
        <v>143.97624917606845</v>
      </c>
      <c r="E4608" s="733"/>
    </row>
    <row r="4609" spans="2:5">
      <c r="B4609" s="121">
        <v>381</v>
      </c>
      <c r="C4609" s="121">
        <v>32</v>
      </c>
      <c r="D4609" s="734">
        <v>134.59395955355484</v>
      </c>
      <c r="E4609" s="733"/>
    </row>
    <row r="4610" spans="2:5">
      <c r="B4610" s="121">
        <v>381</v>
      </c>
      <c r="C4610" s="121">
        <v>33</v>
      </c>
      <c r="D4610" s="734">
        <v>142.20129005848617</v>
      </c>
      <c r="E4610" s="733"/>
    </row>
    <row r="4611" spans="2:5">
      <c r="B4611" s="121">
        <v>381</v>
      </c>
      <c r="C4611" s="121">
        <v>34</v>
      </c>
      <c r="D4611" s="734">
        <v>136.48106746363172</v>
      </c>
      <c r="E4611" s="733"/>
    </row>
    <row r="4612" spans="2:5">
      <c r="B4612" s="121">
        <v>381</v>
      </c>
      <c r="C4612" s="121">
        <v>35</v>
      </c>
      <c r="D4612" s="734">
        <v>135.53435611229654</v>
      </c>
      <c r="E4612" s="733"/>
    </row>
    <row r="4613" spans="2:5">
      <c r="B4613" s="121">
        <v>381</v>
      </c>
      <c r="C4613" s="121">
        <v>36</v>
      </c>
      <c r="D4613" s="734">
        <v>134.9566611141795</v>
      </c>
      <c r="E4613" s="733"/>
    </row>
    <row r="4614" spans="2:5">
      <c r="B4614" s="121">
        <v>382</v>
      </c>
      <c r="C4614" s="121">
        <v>1</v>
      </c>
      <c r="D4614" s="734">
        <v>5</v>
      </c>
      <c r="E4614" s="733"/>
    </row>
    <row r="4615" spans="2:5">
      <c r="B4615" s="121">
        <v>382</v>
      </c>
      <c r="C4615" s="121">
        <v>2</v>
      </c>
      <c r="D4615" s="734">
        <v>95.79392068970148</v>
      </c>
      <c r="E4615" s="733"/>
    </row>
    <row r="4616" spans="2:5">
      <c r="B4616" s="121">
        <v>382</v>
      </c>
      <c r="C4616" s="121">
        <v>3</v>
      </c>
      <c r="D4616" s="734">
        <v>115.11101488770512</v>
      </c>
      <c r="E4616" s="733"/>
    </row>
    <row r="4617" spans="2:5">
      <c r="B4617" s="121">
        <v>382</v>
      </c>
      <c r="C4617" s="121">
        <v>4</v>
      </c>
      <c r="D4617" s="734">
        <v>135.91279062740523</v>
      </c>
      <c r="E4617" s="733"/>
    </row>
    <row r="4618" spans="2:5">
      <c r="B4618" s="121">
        <v>382</v>
      </c>
      <c r="C4618" s="121">
        <v>5</v>
      </c>
      <c r="D4618" s="734">
        <v>137.46421889793916</v>
      </c>
      <c r="E4618" s="733"/>
    </row>
    <row r="4619" spans="2:5">
      <c r="B4619" s="121">
        <v>382</v>
      </c>
      <c r="C4619" s="121">
        <v>6</v>
      </c>
      <c r="D4619" s="734">
        <v>135.22189631653444</v>
      </c>
      <c r="E4619" s="733"/>
    </row>
    <row r="4620" spans="2:5">
      <c r="B4620" s="121">
        <v>382</v>
      </c>
      <c r="C4620" s="121">
        <v>7</v>
      </c>
      <c r="D4620" s="734">
        <v>134.17586483566132</v>
      </c>
      <c r="E4620" s="733"/>
    </row>
    <row r="4621" spans="2:5">
      <c r="B4621" s="121">
        <v>382</v>
      </c>
      <c r="C4621" s="121">
        <v>8</v>
      </c>
      <c r="D4621" s="734">
        <v>136.65142576376684</v>
      </c>
      <c r="E4621" s="733"/>
    </row>
    <row r="4622" spans="2:5">
      <c r="B4622" s="121">
        <v>383</v>
      </c>
      <c r="C4622" s="121">
        <v>1</v>
      </c>
      <c r="D4622" s="734">
        <v>5</v>
      </c>
      <c r="E4622" s="733"/>
    </row>
    <row r="4623" spans="2:5">
      <c r="B4623" s="121">
        <v>383</v>
      </c>
      <c r="C4623" s="121">
        <v>2</v>
      </c>
      <c r="D4623" s="734">
        <v>101.00510702788765</v>
      </c>
      <c r="E4623" s="733"/>
    </row>
    <row r="4624" spans="2:5">
      <c r="B4624" s="121">
        <v>383</v>
      </c>
      <c r="C4624" s="121">
        <v>3</v>
      </c>
      <c r="D4624" s="734">
        <v>116.99046274678014</v>
      </c>
      <c r="E4624" s="733"/>
    </row>
    <row r="4625" spans="2:5">
      <c r="B4625" s="121">
        <v>383</v>
      </c>
      <c r="C4625" s="121">
        <v>4</v>
      </c>
      <c r="D4625" s="734">
        <v>143.41165532520543</v>
      </c>
      <c r="E4625" s="733"/>
    </row>
    <row r="4626" spans="2:5">
      <c r="B4626" s="121">
        <v>383</v>
      </c>
      <c r="C4626" s="121">
        <v>5</v>
      </c>
      <c r="D4626" s="734">
        <v>138.4762990030226</v>
      </c>
      <c r="E4626" s="733"/>
    </row>
    <row r="4627" spans="2:5">
      <c r="B4627" s="121">
        <v>383</v>
      </c>
      <c r="C4627" s="121">
        <v>6</v>
      </c>
      <c r="D4627" s="734">
        <v>145.40001611693668</v>
      </c>
      <c r="E4627" s="733"/>
    </row>
    <row r="4628" spans="2:5">
      <c r="B4628" s="121">
        <v>383</v>
      </c>
      <c r="C4628" s="121">
        <v>7</v>
      </c>
      <c r="D4628" s="734">
        <v>140.73006364011064</v>
      </c>
      <c r="E4628" s="733"/>
    </row>
    <row r="4629" spans="2:5">
      <c r="B4629" s="121">
        <v>383</v>
      </c>
      <c r="C4629" s="121">
        <v>8</v>
      </c>
      <c r="D4629" s="734">
        <v>141.65778217666477</v>
      </c>
      <c r="E4629" s="733"/>
    </row>
    <row r="4630" spans="2:5">
      <c r="B4630" s="121">
        <v>383</v>
      </c>
      <c r="C4630" s="121">
        <v>9</v>
      </c>
      <c r="D4630" s="734">
        <v>143.41701348002957</v>
      </c>
      <c r="E4630" s="733"/>
    </row>
    <row r="4631" spans="2:5">
      <c r="B4631" s="121">
        <v>383</v>
      </c>
      <c r="C4631" s="121">
        <v>10</v>
      </c>
      <c r="D4631" s="734">
        <v>145.5837095656691</v>
      </c>
      <c r="E4631" s="733"/>
    </row>
    <row r="4632" spans="2:5">
      <c r="B4632" s="121">
        <v>383</v>
      </c>
      <c r="C4632" s="121">
        <v>11</v>
      </c>
      <c r="D4632" s="734">
        <v>141.77463656989343</v>
      </c>
      <c r="E4632" s="733"/>
    </row>
    <row r="4633" spans="2:5">
      <c r="B4633" s="121">
        <v>383</v>
      </c>
      <c r="C4633" s="121">
        <v>12</v>
      </c>
      <c r="D4633" s="734">
        <v>138.06935395254578</v>
      </c>
      <c r="E4633" s="733"/>
    </row>
    <row r="4634" spans="2:5">
      <c r="B4634" s="121">
        <v>383</v>
      </c>
      <c r="C4634" s="121">
        <v>13</v>
      </c>
      <c r="D4634" s="734">
        <v>136.31293431987677</v>
      </c>
      <c r="E4634" s="733"/>
    </row>
    <row r="4635" spans="2:5">
      <c r="B4635" s="121">
        <v>383</v>
      </c>
      <c r="C4635" s="121">
        <v>14</v>
      </c>
      <c r="D4635" s="734">
        <v>136.91539110938561</v>
      </c>
      <c r="E4635" s="733"/>
    </row>
    <row r="4636" spans="2:5">
      <c r="B4636" s="121">
        <v>383</v>
      </c>
      <c r="C4636" s="121">
        <v>15</v>
      </c>
      <c r="D4636" s="734">
        <v>133.9604777882632</v>
      </c>
      <c r="E4636" s="733"/>
    </row>
    <row r="4637" spans="2:5">
      <c r="B4637" s="121">
        <v>383</v>
      </c>
      <c r="C4637" s="121">
        <v>16</v>
      </c>
      <c r="D4637" s="734">
        <v>142.67882058232962</v>
      </c>
      <c r="E4637" s="733"/>
    </row>
    <row r="4638" spans="2:5">
      <c r="B4638" s="121">
        <v>383</v>
      </c>
      <c r="C4638" s="121">
        <v>17</v>
      </c>
      <c r="D4638" s="734">
        <v>135.64605663363093</v>
      </c>
      <c r="E4638" s="733"/>
    </row>
    <row r="4639" spans="2:5">
      <c r="B4639" s="121">
        <v>383</v>
      </c>
      <c r="C4639" s="121">
        <v>18</v>
      </c>
      <c r="D4639" s="734">
        <v>134.81571547221708</v>
      </c>
      <c r="E4639" s="733"/>
    </row>
    <row r="4640" spans="2:5">
      <c r="B4640" s="121">
        <v>383</v>
      </c>
      <c r="C4640" s="121">
        <v>19</v>
      </c>
      <c r="D4640" s="734">
        <v>141.79144511216083</v>
      </c>
      <c r="E4640" s="733"/>
    </row>
    <row r="4641" spans="2:5">
      <c r="B4641" s="121">
        <v>383</v>
      </c>
      <c r="C4641" s="121">
        <v>20</v>
      </c>
      <c r="D4641" s="734">
        <v>139.97731785884301</v>
      </c>
      <c r="E4641" s="733"/>
    </row>
    <row r="4642" spans="2:5">
      <c r="B4642" s="121">
        <v>383</v>
      </c>
      <c r="C4642" s="121">
        <v>21</v>
      </c>
      <c r="D4642" s="734">
        <v>134.7505617998531</v>
      </c>
      <c r="E4642" s="733"/>
    </row>
    <row r="4643" spans="2:5">
      <c r="B4643" s="121">
        <v>383</v>
      </c>
      <c r="C4643" s="121">
        <v>22</v>
      </c>
      <c r="D4643" s="734">
        <v>134.90795945195842</v>
      </c>
      <c r="E4643" s="733"/>
    </row>
    <row r="4644" spans="2:5">
      <c r="B4644" s="121">
        <v>383</v>
      </c>
      <c r="C4644" s="121">
        <v>23</v>
      </c>
      <c r="D4644" s="734">
        <v>140.70151326514102</v>
      </c>
      <c r="E4644" s="733"/>
    </row>
    <row r="4645" spans="2:5">
      <c r="B4645" s="121">
        <v>383</v>
      </c>
      <c r="C4645" s="121">
        <v>24</v>
      </c>
      <c r="D4645" s="734">
        <v>135.89664368344236</v>
      </c>
      <c r="E4645" s="733"/>
    </row>
    <row r="4646" spans="2:5">
      <c r="B4646" s="121">
        <v>383</v>
      </c>
      <c r="C4646" s="121">
        <v>25</v>
      </c>
      <c r="D4646" s="734">
        <v>136.67404702701205</v>
      </c>
      <c r="E4646" s="733"/>
    </row>
    <row r="4647" spans="2:5">
      <c r="B4647" s="121">
        <v>383</v>
      </c>
      <c r="C4647" s="121">
        <v>26</v>
      </c>
      <c r="D4647" s="734">
        <v>144.7351849206442</v>
      </c>
      <c r="E4647" s="733"/>
    </row>
    <row r="4648" spans="2:5">
      <c r="B4648" s="121">
        <v>383</v>
      </c>
      <c r="C4648" s="121">
        <v>27</v>
      </c>
      <c r="D4648" s="734">
        <v>140.92196794077225</v>
      </c>
      <c r="E4648" s="733"/>
    </row>
    <row r="4649" spans="2:5">
      <c r="B4649" s="121">
        <v>383</v>
      </c>
      <c r="C4649" s="121">
        <v>28</v>
      </c>
      <c r="D4649" s="734">
        <v>139.53360310174546</v>
      </c>
      <c r="E4649" s="733"/>
    </row>
    <row r="4650" spans="2:5">
      <c r="B4650" s="121">
        <v>383</v>
      </c>
      <c r="C4650" s="121">
        <v>29</v>
      </c>
      <c r="D4650" s="734">
        <v>142.66093641653558</v>
      </c>
      <c r="E4650" s="733"/>
    </row>
    <row r="4651" spans="2:5">
      <c r="B4651" s="121">
        <v>384</v>
      </c>
      <c r="C4651" s="121">
        <v>1</v>
      </c>
      <c r="D4651" s="734">
        <v>5</v>
      </c>
      <c r="E4651" s="733"/>
    </row>
    <row r="4652" spans="2:5">
      <c r="B4652" s="121">
        <v>385</v>
      </c>
      <c r="C4652" s="121">
        <v>1</v>
      </c>
      <c r="D4652" s="734">
        <v>5</v>
      </c>
      <c r="E4652" s="733"/>
    </row>
    <row r="4653" spans="2:5">
      <c r="B4653" s="121">
        <v>385</v>
      </c>
      <c r="C4653" s="121">
        <v>2</v>
      </c>
      <c r="D4653" s="734">
        <v>95.065973675999999</v>
      </c>
      <c r="E4653" s="733"/>
    </row>
    <row r="4654" spans="2:5">
      <c r="B4654" s="121">
        <v>385</v>
      </c>
      <c r="C4654" s="121">
        <v>3</v>
      </c>
      <c r="D4654" s="734">
        <v>116.00702823339873</v>
      </c>
      <c r="E4654" s="733"/>
    </row>
    <row r="4655" spans="2:5">
      <c r="B4655" s="121">
        <v>385</v>
      </c>
      <c r="C4655" s="121">
        <v>4</v>
      </c>
      <c r="D4655" s="734">
        <v>143.99151488131923</v>
      </c>
      <c r="E4655" s="733"/>
    </row>
    <row r="4656" spans="2:5">
      <c r="B4656" s="121">
        <v>385</v>
      </c>
      <c r="C4656" s="121">
        <v>5</v>
      </c>
      <c r="D4656" s="734">
        <v>146.90529229266255</v>
      </c>
      <c r="E4656" s="733"/>
    </row>
    <row r="4657" spans="2:5">
      <c r="B4657" s="121">
        <v>385</v>
      </c>
      <c r="C4657" s="121">
        <v>6</v>
      </c>
      <c r="D4657" s="734">
        <v>135.75988091312408</v>
      </c>
      <c r="E4657" s="733"/>
    </row>
    <row r="4658" spans="2:5">
      <c r="B4658" s="121">
        <v>385</v>
      </c>
      <c r="C4658" s="121">
        <v>7</v>
      </c>
      <c r="D4658" s="734">
        <v>136.76960028063854</v>
      </c>
      <c r="E4658" s="733"/>
    </row>
    <row r="4659" spans="2:5">
      <c r="B4659" s="121">
        <v>385</v>
      </c>
      <c r="C4659" s="121">
        <v>8</v>
      </c>
      <c r="D4659" s="734">
        <v>137.06660690938847</v>
      </c>
      <c r="E4659" s="733"/>
    </row>
    <row r="4660" spans="2:5">
      <c r="B4660" s="121">
        <v>385</v>
      </c>
      <c r="C4660" s="121">
        <v>9</v>
      </c>
      <c r="D4660" s="734">
        <v>141.05658636321635</v>
      </c>
      <c r="E4660" s="733"/>
    </row>
    <row r="4661" spans="2:5">
      <c r="B4661" s="121">
        <v>385</v>
      </c>
      <c r="C4661" s="121">
        <v>10</v>
      </c>
      <c r="D4661" s="734">
        <v>144.7097274149919</v>
      </c>
      <c r="E4661" s="733"/>
    </row>
    <row r="4662" spans="2:5">
      <c r="B4662" s="121">
        <v>385</v>
      </c>
      <c r="C4662" s="121">
        <v>11</v>
      </c>
      <c r="D4662" s="734">
        <v>138.53873836788549</v>
      </c>
      <c r="E4662" s="733"/>
    </row>
    <row r="4663" spans="2:5">
      <c r="B4663" s="121">
        <v>385</v>
      </c>
      <c r="C4663" s="121">
        <v>12</v>
      </c>
      <c r="D4663" s="734">
        <v>141.80527984262676</v>
      </c>
      <c r="E4663" s="733"/>
    </row>
    <row r="4664" spans="2:5">
      <c r="B4664" s="121">
        <v>385</v>
      </c>
      <c r="C4664" s="121">
        <v>13</v>
      </c>
      <c r="D4664" s="734">
        <v>134.00864413518138</v>
      </c>
      <c r="E4664" s="733"/>
    </row>
    <row r="4665" spans="2:5">
      <c r="B4665" s="121">
        <v>385</v>
      </c>
      <c r="C4665" s="121">
        <v>14</v>
      </c>
      <c r="D4665" s="734">
        <v>135.17316559184371</v>
      </c>
      <c r="E4665" s="733"/>
    </row>
    <row r="4666" spans="2:5">
      <c r="B4666" s="121">
        <v>385</v>
      </c>
      <c r="C4666" s="121">
        <v>15</v>
      </c>
      <c r="D4666" s="734">
        <v>137.85208300453732</v>
      </c>
      <c r="E4666" s="733"/>
    </row>
    <row r="4667" spans="2:5">
      <c r="B4667" s="121">
        <v>385</v>
      </c>
      <c r="C4667" s="121">
        <v>16</v>
      </c>
      <c r="D4667" s="734">
        <v>139.81224927876437</v>
      </c>
      <c r="E4667" s="733"/>
    </row>
    <row r="4668" spans="2:5">
      <c r="B4668" s="121">
        <v>385</v>
      </c>
      <c r="C4668" s="121">
        <v>17</v>
      </c>
      <c r="D4668" s="734">
        <v>144.50799065488764</v>
      </c>
      <c r="E4668" s="733"/>
    </row>
    <row r="4669" spans="2:5">
      <c r="B4669" s="121">
        <v>385</v>
      </c>
      <c r="C4669" s="121">
        <v>18</v>
      </c>
      <c r="D4669" s="734">
        <v>141.00955280964283</v>
      </c>
      <c r="E4669" s="733"/>
    </row>
    <row r="4670" spans="2:5">
      <c r="B4670" s="121">
        <v>385</v>
      </c>
      <c r="C4670" s="121">
        <v>19</v>
      </c>
      <c r="D4670" s="734">
        <v>141.62203963420401</v>
      </c>
      <c r="E4670" s="733"/>
    </row>
    <row r="4671" spans="2:5">
      <c r="B4671" s="121">
        <v>385</v>
      </c>
      <c r="C4671" s="121">
        <v>20</v>
      </c>
      <c r="D4671" s="734">
        <v>142.24267096066711</v>
      </c>
      <c r="E4671" s="733"/>
    </row>
    <row r="4672" spans="2:5">
      <c r="B4672" s="121">
        <v>385</v>
      </c>
      <c r="C4672" s="121">
        <v>21</v>
      </c>
      <c r="D4672" s="734">
        <v>144.33425195219527</v>
      </c>
      <c r="E4672" s="733"/>
    </row>
    <row r="4673" spans="2:5">
      <c r="B4673" s="121">
        <v>385</v>
      </c>
      <c r="C4673" s="121">
        <v>22</v>
      </c>
      <c r="D4673" s="734">
        <v>145.72552643421108</v>
      </c>
      <c r="E4673" s="733"/>
    </row>
    <row r="4674" spans="2:5">
      <c r="B4674" s="121">
        <v>385</v>
      </c>
      <c r="C4674" s="121">
        <v>23</v>
      </c>
      <c r="D4674" s="734">
        <v>134.88386963063397</v>
      </c>
      <c r="E4674" s="733"/>
    </row>
    <row r="4675" spans="2:5">
      <c r="B4675" s="121">
        <v>385</v>
      </c>
      <c r="C4675" s="121">
        <v>24</v>
      </c>
      <c r="D4675" s="734">
        <v>144.93235903736905</v>
      </c>
      <c r="E4675" s="733"/>
    </row>
    <row r="4676" spans="2:5">
      <c r="B4676" s="121">
        <v>386</v>
      </c>
      <c r="C4676" s="121">
        <v>1</v>
      </c>
      <c r="D4676" s="734">
        <v>5</v>
      </c>
      <c r="E4676" s="733"/>
    </row>
    <row r="4677" spans="2:5">
      <c r="B4677" s="121">
        <v>387</v>
      </c>
      <c r="C4677" s="121">
        <v>1</v>
      </c>
      <c r="D4677" s="734">
        <v>5</v>
      </c>
      <c r="E4677" s="733"/>
    </row>
    <row r="4678" spans="2:5">
      <c r="B4678" s="121">
        <v>387</v>
      </c>
      <c r="C4678" s="121">
        <v>2</v>
      </c>
      <c r="D4678" s="734">
        <v>99.753575630854172</v>
      </c>
      <c r="E4678" s="733"/>
    </row>
    <row r="4679" spans="2:5">
      <c r="B4679" s="121">
        <v>387</v>
      </c>
      <c r="C4679" s="121">
        <v>3</v>
      </c>
      <c r="D4679" s="734">
        <v>116.79907147317127</v>
      </c>
      <c r="E4679" s="733"/>
    </row>
    <row r="4680" spans="2:5">
      <c r="B4680" s="121">
        <v>387</v>
      </c>
      <c r="C4680" s="121">
        <v>4</v>
      </c>
      <c r="D4680" s="734">
        <v>138.4351608824104</v>
      </c>
      <c r="E4680" s="733"/>
    </row>
    <row r="4681" spans="2:5">
      <c r="B4681" s="121">
        <v>387</v>
      </c>
      <c r="C4681" s="121">
        <v>5</v>
      </c>
      <c r="D4681" s="734">
        <v>141.89010876996605</v>
      </c>
      <c r="E4681" s="733"/>
    </row>
    <row r="4682" spans="2:5">
      <c r="B4682" s="121">
        <v>388</v>
      </c>
      <c r="C4682" s="121">
        <v>1</v>
      </c>
      <c r="D4682" s="734">
        <v>5</v>
      </c>
      <c r="E4682" s="733"/>
    </row>
    <row r="4683" spans="2:5">
      <c r="B4683" s="121">
        <v>389</v>
      </c>
      <c r="C4683" s="121">
        <v>1</v>
      </c>
      <c r="D4683" s="734">
        <v>5</v>
      </c>
      <c r="E4683" s="733"/>
    </row>
    <row r="4684" spans="2:5">
      <c r="B4684" s="121">
        <v>389</v>
      </c>
      <c r="C4684" s="121">
        <v>2</v>
      </c>
      <c r="D4684" s="734">
        <v>100.0632973085423</v>
      </c>
      <c r="E4684" s="733"/>
    </row>
    <row r="4685" spans="2:5">
      <c r="B4685" s="121">
        <v>389</v>
      </c>
      <c r="C4685" s="121">
        <v>3</v>
      </c>
      <c r="D4685" s="734">
        <v>114.48523465289455</v>
      </c>
      <c r="E4685" s="733"/>
    </row>
    <row r="4686" spans="2:5">
      <c r="B4686" s="121">
        <v>389</v>
      </c>
      <c r="C4686" s="121">
        <v>4</v>
      </c>
      <c r="D4686" s="734">
        <v>142.90539288445868</v>
      </c>
      <c r="E4686" s="733"/>
    </row>
    <row r="4687" spans="2:5">
      <c r="B4687" s="121">
        <v>389</v>
      </c>
      <c r="C4687" s="121">
        <v>5</v>
      </c>
      <c r="D4687" s="734">
        <v>140.48987032568166</v>
      </c>
      <c r="E4687" s="733"/>
    </row>
    <row r="4688" spans="2:5">
      <c r="B4688" s="121">
        <v>389</v>
      </c>
      <c r="C4688" s="121">
        <v>6</v>
      </c>
      <c r="D4688" s="734">
        <v>139.59926833465539</v>
      </c>
      <c r="E4688" s="733"/>
    </row>
    <row r="4689" spans="2:5">
      <c r="B4689" s="121">
        <v>389</v>
      </c>
      <c r="C4689" s="121">
        <v>7</v>
      </c>
      <c r="D4689" s="734">
        <v>134.67755881271088</v>
      </c>
      <c r="E4689" s="733"/>
    </row>
    <row r="4690" spans="2:5">
      <c r="B4690" s="121">
        <v>389</v>
      </c>
      <c r="C4690" s="121">
        <v>8</v>
      </c>
      <c r="D4690" s="734">
        <v>134.78294862739992</v>
      </c>
      <c r="E4690" s="733"/>
    </row>
    <row r="4691" spans="2:5">
      <c r="B4691" s="121">
        <v>389</v>
      </c>
      <c r="C4691" s="121">
        <v>9</v>
      </c>
      <c r="D4691" s="734">
        <v>135.93580235381785</v>
      </c>
      <c r="E4691" s="733"/>
    </row>
    <row r="4692" spans="2:5">
      <c r="B4692" s="121">
        <v>389</v>
      </c>
      <c r="C4692" s="121">
        <v>10</v>
      </c>
      <c r="D4692" s="734">
        <v>145.71096581688735</v>
      </c>
      <c r="E4692" s="733"/>
    </row>
    <row r="4693" spans="2:5">
      <c r="B4693" s="121">
        <v>389</v>
      </c>
      <c r="C4693" s="121">
        <v>11</v>
      </c>
      <c r="D4693" s="734">
        <v>141.40930893275109</v>
      </c>
      <c r="E4693" s="733"/>
    </row>
    <row r="4694" spans="2:5">
      <c r="B4694" s="121">
        <v>389</v>
      </c>
      <c r="C4694" s="121">
        <v>12</v>
      </c>
      <c r="D4694" s="734">
        <v>137.68628189863603</v>
      </c>
      <c r="E4694" s="733"/>
    </row>
    <row r="4695" spans="2:5">
      <c r="B4695" s="121">
        <v>389</v>
      </c>
      <c r="C4695" s="121">
        <v>13</v>
      </c>
      <c r="D4695" s="734">
        <v>139.37963635327969</v>
      </c>
      <c r="E4695" s="733"/>
    </row>
    <row r="4696" spans="2:5">
      <c r="B4696" s="121">
        <v>390</v>
      </c>
      <c r="C4696" s="121">
        <v>1</v>
      </c>
      <c r="D4696" s="734">
        <v>5</v>
      </c>
      <c r="E4696" s="733"/>
    </row>
    <row r="4697" spans="2:5">
      <c r="B4697" s="121">
        <v>391</v>
      </c>
      <c r="C4697" s="121">
        <v>1</v>
      </c>
      <c r="D4697" s="734">
        <v>5</v>
      </c>
      <c r="E4697" s="733"/>
    </row>
    <row r="4698" spans="2:5">
      <c r="B4698" s="121">
        <v>391</v>
      </c>
      <c r="C4698" s="121">
        <v>2</v>
      </c>
      <c r="D4698" s="734">
        <v>95.706629811058335</v>
      </c>
      <c r="E4698" s="733"/>
    </row>
    <row r="4699" spans="2:5">
      <c r="B4699" s="121">
        <v>391</v>
      </c>
      <c r="C4699" s="121">
        <v>3</v>
      </c>
      <c r="D4699" s="734">
        <v>116.05950047822726</v>
      </c>
      <c r="E4699" s="733"/>
    </row>
    <row r="4700" spans="2:5">
      <c r="B4700" s="121">
        <v>391</v>
      </c>
      <c r="C4700" s="121">
        <v>4</v>
      </c>
      <c r="D4700" s="734">
        <v>137.05079576512213</v>
      </c>
      <c r="E4700" s="733"/>
    </row>
    <row r="4701" spans="2:5">
      <c r="B4701" s="121">
        <v>391</v>
      </c>
      <c r="C4701" s="121">
        <v>5</v>
      </c>
      <c r="D4701" s="734">
        <v>146.8619068699297</v>
      </c>
      <c r="E4701" s="733"/>
    </row>
    <row r="4702" spans="2:5">
      <c r="B4702" s="121">
        <v>391</v>
      </c>
      <c r="C4702" s="121">
        <v>6</v>
      </c>
      <c r="D4702" s="734">
        <v>140.64856100330968</v>
      </c>
      <c r="E4702" s="733"/>
    </row>
    <row r="4703" spans="2:5">
      <c r="B4703" s="121">
        <v>391</v>
      </c>
      <c r="C4703" s="121">
        <v>7</v>
      </c>
      <c r="D4703" s="734">
        <v>145.39396528683122</v>
      </c>
      <c r="E4703" s="733"/>
    </row>
    <row r="4704" spans="2:5">
      <c r="B4704" s="121">
        <v>391</v>
      </c>
      <c r="C4704" s="121">
        <v>8</v>
      </c>
      <c r="D4704" s="734">
        <v>141.7476815236061</v>
      </c>
      <c r="E4704" s="733"/>
    </row>
    <row r="4705" spans="2:5">
      <c r="B4705" s="121">
        <v>391</v>
      </c>
      <c r="C4705" s="121">
        <v>9</v>
      </c>
      <c r="D4705" s="734">
        <v>145.93508654249985</v>
      </c>
      <c r="E4705" s="733"/>
    </row>
    <row r="4706" spans="2:5">
      <c r="B4706" s="121">
        <v>391</v>
      </c>
      <c r="C4706" s="121">
        <v>10</v>
      </c>
      <c r="D4706" s="734">
        <v>137.89087816250142</v>
      </c>
      <c r="E4706" s="733"/>
    </row>
    <row r="4707" spans="2:5">
      <c r="B4707" s="121">
        <v>391</v>
      </c>
      <c r="C4707" s="121">
        <v>11</v>
      </c>
      <c r="D4707" s="734">
        <v>135.44777038306259</v>
      </c>
      <c r="E4707" s="733"/>
    </row>
    <row r="4708" spans="2:5">
      <c r="B4708" s="121">
        <v>391</v>
      </c>
      <c r="C4708" s="121">
        <v>12</v>
      </c>
      <c r="D4708" s="734">
        <v>139.69411904275859</v>
      </c>
      <c r="E4708" s="733"/>
    </row>
    <row r="4709" spans="2:5">
      <c r="B4709" s="121">
        <v>391</v>
      </c>
      <c r="C4709" s="121">
        <v>13</v>
      </c>
      <c r="D4709" s="734">
        <v>146.58110895501858</v>
      </c>
      <c r="E4709" s="733"/>
    </row>
    <row r="4710" spans="2:5">
      <c r="B4710" s="121">
        <v>391</v>
      </c>
      <c r="C4710" s="121">
        <v>14</v>
      </c>
      <c r="D4710" s="734">
        <v>133.93781708951681</v>
      </c>
      <c r="E4710" s="733"/>
    </row>
    <row r="4711" spans="2:5">
      <c r="B4711" s="121">
        <v>391</v>
      </c>
      <c r="C4711" s="121">
        <v>15</v>
      </c>
      <c r="D4711" s="734">
        <v>145.96097097609601</v>
      </c>
      <c r="E4711" s="733"/>
    </row>
    <row r="4712" spans="2:5">
      <c r="B4712" s="121">
        <v>392</v>
      </c>
      <c r="C4712" s="121">
        <v>1</v>
      </c>
      <c r="D4712" s="734">
        <v>5</v>
      </c>
      <c r="E4712" s="733"/>
    </row>
    <row r="4713" spans="2:5">
      <c r="B4713" s="121">
        <v>393</v>
      </c>
      <c r="C4713" s="121">
        <v>1</v>
      </c>
      <c r="D4713" s="734">
        <v>5</v>
      </c>
      <c r="E4713" s="733"/>
    </row>
    <row r="4714" spans="2:5">
      <c r="B4714" s="121">
        <v>393</v>
      </c>
      <c r="C4714" s="121">
        <v>2</v>
      </c>
      <c r="D4714" s="734">
        <v>99.715384772255618</v>
      </c>
      <c r="E4714" s="733"/>
    </row>
    <row r="4715" spans="2:5">
      <c r="B4715" s="121">
        <v>394</v>
      </c>
      <c r="C4715" s="121">
        <v>1</v>
      </c>
      <c r="D4715" s="734">
        <v>5</v>
      </c>
      <c r="E4715" s="733"/>
    </row>
    <row r="4716" spans="2:5">
      <c r="B4716" s="121">
        <v>394</v>
      </c>
      <c r="C4716" s="121">
        <v>2</v>
      </c>
      <c r="D4716" s="734">
        <v>102.21460863065789</v>
      </c>
      <c r="E4716" s="733"/>
    </row>
    <row r="4717" spans="2:5">
      <c r="B4717" s="121">
        <v>394</v>
      </c>
      <c r="C4717" s="121">
        <v>3</v>
      </c>
      <c r="D4717" s="734">
        <v>114.02975812973924</v>
      </c>
      <c r="E4717" s="733"/>
    </row>
    <row r="4718" spans="2:5">
      <c r="B4718" s="121">
        <v>394</v>
      </c>
      <c r="C4718" s="121">
        <v>4</v>
      </c>
      <c r="D4718" s="734">
        <v>142.36574196817079</v>
      </c>
      <c r="E4718" s="733"/>
    </row>
    <row r="4719" spans="2:5">
      <c r="B4719" s="121">
        <v>394</v>
      </c>
      <c r="C4719" s="121">
        <v>5</v>
      </c>
      <c r="D4719" s="734">
        <v>141.92432403374895</v>
      </c>
      <c r="E4719" s="733"/>
    </row>
    <row r="4720" spans="2:5">
      <c r="B4720" s="121">
        <v>394</v>
      </c>
      <c r="C4720" s="121">
        <v>6</v>
      </c>
      <c r="D4720" s="734">
        <v>142.63268810277557</v>
      </c>
      <c r="E4720" s="733"/>
    </row>
    <row r="4721" spans="2:5">
      <c r="B4721" s="121">
        <v>394</v>
      </c>
      <c r="C4721" s="121">
        <v>7</v>
      </c>
      <c r="D4721" s="734">
        <v>146.05801054761102</v>
      </c>
      <c r="E4721" s="733"/>
    </row>
    <row r="4722" spans="2:5">
      <c r="B4722" s="121">
        <v>394</v>
      </c>
      <c r="C4722" s="121">
        <v>8</v>
      </c>
      <c r="D4722" s="734">
        <v>137.24022174132369</v>
      </c>
      <c r="E4722" s="733"/>
    </row>
    <row r="4723" spans="2:5">
      <c r="B4723" s="121">
        <v>394</v>
      </c>
      <c r="C4723" s="121">
        <v>9</v>
      </c>
      <c r="D4723" s="734">
        <v>140.77430482833358</v>
      </c>
      <c r="E4723" s="733"/>
    </row>
    <row r="4724" spans="2:5">
      <c r="B4724" s="121">
        <v>394</v>
      </c>
      <c r="C4724" s="121">
        <v>10</v>
      </c>
      <c r="D4724" s="734">
        <v>145.75949466360706</v>
      </c>
      <c r="E4724" s="733"/>
    </row>
    <row r="4725" spans="2:5">
      <c r="B4725" s="121">
        <v>394</v>
      </c>
      <c r="C4725" s="121">
        <v>11</v>
      </c>
      <c r="D4725" s="734">
        <v>142.72192159284461</v>
      </c>
      <c r="E4725" s="733"/>
    </row>
    <row r="4726" spans="2:5">
      <c r="B4726" s="121">
        <v>394</v>
      </c>
      <c r="C4726" s="121">
        <v>12</v>
      </c>
      <c r="D4726" s="734">
        <v>135.73368228243169</v>
      </c>
      <c r="E4726" s="733"/>
    </row>
    <row r="4727" spans="2:5">
      <c r="B4727" s="121">
        <v>394</v>
      </c>
      <c r="C4727" s="121">
        <v>13</v>
      </c>
      <c r="D4727" s="734">
        <v>141.94009061645522</v>
      </c>
      <c r="E4727" s="733"/>
    </row>
    <row r="4728" spans="2:5">
      <c r="B4728" s="121">
        <v>394</v>
      </c>
      <c r="C4728" s="121">
        <v>14</v>
      </c>
      <c r="D4728" s="734">
        <v>143.79015051481369</v>
      </c>
      <c r="E4728" s="733"/>
    </row>
    <row r="4729" spans="2:5">
      <c r="B4729" s="121">
        <v>394</v>
      </c>
      <c r="C4729" s="121">
        <v>15</v>
      </c>
      <c r="D4729" s="734">
        <v>143.75022595804535</v>
      </c>
      <c r="E4729" s="733"/>
    </row>
    <row r="4730" spans="2:5">
      <c r="B4730" s="121">
        <v>395</v>
      </c>
      <c r="C4730" s="121">
        <v>1</v>
      </c>
      <c r="D4730" s="734">
        <v>5</v>
      </c>
      <c r="E4730" s="733"/>
    </row>
    <row r="4731" spans="2:5">
      <c r="B4731" s="121">
        <v>396</v>
      </c>
      <c r="C4731" s="121">
        <v>1</v>
      </c>
      <c r="D4731" s="734">
        <v>5</v>
      </c>
      <c r="E4731" s="733"/>
    </row>
    <row r="4732" spans="2:5">
      <c r="B4732" s="121">
        <v>397</v>
      </c>
      <c r="C4732" s="121">
        <v>1</v>
      </c>
      <c r="D4732" s="734">
        <v>5</v>
      </c>
      <c r="E4732" s="733"/>
    </row>
    <row r="4733" spans="2:5">
      <c r="B4733" s="121">
        <v>397</v>
      </c>
      <c r="C4733" s="121">
        <v>2</v>
      </c>
      <c r="D4733" s="734">
        <v>100.13334835188688</v>
      </c>
      <c r="E4733" s="733"/>
    </row>
    <row r="4734" spans="2:5">
      <c r="B4734" s="121">
        <v>397</v>
      </c>
      <c r="C4734" s="121">
        <v>3</v>
      </c>
      <c r="D4734" s="734">
        <v>114.26823706994458</v>
      </c>
      <c r="E4734" s="733"/>
    </row>
    <row r="4735" spans="2:5">
      <c r="B4735" s="121">
        <v>397</v>
      </c>
      <c r="C4735" s="121">
        <v>4</v>
      </c>
      <c r="D4735" s="734">
        <v>137.38806577870599</v>
      </c>
      <c r="E4735" s="733"/>
    </row>
    <row r="4736" spans="2:5">
      <c r="B4736" s="121">
        <v>397</v>
      </c>
      <c r="C4736" s="121">
        <v>5</v>
      </c>
      <c r="D4736" s="734">
        <v>134.80582131648021</v>
      </c>
      <c r="E4736" s="733"/>
    </row>
    <row r="4737" spans="2:5">
      <c r="B4737" s="121">
        <v>397</v>
      </c>
      <c r="C4737" s="121">
        <v>6</v>
      </c>
      <c r="D4737" s="734">
        <v>142.77355025171428</v>
      </c>
      <c r="E4737" s="733"/>
    </row>
    <row r="4738" spans="2:5">
      <c r="B4738" s="121">
        <v>397</v>
      </c>
      <c r="C4738" s="121">
        <v>7</v>
      </c>
      <c r="D4738" s="734">
        <v>136.75049679380177</v>
      </c>
      <c r="E4738" s="733"/>
    </row>
    <row r="4739" spans="2:5">
      <c r="B4739" s="121">
        <v>397</v>
      </c>
      <c r="C4739" s="121">
        <v>8</v>
      </c>
      <c r="D4739" s="734">
        <v>143.74352476096564</v>
      </c>
      <c r="E4739" s="733"/>
    </row>
    <row r="4740" spans="2:5">
      <c r="B4740" s="121">
        <v>397</v>
      </c>
      <c r="C4740" s="121">
        <v>9</v>
      </c>
      <c r="D4740" s="734">
        <v>138.69827316490492</v>
      </c>
      <c r="E4740" s="733"/>
    </row>
    <row r="4741" spans="2:5">
      <c r="B4741" s="121">
        <v>397</v>
      </c>
      <c r="C4741" s="121">
        <v>10</v>
      </c>
      <c r="D4741" s="734">
        <v>133.72820102189621</v>
      </c>
      <c r="E4741" s="733"/>
    </row>
    <row r="4742" spans="2:5">
      <c r="B4742" s="121">
        <v>397</v>
      </c>
      <c r="C4742" s="121">
        <v>11</v>
      </c>
      <c r="D4742" s="734">
        <v>141.2762858339899</v>
      </c>
      <c r="E4742" s="733"/>
    </row>
    <row r="4743" spans="2:5">
      <c r="B4743" s="121">
        <v>398</v>
      </c>
      <c r="C4743" s="121">
        <v>1</v>
      </c>
      <c r="D4743" s="734">
        <v>5</v>
      </c>
      <c r="E4743" s="733"/>
    </row>
    <row r="4744" spans="2:5">
      <c r="B4744" s="121">
        <v>398</v>
      </c>
      <c r="C4744" s="121">
        <v>2</v>
      </c>
      <c r="D4744" s="734">
        <v>94.367323438541163</v>
      </c>
      <c r="E4744" s="733"/>
    </row>
    <row r="4745" spans="2:5">
      <c r="B4745" s="121">
        <v>398</v>
      </c>
      <c r="C4745" s="121">
        <v>3</v>
      </c>
      <c r="D4745" s="734">
        <v>121.94748875212655</v>
      </c>
      <c r="E4745" s="733"/>
    </row>
    <row r="4746" spans="2:5">
      <c r="B4746" s="121">
        <v>398</v>
      </c>
      <c r="C4746" s="121">
        <v>4</v>
      </c>
      <c r="D4746" s="734">
        <v>135.193922619304</v>
      </c>
      <c r="E4746" s="733"/>
    </row>
    <row r="4747" spans="2:5">
      <c r="B4747" s="121">
        <v>398</v>
      </c>
      <c r="C4747" s="121">
        <v>5</v>
      </c>
      <c r="D4747" s="734">
        <v>143.92209061821234</v>
      </c>
      <c r="E4747" s="733"/>
    </row>
    <row r="4748" spans="2:5">
      <c r="B4748" s="121">
        <v>398</v>
      </c>
      <c r="C4748" s="121">
        <v>6</v>
      </c>
      <c r="D4748" s="734">
        <v>139.34043335743718</v>
      </c>
      <c r="E4748" s="733"/>
    </row>
    <row r="4749" spans="2:5">
      <c r="B4749" s="121">
        <v>398</v>
      </c>
      <c r="C4749" s="121">
        <v>7</v>
      </c>
      <c r="D4749" s="734">
        <v>140.89121476716534</v>
      </c>
      <c r="E4749" s="733"/>
    </row>
    <row r="4750" spans="2:5">
      <c r="B4750" s="121">
        <v>399</v>
      </c>
      <c r="C4750" s="121">
        <v>1</v>
      </c>
      <c r="D4750" s="734">
        <v>5</v>
      </c>
      <c r="E4750" s="733"/>
    </row>
    <row r="4751" spans="2:5">
      <c r="B4751" s="121">
        <v>399</v>
      </c>
      <c r="C4751" s="121">
        <v>2</v>
      </c>
      <c r="D4751" s="734">
        <v>98.678129612344151</v>
      </c>
      <c r="E4751" s="733"/>
    </row>
    <row r="4752" spans="2:5">
      <c r="B4752" s="121">
        <v>399</v>
      </c>
      <c r="C4752" s="121">
        <v>3</v>
      </c>
      <c r="D4752" s="734">
        <v>122.8858508505422</v>
      </c>
      <c r="E4752" s="733"/>
    </row>
    <row r="4753" spans="2:5">
      <c r="B4753" s="121">
        <v>399</v>
      </c>
      <c r="C4753" s="121">
        <v>4</v>
      </c>
      <c r="D4753" s="734">
        <v>141.9399444082583</v>
      </c>
      <c r="E4753" s="733"/>
    </row>
    <row r="4754" spans="2:5">
      <c r="B4754" s="121">
        <v>399</v>
      </c>
      <c r="C4754" s="121">
        <v>5</v>
      </c>
      <c r="D4754" s="734">
        <v>147.2272843066001</v>
      </c>
      <c r="E4754" s="733"/>
    </row>
    <row r="4755" spans="2:5">
      <c r="B4755" s="121">
        <v>399</v>
      </c>
      <c r="C4755" s="121">
        <v>6</v>
      </c>
      <c r="D4755" s="734">
        <v>137.37890287994097</v>
      </c>
      <c r="E4755" s="733"/>
    </row>
    <row r="4756" spans="2:5">
      <c r="B4756" s="121">
        <v>399</v>
      </c>
      <c r="C4756" s="121">
        <v>7</v>
      </c>
      <c r="D4756" s="734">
        <v>137.71673469093241</v>
      </c>
      <c r="E4756" s="733"/>
    </row>
    <row r="4757" spans="2:5">
      <c r="B4757" s="121">
        <v>399</v>
      </c>
      <c r="C4757" s="121">
        <v>8</v>
      </c>
      <c r="D4757" s="734">
        <v>134.63214658122487</v>
      </c>
      <c r="E4757" s="733"/>
    </row>
    <row r="4758" spans="2:5">
      <c r="B4758" s="121">
        <v>399</v>
      </c>
      <c r="C4758" s="121">
        <v>9</v>
      </c>
      <c r="D4758" s="734">
        <v>145.30983697218682</v>
      </c>
      <c r="E4758" s="733"/>
    </row>
    <row r="4759" spans="2:5">
      <c r="B4759" s="121">
        <v>399</v>
      </c>
      <c r="C4759" s="121">
        <v>10</v>
      </c>
      <c r="D4759" s="734">
        <v>139.60594254982331</v>
      </c>
      <c r="E4759" s="733"/>
    </row>
    <row r="4760" spans="2:5">
      <c r="B4760" s="121">
        <v>399</v>
      </c>
      <c r="C4760" s="121">
        <v>11</v>
      </c>
      <c r="D4760" s="734">
        <v>146.30152733678426</v>
      </c>
      <c r="E4760" s="733"/>
    </row>
    <row r="4761" spans="2:5">
      <c r="B4761" s="121">
        <v>399</v>
      </c>
      <c r="C4761" s="121">
        <v>12</v>
      </c>
      <c r="D4761" s="734">
        <v>138.22900453277785</v>
      </c>
      <c r="E4761" s="733"/>
    </row>
    <row r="4762" spans="2:5">
      <c r="B4762" s="121">
        <v>400</v>
      </c>
      <c r="C4762" s="121">
        <v>1</v>
      </c>
      <c r="D4762" s="734">
        <v>5</v>
      </c>
      <c r="E4762" s="733"/>
    </row>
    <row r="4763" spans="2:5">
      <c r="B4763" s="121">
        <v>400</v>
      </c>
      <c r="C4763" s="121">
        <v>2</v>
      </c>
      <c r="D4763" s="734">
        <v>97.407585106690959</v>
      </c>
      <c r="E4763" s="733"/>
    </row>
    <row r="4764" spans="2:5">
      <c r="B4764" s="121">
        <v>401</v>
      </c>
      <c r="C4764" s="121">
        <v>1</v>
      </c>
      <c r="D4764" s="734">
        <v>5</v>
      </c>
      <c r="E4764" s="733"/>
    </row>
    <row r="4765" spans="2:5">
      <c r="B4765" s="121">
        <v>401</v>
      </c>
      <c r="C4765" s="121">
        <v>2</v>
      </c>
      <c r="D4765" s="734">
        <v>98.057749788768092</v>
      </c>
      <c r="E4765" s="733"/>
    </row>
    <row r="4766" spans="2:5">
      <c r="B4766" s="121">
        <v>401</v>
      </c>
      <c r="C4766" s="121">
        <v>3</v>
      </c>
      <c r="D4766" s="734">
        <v>118.70789526966765</v>
      </c>
      <c r="E4766" s="733"/>
    </row>
    <row r="4767" spans="2:5">
      <c r="B4767" s="121">
        <v>401</v>
      </c>
      <c r="C4767" s="121">
        <v>4</v>
      </c>
      <c r="D4767" s="734">
        <v>146.02419097735637</v>
      </c>
      <c r="E4767" s="733"/>
    </row>
    <row r="4768" spans="2:5">
      <c r="B4768" s="121">
        <v>401</v>
      </c>
      <c r="C4768" s="121">
        <v>5</v>
      </c>
      <c r="D4768" s="734">
        <v>146.5019619570499</v>
      </c>
      <c r="E4768" s="733"/>
    </row>
    <row r="4769" spans="2:5">
      <c r="B4769" s="121">
        <v>401</v>
      </c>
      <c r="C4769" s="121">
        <v>6</v>
      </c>
      <c r="D4769" s="734">
        <v>141.82131801106024</v>
      </c>
      <c r="E4769" s="733"/>
    </row>
    <row r="4770" spans="2:5">
      <c r="B4770" s="121">
        <v>401</v>
      </c>
      <c r="C4770" s="121">
        <v>7</v>
      </c>
      <c r="D4770" s="734">
        <v>138.05850279795825</v>
      </c>
      <c r="E4770" s="733"/>
    </row>
    <row r="4771" spans="2:5">
      <c r="B4771" s="121">
        <v>402</v>
      </c>
      <c r="C4771" s="121">
        <v>1</v>
      </c>
      <c r="D4771" s="734">
        <v>5</v>
      </c>
      <c r="E4771" s="733"/>
    </row>
    <row r="4772" spans="2:5">
      <c r="B4772" s="121">
        <v>402</v>
      </c>
      <c r="C4772" s="121">
        <v>2</v>
      </c>
      <c r="D4772" s="734">
        <v>97.893220128024993</v>
      </c>
      <c r="E4772" s="733"/>
    </row>
    <row r="4773" spans="2:5">
      <c r="B4773" s="121">
        <v>402</v>
      </c>
      <c r="C4773" s="121">
        <v>3</v>
      </c>
      <c r="D4773" s="734">
        <v>119.31821267257708</v>
      </c>
      <c r="E4773" s="733"/>
    </row>
    <row r="4774" spans="2:5">
      <c r="B4774" s="121">
        <v>402</v>
      </c>
      <c r="C4774" s="121">
        <v>4</v>
      </c>
      <c r="D4774" s="734">
        <v>140.19392037606102</v>
      </c>
      <c r="E4774" s="733"/>
    </row>
    <row r="4775" spans="2:5">
      <c r="B4775" s="121">
        <v>402</v>
      </c>
      <c r="C4775" s="121">
        <v>5</v>
      </c>
      <c r="D4775" s="734">
        <v>146.7456869136301</v>
      </c>
      <c r="E4775" s="733"/>
    </row>
    <row r="4776" spans="2:5">
      <c r="B4776" s="121">
        <v>402</v>
      </c>
      <c r="C4776" s="121">
        <v>6</v>
      </c>
      <c r="D4776" s="734">
        <v>143.72053403496605</v>
      </c>
      <c r="E4776" s="733"/>
    </row>
    <row r="4777" spans="2:5">
      <c r="B4777" s="121">
        <v>402</v>
      </c>
      <c r="C4777" s="121">
        <v>7</v>
      </c>
      <c r="D4777" s="734">
        <v>144.56148842234367</v>
      </c>
      <c r="E4777" s="733"/>
    </row>
    <row r="4778" spans="2:5">
      <c r="B4778" s="121">
        <v>402</v>
      </c>
      <c r="C4778" s="121">
        <v>8</v>
      </c>
      <c r="D4778" s="734">
        <v>145.2583006704786</v>
      </c>
      <c r="E4778" s="733"/>
    </row>
    <row r="4779" spans="2:5">
      <c r="B4779" s="121">
        <v>402</v>
      </c>
      <c r="C4779" s="121">
        <v>9</v>
      </c>
      <c r="D4779" s="734">
        <v>136.71331528706884</v>
      </c>
      <c r="E4779" s="733"/>
    </row>
    <row r="4780" spans="2:5">
      <c r="B4780" s="121">
        <v>402</v>
      </c>
      <c r="C4780" s="121">
        <v>10</v>
      </c>
      <c r="D4780" s="734">
        <v>135.82581087993955</v>
      </c>
      <c r="E4780" s="733"/>
    </row>
    <row r="4781" spans="2:5">
      <c r="B4781" s="121">
        <v>402</v>
      </c>
      <c r="C4781" s="121">
        <v>11</v>
      </c>
      <c r="D4781" s="734">
        <v>137.75287457073273</v>
      </c>
      <c r="E4781" s="733"/>
    </row>
    <row r="4782" spans="2:5">
      <c r="B4782" s="121">
        <v>402</v>
      </c>
      <c r="C4782" s="121">
        <v>12</v>
      </c>
      <c r="D4782" s="734">
        <v>137.68996803380057</v>
      </c>
      <c r="E4782" s="733"/>
    </row>
    <row r="4783" spans="2:5">
      <c r="B4783" s="121">
        <v>402</v>
      </c>
      <c r="C4783" s="121">
        <v>13</v>
      </c>
      <c r="D4783" s="734">
        <v>135.32483439054906</v>
      </c>
      <c r="E4783" s="733"/>
    </row>
    <row r="4784" spans="2:5">
      <c r="B4784" s="121">
        <v>402</v>
      </c>
      <c r="C4784" s="121">
        <v>14</v>
      </c>
      <c r="D4784" s="734">
        <v>144.23015981394187</v>
      </c>
      <c r="E4784" s="733"/>
    </row>
    <row r="4785" spans="2:5">
      <c r="B4785" s="121">
        <v>403</v>
      </c>
      <c r="C4785" s="121">
        <v>1</v>
      </c>
      <c r="D4785" s="734">
        <v>5</v>
      </c>
      <c r="E4785" s="733"/>
    </row>
    <row r="4786" spans="2:5">
      <c r="B4786" s="121">
        <v>403</v>
      </c>
      <c r="C4786" s="121">
        <v>2</v>
      </c>
      <c r="D4786" s="734">
        <v>102.76656862423501</v>
      </c>
      <c r="E4786" s="733"/>
    </row>
    <row r="4787" spans="2:5">
      <c r="B4787" s="121">
        <v>403</v>
      </c>
      <c r="C4787" s="121">
        <v>3</v>
      </c>
      <c r="D4787" s="734">
        <v>116.9734637979207</v>
      </c>
      <c r="E4787" s="733"/>
    </row>
    <row r="4788" spans="2:5">
      <c r="B4788" s="121">
        <v>404</v>
      </c>
      <c r="C4788" s="121">
        <v>1</v>
      </c>
      <c r="D4788" s="734">
        <v>5</v>
      </c>
      <c r="E4788" s="733"/>
    </row>
    <row r="4789" spans="2:5">
      <c r="B4789" s="121">
        <v>405</v>
      </c>
      <c r="C4789" s="121">
        <v>1</v>
      </c>
      <c r="D4789" s="734">
        <v>5</v>
      </c>
      <c r="E4789" s="733"/>
    </row>
    <row r="4790" spans="2:5">
      <c r="B4790" s="121">
        <v>405</v>
      </c>
      <c r="C4790" s="121">
        <v>2</v>
      </c>
      <c r="D4790" s="734">
        <v>103.00199215560424</v>
      </c>
      <c r="E4790" s="733"/>
    </row>
    <row r="4791" spans="2:5">
      <c r="B4791" s="121">
        <v>405</v>
      </c>
      <c r="C4791" s="121">
        <v>3</v>
      </c>
      <c r="D4791" s="734">
        <v>119.73823208637174</v>
      </c>
      <c r="E4791" s="733"/>
    </row>
    <row r="4792" spans="2:5">
      <c r="B4792" s="121">
        <v>405</v>
      </c>
      <c r="C4792" s="121">
        <v>4</v>
      </c>
      <c r="D4792" s="734">
        <v>141.75259951382313</v>
      </c>
      <c r="E4792" s="733"/>
    </row>
    <row r="4793" spans="2:5">
      <c r="B4793" s="121">
        <v>405</v>
      </c>
      <c r="C4793" s="121">
        <v>5</v>
      </c>
      <c r="D4793" s="734">
        <v>142.2604105106642</v>
      </c>
      <c r="E4793" s="733"/>
    </row>
    <row r="4794" spans="2:5">
      <c r="B4794" s="121">
        <v>406</v>
      </c>
      <c r="C4794" s="121">
        <v>1</v>
      </c>
      <c r="D4794" s="734">
        <v>5</v>
      </c>
      <c r="E4794" s="733"/>
    </row>
    <row r="4795" spans="2:5">
      <c r="B4795" s="121">
        <v>406</v>
      </c>
      <c r="C4795" s="121">
        <v>2</v>
      </c>
      <c r="D4795" s="734">
        <v>97.714273430240127</v>
      </c>
      <c r="E4795" s="733"/>
    </row>
    <row r="4796" spans="2:5">
      <c r="B4796" s="121">
        <v>406</v>
      </c>
      <c r="C4796" s="121">
        <v>3</v>
      </c>
      <c r="D4796" s="734">
        <v>125.52240111089723</v>
      </c>
      <c r="E4796" s="733"/>
    </row>
    <row r="4797" spans="2:5">
      <c r="B4797" s="121">
        <v>407</v>
      </c>
      <c r="C4797" s="121">
        <v>1</v>
      </c>
      <c r="D4797" s="734">
        <v>5</v>
      </c>
      <c r="E4797" s="733"/>
    </row>
    <row r="4798" spans="2:5">
      <c r="B4798" s="121">
        <v>407</v>
      </c>
      <c r="C4798" s="121">
        <v>2</v>
      </c>
      <c r="D4798" s="734">
        <v>100.79117270149669</v>
      </c>
      <c r="E4798" s="733"/>
    </row>
    <row r="4799" spans="2:5">
      <c r="B4799" s="121">
        <v>407</v>
      </c>
      <c r="C4799" s="121">
        <v>3</v>
      </c>
      <c r="D4799" s="734">
        <v>125.00755899573589</v>
      </c>
      <c r="E4799" s="733"/>
    </row>
    <row r="4800" spans="2:5">
      <c r="B4800" s="121">
        <v>408</v>
      </c>
      <c r="C4800" s="121">
        <v>1</v>
      </c>
      <c r="D4800" s="734">
        <v>5</v>
      </c>
      <c r="E4800" s="733"/>
    </row>
    <row r="4801" spans="2:5">
      <c r="B4801" s="121">
        <v>408</v>
      </c>
      <c r="C4801" s="121">
        <v>2</v>
      </c>
      <c r="D4801" s="734">
        <v>96.005232379937098</v>
      </c>
      <c r="E4801" s="733"/>
    </row>
    <row r="4802" spans="2:5">
      <c r="B4802" s="121">
        <v>408</v>
      </c>
      <c r="C4802" s="121">
        <v>3</v>
      </c>
      <c r="D4802" s="734">
        <v>121.30104474251871</v>
      </c>
      <c r="E4802" s="733"/>
    </row>
    <row r="4803" spans="2:5">
      <c r="B4803" s="121">
        <v>408</v>
      </c>
      <c r="C4803" s="121">
        <v>4</v>
      </c>
      <c r="D4803" s="734">
        <v>146.75196831993583</v>
      </c>
      <c r="E4803" s="733"/>
    </row>
    <row r="4804" spans="2:5">
      <c r="B4804" s="121">
        <v>408</v>
      </c>
      <c r="C4804" s="121">
        <v>5</v>
      </c>
      <c r="D4804" s="734">
        <v>134.45986918011474</v>
      </c>
      <c r="E4804" s="733"/>
    </row>
    <row r="4805" spans="2:5">
      <c r="B4805" s="121">
        <v>408</v>
      </c>
      <c r="C4805" s="121">
        <v>6</v>
      </c>
      <c r="D4805" s="734">
        <v>144.73915216307586</v>
      </c>
      <c r="E4805" s="733"/>
    </row>
    <row r="4806" spans="2:5">
      <c r="B4806" s="121">
        <v>408</v>
      </c>
      <c r="C4806" s="121">
        <v>7</v>
      </c>
      <c r="D4806" s="734">
        <v>145.89494467796743</v>
      </c>
      <c r="E4806" s="733"/>
    </row>
    <row r="4807" spans="2:5">
      <c r="B4807" s="121">
        <v>408</v>
      </c>
      <c r="C4807" s="121">
        <v>8</v>
      </c>
      <c r="D4807" s="734">
        <v>142.00928958181041</v>
      </c>
      <c r="E4807" s="733"/>
    </row>
    <row r="4808" spans="2:5">
      <c r="B4808" s="121">
        <v>408</v>
      </c>
      <c r="C4808" s="121">
        <v>9</v>
      </c>
      <c r="D4808" s="734">
        <v>143.75240097788773</v>
      </c>
      <c r="E4808" s="733"/>
    </row>
    <row r="4809" spans="2:5">
      <c r="B4809" s="121">
        <v>408</v>
      </c>
      <c r="C4809" s="121">
        <v>10</v>
      </c>
      <c r="D4809" s="734">
        <v>134.72765689809137</v>
      </c>
      <c r="E4809" s="733"/>
    </row>
    <row r="4810" spans="2:5">
      <c r="B4810" s="121">
        <v>408</v>
      </c>
      <c r="C4810" s="121">
        <v>11</v>
      </c>
      <c r="D4810" s="734">
        <v>145.38161144311491</v>
      </c>
      <c r="E4810" s="733"/>
    </row>
    <row r="4811" spans="2:5">
      <c r="B4811" s="121">
        <v>409</v>
      </c>
      <c r="C4811" s="121">
        <v>1</v>
      </c>
      <c r="D4811" s="734">
        <v>5</v>
      </c>
      <c r="E4811" s="733"/>
    </row>
    <row r="4812" spans="2:5">
      <c r="B4812" s="121">
        <v>409</v>
      </c>
      <c r="C4812" s="121">
        <v>2</v>
      </c>
      <c r="D4812" s="734">
        <v>99.067528693748002</v>
      </c>
      <c r="E4812" s="733"/>
    </row>
    <row r="4813" spans="2:5">
      <c r="B4813" s="121">
        <v>409</v>
      </c>
      <c r="C4813" s="121">
        <v>3</v>
      </c>
      <c r="D4813" s="734">
        <v>118.59591456825703</v>
      </c>
      <c r="E4813" s="733"/>
    </row>
    <row r="4814" spans="2:5">
      <c r="B4814" s="121">
        <v>409</v>
      </c>
      <c r="C4814" s="121">
        <v>4</v>
      </c>
      <c r="D4814" s="734">
        <v>141.80508735051524</v>
      </c>
      <c r="E4814" s="733"/>
    </row>
    <row r="4815" spans="2:5">
      <c r="B4815" s="121">
        <v>409</v>
      </c>
      <c r="C4815" s="121">
        <v>5</v>
      </c>
      <c r="D4815" s="734">
        <v>144.08358977855548</v>
      </c>
      <c r="E4815" s="733"/>
    </row>
    <row r="4816" spans="2:5">
      <c r="B4816" s="121">
        <v>409</v>
      </c>
      <c r="C4816" s="121">
        <v>6</v>
      </c>
      <c r="D4816" s="734">
        <v>135.24512314430351</v>
      </c>
      <c r="E4816" s="733"/>
    </row>
    <row r="4817" spans="2:5">
      <c r="B4817" s="121">
        <v>409</v>
      </c>
      <c r="C4817" s="121">
        <v>7</v>
      </c>
      <c r="D4817" s="734">
        <v>135.88756936517063</v>
      </c>
      <c r="E4817" s="733"/>
    </row>
    <row r="4818" spans="2:5">
      <c r="B4818" s="121">
        <v>409</v>
      </c>
      <c r="C4818" s="121">
        <v>8</v>
      </c>
      <c r="D4818" s="734">
        <v>135.61908339068071</v>
      </c>
      <c r="E4818" s="733"/>
    </row>
    <row r="4819" spans="2:5">
      <c r="B4819" s="121">
        <v>409</v>
      </c>
      <c r="C4819" s="121">
        <v>9</v>
      </c>
      <c r="D4819" s="734">
        <v>144.69863130960181</v>
      </c>
      <c r="E4819" s="733"/>
    </row>
    <row r="4820" spans="2:5">
      <c r="B4820" s="121">
        <v>409</v>
      </c>
      <c r="C4820" s="121">
        <v>10</v>
      </c>
      <c r="D4820" s="734">
        <v>135.45366365738207</v>
      </c>
      <c r="E4820" s="733"/>
    </row>
    <row r="4821" spans="2:5">
      <c r="B4821" s="121">
        <v>409</v>
      </c>
      <c r="C4821" s="121">
        <v>11</v>
      </c>
      <c r="D4821" s="734">
        <v>134.35667313168841</v>
      </c>
      <c r="E4821" s="733"/>
    </row>
    <row r="4822" spans="2:5">
      <c r="B4822" s="121">
        <v>409</v>
      </c>
      <c r="C4822" s="121">
        <v>12</v>
      </c>
      <c r="D4822" s="734">
        <v>145.95016991871046</v>
      </c>
      <c r="E4822" s="733"/>
    </row>
    <row r="4823" spans="2:5">
      <c r="B4823" s="121">
        <v>409</v>
      </c>
      <c r="C4823" s="121">
        <v>13</v>
      </c>
      <c r="D4823" s="734">
        <v>144.48630021019119</v>
      </c>
      <c r="E4823" s="733"/>
    </row>
    <row r="4824" spans="2:5">
      <c r="B4824" s="121">
        <v>409</v>
      </c>
      <c r="C4824" s="121">
        <v>14</v>
      </c>
      <c r="D4824" s="734">
        <v>136.78238785151726</v>
      </c>
      <c r="E4824" s="733"/>
    </row>
    <row r="4825" spans="2:5">
      <c r="B4825" s="121">
        <v>409</v>
      </c>
      <c r="C4825" s="121">
        <v>15</v>
      </c>
      <c r="D4825" s="734">
        <v>141.91853784847456</v>
      </c>
      <c r="E4825" s="733"/>
    </row>
    <row r="4826" spans="2:5">
      <c r="B4826" s="121">
        <v>409</v>
      </c>
      <c r="C4826" s="121">
        <v>16</v>
      </c>
      <c r="D4826" s="734">
        <v>138.44332174516035</v>
      </c>
      <c r="E4826" s="733"/>
    </row>
    <row r="4827" spans="2:5">
      <c r="B4827" s="121">
        <v>409</v>
      </c>
      <c r="C4827" s="121">
        <v>17</v>
      </c>
      <c r="D4827" s="734">
        <v>141.01729680444993</v>
      </c>
      <c r="E4827" s="733"/>
    </row>
    <row r="4828" spans="2:5">
      <c r="B4828" s="121">
        <v>409</v>
      </c>
      <c r="C4828" s="121">
        <v>18</v>
      </c>
      <c r="D4828" s="734">
        <v>140.06944967798231</v>
      </c>
      <c r="E4828" s="733"/>
    </row>
    <row r="4829" spans="2:5">
      <c r="B4829" s="121">
        <v>409</v>
      </c>
      <c r="C4829" s="121">
        <v>19</v>
      </c>
      <c r="D4829" s="734">
        <v>138.52048364963753</v>
      </c>
      <c r="E4829" s="733"/>
    </row>
    <row r="4830" spans="2:5">
      <c r="B4830" s="121">
        <v>409</v>
      </c>
      <c r="C4830" s="121">
        <v>20</v>
      </c>
      <c r="D4830" s="734">
        <v>142.63306706472247</v>
      </c>
      <c r="E4830" s="733"/>
    </row>
    <row r="4831" spans="2:5">
      <c r="B4831" s="121">
        <v>409</v>
      </c>
      <c r="C4831" s="121">
        <v>21</v>
      </c>
      <c r="D4831" s="734">
        <v>145.86698193754225</v>
      </c>
      <c r="E4831" s="733"/>
    </row>
    <row r="4832" spans="2:5">
      <c r="B4832" s="121">
        <v>409</v>
      </c>
      <c r="C4832" s="121">
        <v>22</v>
      </c>
      <c r="D4832" s="734">
        <v>145.35197703190101</v>
      </c>
      <c r="E4832" s="733"/>
    </row>
    <row r="4833" spans="2:5">
      <c r="B4833" s="121">
        <v>409</v>
      </c>
      <c r="C4833" s="121">
        <v>23</v>
      </c>
      <c r="D4833" s="734">
        <v>147.25074360495276</v>
      </c>
      <c r="E4833" s="733"/>
    </row>
    <row r="4834" spans="2:5">
      <c r="B4834" s="121">
        <v>409</v>
      </c>
      <c r="C4834" s="121">
        <v>24</v>
      </c>
      <c r="D4834" s="734">
        <v>138.0312618157115</v>
      </c>
      <c r="E4834" s="733"/>
    </row>
    <row r="4835" spans="2:5">
      <c r="B4835" s="121">
        <v>409</v>
      </c>
      <c r="C4835" s="121">
        <v>25</v>
      </c>
      <c r="D4835" s="734">
        <v>141.79157981884725</v>
      </c>
      <c r="E4835" s="733"/>
    </row>
    <row r="4836" spans="2:5">
      <c r="B4836" s="121">
        <v>410</v>
      </c>
      <c r="C4836" s="121">
        <v>1</v>
      </c>
      <c r="D4836" s="734">
        <v>5</v>
      </c>
      <c r="E4836" s="733"/>
    </row>
    <row r="4837" spans="2:5">
      <c r="B4837" s="121">
        <v>410</v>
      </c>
      <c r="C4837" s="121">
        <v>2</v>
      </c>
      <c r="D4837" s="734">
        <v>97.599539230924009</v>
      </c>
      <c r="E4837" s="733"/>
    </row>
    <row r="4838" spans="2:5">
      <c r="B4838" s="121">
        <v>410</v>
      </c>
      <c r="C4838" s="121">
        <v>3</v>
      </c>
      <c r="D4838" s="734">
        <v>125.00454345771674</v>
      </c>
      <c r="E4838" s="733"/>
    </row>
    <row r="4839" spans="2:5">
      <c r="B4839" s="121">
        <v>410</v>
      </c>
      <c r="C4839" s="121">
        <v>4</v>
      </c>
      <c r="D4839" s="734">
        <v>139.07784488214131</v>
      </c>
      <c r="E4839" s="733"/>
    </row>
    <row r="4840" spans="2:5">
      <c r="B4840" s="121">
        <v>410</v>
      </c>
      <c r="C4840" s="121">
        <v>5</v>
      </c>
      <c r="D4840" s="734">
        <v>146.30971386359042</v>
      </c>
      <c r="E4840" s="733"/>
    </row>
    <row r="4841" spans="2:5">
      <c r="B4841" s="121">
        <v>410</v>
      </c>
      <c r="C4841" s="121">
        <v>6</v>
      </c>
      <c r="D4841" s="734">
        <v>145.39914211239378</v>
      </c>
      <c r="E4841" s="733"/>
    </row>
    <row r="4842" spans="2:5">
      <c r="B4842" s="121">
        <v>410</v>
      </c>
      <c r="C4842" s="121">
        <v>7</v>
      </c>
      <c r="D4842" s="734">
        <v>140.69014342339167</v>
      </c>
      <c r="E4842" s="733"/>
    </row>
    <row r="4843" spans="2:5">
      <c r="B4843" s="121">
        <v>410</v>
      </c>
      <c r="C4843" s="121">
        <v>8</v>
      </c>
      <c r="D4843" s="734">
        <v>140.79450038097073</v>
      </c>
      <c r="E4843" s="733"/>
    </row>
    <row r="4844" spans="2:5">
      <c r="B4844" s="121">
        <v>410</v>
      </c>
      <c r="C4844" s="121">
        <v>9</v>
      </c>
      <c r="D4844" s="734">
        <v>145.67740465902386</v>
      </c>
      <c r="E4844" s="733"/>
    </row>
    <row r="4845" spans="2:5">
      <c r="B4845" s="121">
        <v>410</v>
      </c>
      <c r="C4845" s="121">
        <v>10</v>
      </c>
      <c r="D4845" s="734">
        <v>143.52379988910161</v>
      </c>
      <c r="E4845" s="733"/>
    </row>
    <row r="4846" spans="2:5">
      <c r="B4846" s="121">
        <v>410</v>
      </c>
      <c r="C4846" s="121">
        <v>11</v>
      </c>
      <c r="D4846" s="734">
        <v>144.28230791680633</v>
      </c>
      <c r="E4846" s="733"/>
    </row>
    <row r="4847" spans="2:5">
      <c r="B4847" s="121">
        <v>410</v>
      </c>
      <c r="C4847" s="121">
        <v>12</v>
      </c>
      <c r="D4847" s="734">
        <v>136.70669064237123</v>
      </c>
      <c r="E4847" s="733"/>
    </row>
    <row r="4848" spans="2:5">
      <c r="B4848" s="121">
        <v>410</v>
      </c>
      <c r="C4848" s="121">
        <v>13</v>
      </c>
      <c r="D4848" s="734">
        <v>145.78882396845242</v>
      </c>
      <c r="E4848" s="733"/>
    </row>
    <row r="4849" spans="2:5">
      <c r="B4849" s="121">
        <v>410</v>
      </c>
      <c r="C4849" s="121">
        <v>14</v>
      </c>
      <c r="D4849" s="734">
        <v>136.89298448185752</v>
      </c>
      <c r="E4849" s="733"/>
    </row>
    <row r="4850" spans="2:5">
      <c r="B4850" s="121">
        <v>410</v>
      </c>
      <c r="C4850" s="121">
        <v>15</v>
      </c>
      <c r="D4850" s="734">
        <v>135.69712012753186</v>
      </c>
      <c r="E4850" s="733"/>
    </row>
    <row r="4851" spans="2:5">
      <c r="B4851" s="121">
        <v>410</v>
      </c>
      <c r="C4851" s="121">
        <v>16</v>
      </c>
      <c r="D4851" s="734">
        <v>142.68947586514949</v>
      </c>
      <c r="E4851" s="733"/>
    </row>
    <row r="4852" spans="2:5">
      <c r="B4852" s="121">
        <v>410</v>
      </c>
      <c r="C4852" s="121">
        <v>17</v>
      </c>
      <c r="D4852" s="734">
        <v>134.74976264515715</v>
      </c>
      <c r="E4852" s="733"/>
    </row>
    <row r="4853" spans="2:5">
      <c r="B4853" s="121">
        <v>410</v>
      </c>
      <c r="C4853" s="121">
        <v>18</v>
      </c>
      <c r="D4853" s="734">
        <v>137.84265787311733</v>
      </c>
      <c r="E4853" s="733"/>
    </row>
    <row r="4854" spans="2:5">
      <c r="B4854" s="121">
        <v>410</v>
      </c>
      <c r="C4854" s="121">
        <v>19</v>
      </c>
      <c r="D4854" s="734">
        <v>138.44626189344839</v>
      </c>
      <c r="E4854" s="733"/>
    </row>
    <row r="4855" spans="2:5">
      <c r="B4855" s="121">
        <v>410</v>
      </c>
      <c r="C4855" s="121">
        <v>20</v>
      </c>
      <c r="D4855" s="734">
        <v>139.41824631280508</v>
      </c>
      <c r="E4855" s="733"/>
    </row>
    <row r="4856" spans="2:5">
      <c r="B4856" s="121">
        <v>410</v>
      </c>
      <c r="C4856" s="121">
        <v>21</v>
      </c>
      <c r="D4856" s="734">
        <v>141.72270328434379</v>
      </c>
      <c r="E4856" s="733"/>
    </row>
    <row r="4857" spans="2:5">
      <c r="B4857" s="121">
        <v>410</v>
      </c>
      <c r="C4857" s="121">
        <v>22</v>
      </c>
      <c r="D4857" s="734">
        <v>142.44997303570887</v>
      </c>
      <c r="E4857" s="733"/>
    </row>
    <row r="4858" spans="2:5">
      <c r="B4858" s="121">
        <v>410</v>
      </c>
      <c r="C4858" s="121">
        <v>23</v>
      </c>
      <c r="D4858" s="734">
        <v>143.74099355440615</v>
      </c>
      <c r="E4858" s="733"/>
    </row>
    <row r="4859" spans="2:5">
      <c r="B4859" s="121">
        <v>410</v>
      </c>
      <c r="C4859" s="121">
        <v>24</v>
      </c>
      <c r="D4859" s="734">
        <v>136.70351745484683</v>
      </c>
      <c r="E4859" s="733"/>
    </row>
    <row r="4860" spans="2:5">
      <c r="B4860" s="121">
        <v>410</v>
      </c>
      <c r="C4860" s="121">
        <v>25</v>
      </c>
      <c r="D4860" s="734">
        <v>141.83192230645099</v>
      </c>
      <c r="E4860" s="733"/>
    </row>
    <row r="4861" spans="2:5">
      <c r="B4861" s="121">
        <v>410</v>
      </c>
      <c r="C4861" s="121">
        <v>26</v>
      </c>
      <c r="D4861" s="734">
        <v>138.37153485518922</v>
      </c>
      <c r="E4861" s="733"/>
    </row>
    <row r="4862" spans="2:5">
      <c r="B4862" s="121">
        <v>410</v>
      </c>
      <c r="C4862" s="121">
        <v>27</v>
      </c>
      <c r="D4862" s="734">
        <v>133.75229326747521</v>
      </c>
      <c r="E4862" s="733"/>
    </row>
    <row r="4863" spans="2:5">
      <c r="B4863" s="121">
        <v>410</v>
      </c>
      <c r="C4863" s="121">
        <v>28</v>
      </c>
      <c r="D4863" s="734">
        <v>142.34387511016487</v>
      </c>
      <c r="E4863" s="733"/>
    </row>
    <row r="4864" spans="2:5">
      <c r="B4864" s="121">
        <v>410</v>
      </c>
      <c r="C4864" s="121">
        <v>29</v>
      </c>
      <c r="D4864" s="734">
        <v>143.58255238485268</v>
      </c>
      <c r="E4864" s="733"/>
    </row>
    <row r="4865" spans="2:5">
      <c r="B4865" s="121">
        <v>410</v>
      </c>
      <c r="C4865" s="121">
        <v>30</v>
      </c>
      <c r="D4865" s="734">
        <v>141.4685598830429</v>
      </c>
      <c r="E4865" s="733"/>
    </row>
    <row r="4866" spans="2:5">
      <c r="B4866" s="121">
        <v>410</v>
      </c>
      <c r="C4866" s="121">
        <v>31</v>
      </c>
      <c r="D4866" s="734">
        <v>138.90839829036278</v>
      </c>
      <c r="E4866" s="733"/>
    </row>
    <row r="4867" spans="2:5">
      <c r="B4867" s="121">
        <v>410</v>
      </c>
      <c r="C4867" s="121">
        <v>32</v>
      </c>
      <c r="D4867" s="734">
        <v>139.0627842571694</v>
      </c>
      <c r="E4867" s="733"/>
    </row>
    <row r="4868" spans="2:5">
      <c r="B4868" s="121">
        <v>410</v>
      </c>
      <c r="C4868" s="121">
        <v>33</v>
      </c>
      <c r="D4868" s="734">
        <v>143.62461540872977</v>
      </c>
      <c r="E4868" s="733"/>
    </row>
    <row r="4869" spans="2:5">
      <c r="B4869" s="121">
        <v>411</v>
      </c>
      <c r="C4869" s="121">
        <v>1</v>
      </c>
      <c r="D4869" s="734">
        <v>5</v>
      </c>
      <c r="E4869" s="733"/>
    </row>
    <row r="4870" spans="2:5">
      <c r="B4870" s="121">
        <v>412</v>
      </c>
      <c r="C4870" s="121">
        <v>1</v>
      </c>
      <c r="D4870" s="734">
        <v>5</v>
      </c>
      <c r="E4870" s="733"/>
    </row>
    <row r="4871" spans="2:5">
      <c r="B4871" s="121">
        <v>412</v>
      </c>
      <c r="C4871" s="121">
        <v>2</v>
      </c>
      <c r="D4871" s="734">
        <v>97.879652404295285</v>
      </c>
      <c r="E4871" s="733"/>
    </row>
    <row r="4872" spans="2:5">
      <c r="B4872" s="121">
        <v>412</v>
      </c>
      <c r="C4872" s="121">
        <v>3</v>
      </c>
      <c r="D4872" s="734">
        <v>120.92161895499709</v>
      </c>
      <c r="E4872" s="733"/>
    </row>
    <row r="4873" spans="2:5">
      <c r="B4873" s="121">
        <v>413</v>
      </c>
      <c r="C4873" s="121">
        <v>1</v>
      </c>
      <c r="D4873" s="734">
        <v>5</v>
      </c>
      <c r="E4873" s="733"/>
    </row>
    <row r="4874" spans="2:5">
      <c r="B4874" s="121">
        <v>413</v>
      </c>
      <c r="C4874" s="121">
        <v>2</v>
      </c>
      <c r="D4874" s="734">
        <v>97.530234660393958</v>
      </c>
      <c r="E4874" s="733"/>
    </row>
    <row r="4875" spans="2:5">
      <c r="B4875" s="121">
        <v>413</v>
      </c>
      <c r="C4875" s="121">
        <v>3</v>
      </c>
      <c r="D4875" s="734">
        <v>124.71668238747601</v>
      </c>
      <c r="E4875" s="733"/>
    </row>
    <row r="4876" spans="2:5">
      <c r="B4876" s="121">
        <v>413</v>
      </c>
      <c r="C4876" s="121">
        <v>4</v>
      </c>
      <c r="D4876" s="734">
        <v>140.34066661049812</v>
      </c>
      <c r="E4876" s="733"/>
    </row>
    <row r="4877" spans="2:5">
      <c r="B4877" s="121">
        <v>413</v>
      </c>
      <c r="C4877" s="121">
        <v>5</v>
      </c>
      <c r="D4877" s="734">
        <v>142.77980011265606</v>
      </c>
      <c r="E4877" s="733"/>
    </row>
    <row r="4878" spans="2:5">
      <c r="B4878" s="121">
        <v>413</v>
      </c>
      <c r="C4878" s="121">
        <v>6</v>
      </c>
      <c r="D4878" s="734">
        <v>142.09371536288117</v>
      </c>
      <c r="E4878" s="733"/>
    </row>
    <row r="4879" spans="2:5">
      <c r="B4879" s="121">
        <v>413</v>
      </c>
      <c r="C4879" s="121">
        <v>7</v>
      </c>
      <c r="D4879" s="734">
        <v>144.40245621279507</v>
      </c>
      <c r="E4879" s="733"/>
    </row>
    <row r="4880" spans="2:5">
      <c r="B4880" s="121">
        <v>413</v>
      </c>
      <c r="C4880" s="121">
        <v>8</v>
      </c>
      <c r="D4880" s="734">
        <v>144.95411021770801</v>
      </c>
      <c r="E4880" s="733"/>
    </row>
    <row r="4881" spans="2:5">
      <c r="B4881" s="121">
        <v>413</v>
      </c>
      <c r="C4881" s="121">
        <v>9</v>
      </c>
      <c r="D4881" s="734">
        <v>142.3997415592799</v>
      </c>
      <c r="E4881" s="733"/>
    </row>
    <row r="4882" spans="2:5">
      <c r="B4882" s="121">
        <v>413</v>
      </c>
      <c r="C4882" s="121">
        <v>10</v>
      </c>
      <c r="D4882" s="734">
        <v>134.36825106403438</v>
      </c>
      <c r="E4882" s="733"/>
    </row>
    <row r="4883" spans="2:5">
      <c r="B4883" s="121">
        <v>413</v>
      </c>
      <c r="C4883" s="121">
        <v>11</v>
      </c>
      <c r="D4883" s="734">
        <v>137.3831942818592</v>
      </c>
      <c r="E4883" s="733"/>
    </row>
    <row r="4884" spans="2:5">
      <c r="B4884" s="121">
        <v>413</v>
      </c>
      <c r="C4884" s="121">
        <v>12</v>
      </c>
      <c r="D4884" s="734">
        <v>134.69114531786565</v>
      </c>
      <c r="E4884" s="733"/>
    </row>
    <row r="4885" spans="2:5">
      <c r="B4885" s="121">
        <v>413</v>
      </c>
      <c r="C4885" s="121">
        <v>13</v>
      </c>
      <c r="D4885" s="734">
        <v>142.39028713343382</v>
      </c>
      <c r="E4885" s="733"/>
    </row>
    <row r="4886" spans="2:5">
      <c r="B4886" s="121">
        <v>413</v>
      </c>
      <c r="C4886" s="121">
        <v>14</v>
      </c>
      <c r="D4886" s="734">
        <v>144.87016067540179</v>
      </c>
      <c r="E4886" s="733"/>
    </row>
    <row r="4887" spans="2:5">
      <c r="B4887" s="121">
        <v>413</v>
      </c>
      <c r="C4887" s="121">
        <v>15</v>
      </c>
      <c r="D4887" s="734">
        <v>138.68880538564861</v>
      </c>
      <c r="E4887" s="733"/>
    </row>
    <row r="4888" spans="2:5">
      <c r="B4888" s="121">
        <v>413</v>
      </c>
      <c r="C4888" s="121">
        <v>16</v>
      </c>
      <c r="D4888" s="734">
        <v>135.31901341426428</v>
      </c>
      <c r="E4888" s="733"/>
    </row>
    <row r="4889" spans="2:5">
      <c r="B4889" s="121">
        <v>413</v>
      </c>
      <c r="C4889" s="121">
        <v>17</v>
      </c>
      <c r="D4889" s="734">
        <v>145.83172092508124</v>
      </c>
      <c r="E4889" s="733"/>
    </row>
    <row r="4890" spans="2:5">
      <c r="B4890" s="121">
        <v>413</v>
      </c>
      <c r="C4890" s="121">
        <v>18</v>
      </c>
      <c r="D4890" s="734">
        <v>138.28866795580626</v>
      </c>
      <c r="E4890" s="733"/>
    </row>
    <row r="4891" spans="2:5">
      <c r="B4891" s="121">
        <v>413</v>
      </c>
      <c r="C4891" s="121">
        <v>19</v>
      </c>
      <c r="D4891" s="734">
        <v>143.50678614612258</v>
      </c>
      <c r="E4891" s="733"/>
    </row>
    <row r="4892" spans="2:5">
      <c r="B4892" s="121">
        <v>413</v>
      </c>
      <c r="C4892" s="121">
        <v>20</v>
      </c>
      <c r="D4892" s="734">
        <v>146.72152696927517</v>
      </c>
      <c r="E4892" s="733"/>
    </row>
    <row r="4893" spans="2:5">
      <c r="B4893" s="121">
        <v>413</v>
      </c>
      <c r="C4893" s="121">
        <v>21</v>
      </c>
      <c r="D4893" s="734">
        <v>144.51035479506592</v>
      </c>
      <c r="E4893" s="733"/>
    </row>
    <row r="4894" spans="2:5">
      <c r="B4894" s="121">
        <v>413</v>
      </c>
      <c r="C4894" s="121">
        <v>22</v>
      </c>
      <c r="D4894" s="734">
        <v>135.25227022080585</v>
      </c>
      <c r="E4894" s="733"/>
    </row>
    <row r="4895" spans="2:5">
      <c r="B4895" s="121">
        <v>413</v>
      </c>
      <c r="C4895" s="121">
        <v>23</v>
      </c>
      <c r="D4895" s="734">
        <v>134.70131166036134</v>
      </c>
      <c r="E4895" s="733"/>
    </row>
    <row r="4896" spans="2:5">
      <c r="B4896" s="121">
        <v>413</v>
      </c>
      <c r="C4896" s="121">
        <v>24</v>
      </c>
      <c r="D4896" s="734">
        <v>146.8194415768277</v>
      </c>
      <c r="E4896" s="733"/>
    </row>
    <row r="4897" spans="2:5">
      <c r="B4897" s="121">
        <v>413</v>
      </c>
      <c r="C4897" s="121">
        <v>25</v>
      </c>
      <c r="D4897" s="734">
        <v>147.07854909933036</v>
      </c>
      <c r="E4897" s="733"/>
    </row>
    <row r="4898" spans="2:5">
      <c r="B4898" s="121">
        <v>413</v>
      </c>
      <c r="C4898" s="121">
        <v>26</v>
      </c>
      <c r="D4898" s="734">
        <v>138.60360585688665</v>
      </c>
      <c r="E4898" s="733"/>
    </row>
    <row r="4899" spans="2:5">
      <c r="B4899" s="121">
        <v>413</v>
      </c>
      <c r="C4899" s="121">
        <v>27</v>
      </c>
      <c r="D4899" s="734">
        <v>137.32171183317487</v>
      </c>
      <c r="E4899" s="733"/>
    </row>
    <row r="4900" spans="2:5">
      <c r="B4900" s="121">
        <v>413</v>
      </c>
      <c r="C4900" s="121">
        <v>28</v>
      </c>
      <c r="D4900" s="734">
        <v>139.97172197706047</v>
      </c>
      <c r="E4900" s="733"/>
    </row>
    <row r="4901" spans="2:5">
      <c r="B4901" s="121">
        <v>413</v>
      </c>
      <c r="C4901" s="121">
        <v>29</v>
      </c>
      <c r="D4901" s="734">
        <v>137.85458102546608</v>
      </c>
      <c r="E4901" s="733"/>
    </row>
    <row r="4902" spans="2:5">
      <c r="B4902" s="121">
        <v>413</v>
      </c>
      <c r="C4902" s="121">
        <v>30</v>
      </c>
      <c r="D4902" s="734">
        <v>135.56075767408103</v>
      </c>
      <c r="E4902" s="733"/>
    </row>
    <row r="4903" spans="2:5">
      <c r="B4903" s="121">
        <v>413</v>
      </c>
      <c r="C4903" s="121">
        <v>31</v>
      </c>
      <c r="D4903" s="734">
        <v>144.73440649256563</v>
      </c>
      <c r="E4903" s="733"/>
    </row>
    <row r="4904" spans="2:5">
      <c r="B4904" s="121">
        <v>413</v>
      </c>
      <c r="C4904" s="121">
        <v>32</v>
      </c>
      <c r="D4904" s="734">
        <v>146.7532537094595</v>
      </c>
      <c r="E4904" s="733"/>
    </row>
    <row r="4905" spans="2:5">
      <c r="B4905" s="121">
        <v>413</v>
      </c>
      <c r="C4905" s="121">
        <v>33</v>
      </c>
      <c r="D4905" s="734">
        <v>142.57637715036645</v>
      </c>
      <c r="E4905" s="733"/>
    </row>
    <row r="4906" spans="2:5">
      <c r="B4906" s="121">
        <v>413</v>
      </c>
      <c r="C4906" s="121">
        <v>34</v>
      </c>
      <c r="D4906" s="734">
        <v>144.2764421285903</v>
      </c>
      <c r="E4906" s="733"/>
    </row>
    <row r="4907" spans="2:5">
      <c r="B4907" s="121">
        <v>413</v>
      </c>
      <c r="C4907" s="121">
        <v>35</v>
      </c>
      <c r="D4907" s="734">
        <v>146.73005433087977</v>
      </c>
      <c r="E4907" s="733"/>
    </row>
    <row r="4908" spans="2:5">
      <c r="B4908" s="121">
        <v>413</v>
      </c>
      <c r="C4908" s="121">
        <v>36</v>
      </c>
      <c r="D4908" s="734">
        <v>146.9372847353491</v>
      </c>
      <c r="E4908" s="733"/>
    </row>
    <row r="4909" spans="2:5">
      <c r="B4909" s="121">
        <v>414</v>
      </c>
      <c r="C4909" s="121">
        <v>1</v>
      </c>
      <c r="D4909" s="734">
        <v>5</v>
      </c>
      <c r="E4909" s="733"/>
    </row>
    <row r="4910" spans="2:5">
      <c r="B4910" s="121">
        <v>414</v>
      </c>
      <c r="C4910" s="121">
        <v>2</v>
      </c>
      <c r="D4910" s="734">
        <v>95.25569000576553</v>
      </c>
      <c r="E4910" s="733"/>
    </row>
    <row r="4911" spans="2:5">
      <c r="B4911" s="121">
        <v>414</v>
      </c>
      <c r="C4911" s="121">
        <v>3</v>
      </c>
      <c r="D4911" s="734">
        <v>114.01806037108946</v>
      </c>
      <c r="E4911" s="733"/>
    </row>
    <row r="4912" spans="2:5">
      <c r="B4912" s="121">
        <v>414</v>
      </c>
      <c r="C4912" s="121">
        <v>4</v>
      </c>
      <c r="D4912" s="734">
        <v>142.53485546505763</v>
      </c>
      <c r="E4912" s="733"/>
    </row>
    <row r="4913" spans="2:5">
      <c r="B4913" s="121">
        <v>414</v>
      </c>
      <c r="C4913" s="121">
        <v>5</v>
      </c>
      <c r="D4913" s="734">
        <v>136.50791669421372</v>
      </c>
      <c r="E4913" s="733"/>
    </row>
    <row r="4914" spans="2:5">
      <c r="B4914" s="121">
        <v>414</v>
      </c>
      <c r="C4914" s="121">
        <v>6</v>
      </c>
      <c r="D4914" s="734">
        <v>134.88819301839911</v>
      </c>
      <c r="E4914" s="733"/>
    </row>
    <row r="4915" spans="2:5">
      <c r="B4915" s="121">
        <v>414</v>
      </c>
      <c r="C4915" s="121">
        <v>7</v>
      </c>
      <c r="D4915" s="734">
        <v>135.5858022121964</v>
      </c>
      <c r="E4915" s="733"/>
    </row>
    <row r="4916" spans="2:5">
      <c r="B4916" s="121">
        <v>414</v>
      </c>
      <c r="C4916" s="121">
        <v>8</v>
      </c>
      <c r="D4916" s="734">
        <v>140.3865596687661</v>
      </c>
      <c r="E4916" s="733"/>
    </row>
    <row r="4917" spans="2:5">
      <c r="B4917" s="121">
        <v>414</v>
      </c>
      <c r="C4917" s="121">
        <v>9</v>
      </c>
      <c r="D4917" s="734">
        <v>135.54770100483304</v>
      </c>
      <c r="E4917" s="733"/>
    </row>
    <row r="4918" spans="2:5">
      <c r="B4918" s="121">
        <v>414</v>
      </c>
      <c r="C4918" s="121">
        <v>10</v>
      </c>
      <c r="D4918" s="734">
        <v>136.72189755230858</v>
      </c>
      <c r="E4918" s="733"/>
    </row>
    <row r="4919" spans="2:5">
      <c r="B4919" s="121">
        <v>414</v>
      </c>
      <c r="C4919" s="121">
        <v>11</v>
      </c>
      <c r="D4919" s="734">
        <v>141.75264096050134</v>
      </c>
      <c r="E4919" s="733"/>
    </row>
    <row r="4920" spans="2:5">
      <c r="B4920" s="121">
        <v>414</v>
      </c>
      <c r="C4920" s="121">
        <v>12</v>
      </c>
      <c r="D4920" s="734">
        <v>145.37395748450328</v>
      </c>
      <c r="E4920" s="733"/>
    </row>
    <row r="4921" spans="2:5">
      <c r="B4921" s="121">
        <v>414</v>
      </c>
      <c r="C4921" s="121">
        <v>13</v>
      </c>
      <c r="D4921" s="734">
        <v>135.84220120147216</v>
      </c>
      <c r="E4921" s="733"/>
    </row>
    <row r="4922" spans="2:5">
      <c r="B4922" s="121">
        <v>414</v>
      </c>
      <c r="C4922" s="121">
        <v>14</v>
      </c>
      <c r="D4922" s="734">
        <v>146.40695414050893</v>
      </c>
      <c r="E4922" s="733"/>
    </row>
    <row r="4923" spans="2:5">
      <c r="B4923" s="121">
        <v>414</v>
      </c>
      <c r="C4923" s="121">
        <v>15</v>
      </c>
      <c r="D4923" s="734">
        <v>138.43187018088747</v>
      </c>
      <c r="E4923" s="733"/>
    </row>
    <row r="4924" spans="2:5">
      <c r="B4924" s="121">
        <v>414</v>
      </c>
      <c r="C4924" s="121">
        <v>16</v>
      </c>
      <c r="D4924" s="734">
        <v>137.66143005214786</v>
      </c>
      <c r="E4924" s="733"/>
    </row>
    <row r="4925" spans="2:5">
      <c r="B4925" s="121">
        <v>414</v>
      </c>
      <c r="C4925" s="121">
        <v>17</v>
      </c>
      <c r="D4925" s="734">
        <v>145.07685994495733</v>
      </c>
      <c r="E4925" s="733"/>
    </row>
    <row r="4926" spans="2:5">
      <c r="B4926" s="121">
        <v>414</v>
      </c>
      <c r="C4926" s="121">
        <v>18</v>
      </c>
      <c r="D4926" s="734">
        <v>137.75072281668164</v>
      </c>
      <c r="E4926" s="733"/>
    </row>
    <row r="4927" spans="2:5">
      <c r="B4927" s="121">
        <v>414</v>
      </c>
      <c r="C4927" s="121">
        <v>19</v>
      </c>
      <c r="D4927" s="734">
        <v>144.62729187645328</v>
      </c>
      <c r="E4927" s="733"/>
    </row>
    <row r="4928" spans="2:5">
      <c r="B4928" s="121">
        <v>414</v>
      </c>
      <c r="C4928" s="121">
        <v>20</v>
      </c>
      <c r="D4928" s="734">
        <v>138.52791422111378</v>
      </c>
      <c r="E4928" s="733"/>
    </row>
    <row r="4929" spans="2:5">
      <c r="B4929" s="121">
        <v>414</v>
      </c>
      <c r="C4929" s="121">
        <v>21</v>
      </c>
      <c r="D4929" s="734">
        <v>134.76308474415706</v>
      </c>
      <c r="E4929" s="733"/>
    </row>
    <row r="4930" spans="2:5">
      <c r="B4930" s="121">
        <v>414</v>
      </c>
      <c r="C4930" s="121">
        <v>22</v>
      </c>
      <c r="D4930" s="734">
        <v>138.73166946998461</v>
      </c>
      <c r="E4930" s="733"/>
    </row>
    <row r="4931" spans="2:5">
      <c r="B4931" s="121">
        <v>414</v>
      </c>
      <c r="C4931" s="121">
        <v>23</v>
      </c>
      <c r="D4931" s="734">
        <v>140.63906155653805</v>
      </c>
      <c r="E4931" s="733"/>
    </row>
    <row r="4932" spans="2:5">
      <c r="B4932" s="121">
        <v>414</v>
      </c>
      <c r="C4932" s="121">
        <v>24</v>
      </c>
      <c r="D4932" s="734">
        <v>138.68279362906671</v>
      </c>
      <c r="E4932" s="733"/>
    </row>
    <row r="4933" spans="2:5">
      <c r="B4933" s="121">
        <v>414</v>
      </c>
      <c r="C4933" s="121">
        <v>25</v>
      </c>
      <c r="D4933" s="734">
        <v>136.19334401906281</v>
      </c>
      <c r="E4933" s="733"/>
    </row>
    <row r="4934" spans="2:5">
      <c r="B4934" s="121">
        <v>414</v>
      </c>
      <c r="C4934" s="121">
        <v>26</v>
      </c>
      <c r="D4934" s="734">
        <v>139.33691026271211</v>
      </c>
      <c r="E4934" s="733"/>
    </row>
    <row r="4935" spans="2:5">
      <c r="B4935" s="121">
        <v>415</v>
      </c>
      <c r="C4935" s="121">
        <v>1</v>
      </c>
      <c r="D4935" s="734">
        <v>5</v>
      </c>
      <c r="E4935" s="733"/>
    </row>
    <row r="4936" spans="2:5">
      <c r="B4936" s="121">
        <v>415</v>
      </c>
      <c r="C4936" s="121">
        <v>2</v>
      </c>
      <c r="D4936" s="734">
        <v>99.291630885852385</v>
      </c>
      <c r="E4936" s="733"/>
    </row>
    <row r="4937" spans="2:5">
      <c r="B4937" s="121">
        <v>415</v>
      </c>
      <c r="C4937" s="121">
        <v>3</v>
      </c>
      <c r="D4937" s="734">
        <v>118.4912584277338</v>
      </c>
      <c r="E4937" s="733"/>
    </row>
    <row r="4938" spans="2:5">
      <c r="B4938" s="121">
        <v>415</v>
      </c>
      <c r="C4938" s="121">
        <v>4</v>
      </c>
      <c r="D4938" s="734">
        <v>137.69301253380615</v>
      </c>
      <c r="E4938" s="733"/>
    </row>
    <row r="4939" spans="2:5">
      <c r="B4939" s="121">
        <v>415</v>
      </c>
      <c r="C4939" s="121">
        <v>5</v>
      </c>
      <c r="D4939" s="734">
        <v>140.72150041921202</v>
      </c>
      <c r="E4939" s="733"/>
    </row>
    <row r="4940" spans="2:5">
      <c r="B4940" s="121">
        <v>415</v>
      </c>
      <c r="C4940" s="121">
        <v>6</v>
      </c>
      <c r="D4940" s="734">
        <v>145.21533318586813</v>
      </c>
      <c r="E4940" s="733"/>
    </row>
    <row r="4941" spans="2:5">
      <c r="B4941" s="121">
        <v>415</v>
      </c>
      <c r="C4941" s="121">
        <v>7</v>
      </c>
      <c r="D4941" s="734">
        <v>141.79344917455873</v>
      </c>
      <c r="E4941" s="733"/>
    </row>
    <row r="4942" spans="2:5">
      <c r="B4942" s="121">
        <v>415</v>
      </c>
      <c r="C4942" s="121">
        <v>8</v>
      </c>
      <c r="D4942" s="734">
        <v>139.39336255143942</v>
      </c>
      <c r="E4942" s="733"/>
    </row>
    <row r="4943" spans="2:5">
      <c r="B4943" s="121">
        <v>415</v>
      </c>
      <c r="C4943" s="121">
        <v>9</v>
      </c>
      <c r="D4943" s="734">
        <v>146.74444304371343</v>
      </c>
      <c r="E4943" s="733"/>
    </row>
    <row r="4944" spans="2:5">
      <c r="B4944" s="121">
        <v>415</v>
      </c>
      <c r="C4944" s="121">
        <v>10</v>
      </c>
      <c r="D4944" s="734">
        <v>145.47854089297485</v>
      </c>
      <c r="E4944" s="733"/>
    </row>
    <row r="4945" spans="2:5">
      <c r="B4945" s="121">
        <v>415</v>
      </c>
      <c r="C4945" s="121">
        <v>11</v>
      </c>
      <c r="D4945" s="734">
        <v>142.66686176089078</v>
      </c>
      <c r="E4945" s="733"/>
    </row>
    <row r="4946" spans="2:5">
      <c r="B4946" s="121">
        <v>415</v>
      </c>
      <c r="C4946" s="121">
        <v>12</v>
      </c>
      <c r="D4946" s="734">
        <v>136.80125147810764</v>
      </c>
      <c r="E4946" s="733"/>
    </row>
    <row r="4947" spans="2:5">
      <c r="B4947" s="121">
        <v>415</v>
      </c>
      <c r="C4947" s="121">
        <v>13</v>
      </c>
      <c r="D4947" s="734">
        <v>142.57167582301778</v>
      </c>
      <c r="E4947" s="733"/>
    </row>
    <row r="4948" spans="2:5">
      <c r="B4948" s="121">
        <v>416</v>
      </c>
      <c r="C4948" s="121">
        <v>1</v>
      </c>
      <c r="D4948" s="734">
        <v>5</v>
      </c>
      <c r="E4948" s="733"/>
    </row>
    <row r="4949" spans="2:5">
      <c r="B4949" s="121">
        <v>417</v>
      </c>
      <c r="C4949" s="121">
        <v>1</v>
      </c>
      <c r="D4949" s="734">
        <v>5</v>
      </c>
      <c r="E4949" s="733"/>
    </row>
    <row r="4950" spans="2:5">
      <c r="B4950" s="121">
        <v>417</v>
      </c>
      <c r="C4950" s="121">
        <v>2</v>
      </c>
      <c r="D4950" s="734">
        <v>102.03313793926523</v>
      </c>
      <c r="E4950" s="733"/>
    </row>
    <row r="4951" spans="2:5">
      <c r="B4951" s="121">
        <v>417</v>
      </c>
      <c r="C4951" s="121">
        <v>3</v>
      </c>
      <c r="D4951" s="734">
        <v>122.63675193619345</v>
      </c>
      <c r="E4951" s="733"/>
    </row>
    <row r="4952" spans="2:5">
      <c r="B4952" s="121">
        <v>417</v>
      </c>
      <c r="C4952" s="121">
        <v>4</v>
      </c>
      <c r="D4952" s="734">
        <v>145.48278420146471</v>
      </c>
      <c r="E4952" s="733"/>
    </row>
    <row r="4953" spans="2:5">
      <c r="B4953" s="121">
        <v>418</v>
      </c>
      <c r="C4953" s="121">
        <v>1</v>
      </c>
      <c r="D4953" s="734">
        <v>5</v>
      </c>
      <c r="E4953" s="733"/>
    </row>
    <row r="4954" spans="2:5">
      <c r="B4954" s="121">
        <v>418</v>
      </c>
      <c r="C4954" s="121">
        <v>2</v>
      </c>
      <c r="D4954" s="734">
        <v>96.084669423556051</v>
      </c>
      <c r="E4954" s="733"/>
    </row>
    <row r="4955" spans="2:5">
      <c r="B4955" s="121">
        <v>419</v>
      </c>
      <c r="C4955" s="121">
        <v>1</v>
      </c>
      <c r="D4955" s="734">
        <v>5</v>
      </c>
      <c r="E4955" s="733"/>
    </row>
    <row r="4956" spans="2:5">
      <c r="B4956" s="121">
        <v>419</v>
      </c>
      <c r="C4956" s="121">
        <v>2</v>
      </c>
      <c r="D4956" s="734">
        <v>99.820427568148887</v>
      </c>
      <c r="E4956" s="733"/>
    </row>
    <row r="4957" spans="2:5">
      <c r="B4957" s="121">
        <v>419</v>
      </c>
      <c r="C4957" s="121">
        <v>3</v>
      </c>
      <c r="D4957" s="734">
        <v>119.93627103738025</v>
      </c>
      <c r="E4957" s="733"/>
    </row>
    <row r="4958" spans="2:5">
      <c r="B4958" s="121">
        <v>419</v>
      </c>
      <c r="C4958" s="121">
        <v>4</v>
      </c>
      <c r="D4958" s="734">
        <v>134.34902639791</v>
      </c>
      <c r="E4958" s="733"/>
    </row>
    <row r="4959" spans="2:5">
      <c r="B4959" s="121">
        <v>419</v>
      </c>
      <c r="C4959" s="121">
        <v>5</v>
      </c>
      <c r="D4959" s="734">
        <v>144.91600336005104</v>
      </c>
      <c r="E4959" s="733"/>
    </row>
    <row r="4960" spans="2:5">
      <c r="B4960" s="121">
        <v>419</v>
      </c>
      <c r="C4960" s="121">
        <v>6</v>
      </c>
      <c r="D4960" s="734">
        <v>142.59633289654263</v>
      </c>
      <c r="E4960" s="733"/>
    </row>
    <row r="4961" spans="2:5">
      <c r="B4961" s="121">
        <v>419</v>
      </c>
      <c r="C4961" s="121">
        <v>7</v>
      </c>
      <c r="D4961" s="734">
        <v>138.72648682373077</v>
      </c>
      <c r="E4961" s="733"/>
    </row>
    <row r="4962" spans="2:5">
      <c r="B4962" s="121">
        <v>419</v>
      </c>
      <c r="C4962" s="121">
        <v>8</v>
      </c>
      <c r="D4962" s="734">
        <v>133.95886912066362</v>
      </c>
      <c r="E4962" s="733"/>
    </row>
    <row r="4963" spans="2:5">
      <c r="B4963" s="121">
        <v>419</v>
      </c>
      <c r="C4963" s="121">
        <v>9</v>
      </c>
      <c r="D4963" s="734">
        <v>141.36980310414819</v>
      </c>
      <c r="E4963" s="733"/>
    </row>
    <row r="4964" spans="2:5">
      <c r="B4964" s="121">
        <v>419</v>
      </c>
      <c r="C4964" s="121">
        <v>10</v>
      </c>
      <c r="D4964" s="734">
        <v>143.4801787672634</v>
      </c>
      <c r="E4964" s="733"/>
    </row>
    <row r="4965" spans="2:5">
      <c r="B4965" s="121">
        <v>419</v>
      </c>
      <c r="C4965" s="121">
        <v>11</v>
      </c>
      <c r="D4965" s="734">
        <v>136.98351540838695</v>
      </c>
      <c r="E4965" s="733"/>
    </row>
    <row r="4966" spans="2:5">
      <c r="B4966" s="121">
        <v>419</v>
      </c>
      <c r="C4966" s="121">
        <v>12</v>
      </c>
      <c r="D4966" s="734">
        <v>134.77058827775454</v>
      </c>
      <c r="E4966" s="733"/>
    </row>
    <row r="4967" spans="2:5">
      <c r="B4967" s="121">
        <v>419</v>
      </c>
      <c r="C4967" s="121">
        <v>13</v>
      </c>
      <c r="D4967" s="734">
        <v>146.6487115820668</v>
      </c>
      <c r="E4967" s="733"/>
    </row>
    <row r="4968" spans="2:5">
      <c r="B4968" s="121">
        <v>419</v>
      </c>
      <c r="C4968" s="121">
        <v>14</v>
      </c>
      <c r="D4968" s="734">
        <v>140.33098434599768</v>
      </c>
      <c r="E4968" s="733"/>
    </row>
    <row r="4969" spans="2:5">
      <c r="B4969" s="121">
        <v>419</v>
      </c>
      <c r="C4969" s="121">
        <v>15</v>
      </c>
      <c r="D4969" s="734">
        <v>139.04766431223155</v>
      </c>
      <c r="E4969" s="733"/>
    </row>
    <row r="4970" spans="2:5">
      <c r="B4970" s="121">
        <v>419</v>
      </c>
      <c r="C4970" s="121">
        <v>16</v>
      </c>
      <c r="D4970" s="734">
        <v>135.00268716343786</v>
      </c>
      <c r="E4970" s="733"/>
    </row>
    <row r="4971" spans="2:5">
      <c r="B4971" s="121">
        <v>419</v>
      </c>
      <c r="C4971" s="121">
        <v>17</v>
      </c>
      <c r="D4971" s="734">
        <v>141.74159036338244</v>
      </c>
      <c r="E4971" s="733"/>
    </row>
    <row r="4972" spans="2:5">
      <c r="B4972" s="121">
        <v>419</v>
      </c>
      <c r="C4972" s="121">
        <v>18</v>
      </c>
      <c r="D4972" s="734">
        <v>134.00546869640743</v>
      </c>
      <c r="E4972" s="733"/>
    </row>
    <row r="4973" spans="2:5">
      <c r="B4973" s="121">
        <v>419</v>
      </c>
      <c r="C4973" s="121">
        <v>19</v>
      </c>
      <c r="D4973" s="734">
        <v>138.91755192309711</v>
      </c>
      <c r="E4973" s="733"/>
    </row>
    <row r="4974" spans="2:5">
      <c r="B4974" s="121">
        <v>419</v>
      </c>
      <c r="C4974" s="121">
        <v>20</v>
      </c>
      <c r="D4974" s="734">
        <v>134.5503110254399</v>
      </c>
      <c r="E4974" s="733"/>
    </row>
    <row r="4975" spans="2:5">
      <c r="B4975" s="121">
        <v>419</v>
      </c>
      <c r="C4975" s="121">
        <v>21</v>
      </c>
      <c r="D4975" s="734">
        <v>145.7106859445565</v>
      </c>
      <c r="E4975" s="733"/>
    </row>
    <row r="4976" spans="2:5">
      <c r="B4976" s="121">
        <v>419</v>
      </c>
      <c r="C4976" s="121">
        <v>22</v>
      </c>
      <c r="D4976" s="734">
        <v>144.79542709818298</v>
      </c>
      <c r="E4976" s="733"/>
    </row>
    <row r="4977" spans="2:5">
      <c r="B4977" s="121">
        <v>419</v>
      </c>
      <c r="C4977" s="121">
        <v>23</v>
      </c>
      <c r="D4977" s="734">
        <v>134.8342985350493</v>
      </c>
      <c r="E4977" s="733"/>
    </row>
    <row r="4978" spans="2:5">
      <c r="B4978" s="121">
        <v>419</v>
      </c>
      <c r="C4978" s="121">
        <v>24</v>
      </c>
      <c r="D4978" s="734">
        <v>142.81621970641334</v>
      </c>
      <c r="E4978" s="733"/>
    </row>
    <row r="4979" spans="2:5">
      <c r="B4979" s="121">
        <v>419</v>
      </c>
      <c r="C4979" s="121">
        <v>25</v>
      </c>
      <c r="D4979" s="734">
        <v>140.03193632001361</v>
      </c>
      <c r="E4979" s="733"/>
    </row>
    <row r="4980" spans="2:5">
      <c r="B4980" s="121">
        <v>419</v>
      </c>
      <c r="C4980" s="121">
        <v>26</v>
      </c>
      <c r="D4980" s="734">
        <v>135.17375784362366</v>
      </c>
      <c r="E4980" s="733"/>
    </row>
    <row r="4981" spans="2:5">
      <c r="B4981" s="121">
        <v>419</v>
      </c>
      <c r="C4981" s="121">
        <v>27</v>
      </c>
      <c r="D4981" s="734">
        <v>134.30673715325753</v>
      </c>
      <c r="E4981" s="733"/>
    </row>
    <row r="4982" spans="2:5">
      <c r="B4982" s="121">
        <v>419</v>
      </c>
      <c r="C4982" s="121">
        <v>28</v>
      </c>
      <c r="D4982" s="734">
        <v>138.07344736782915</v>
      </c>
      <c r="E4982" s="733"/>
    </row>
    <row r="4983" spans="2:5">
      <c r="B4983" s="121">
        <v>419</v>
      </c>
      <c r="C4983" s="121">
        <v>29</v>
      </c>
      <c r="D4983" s="734">
        <v>136.64679234248945</v>
      </c>
      <c r="E4983" s="733"/>
    </row>
    <row r="4984" spans="2:5">
      <c r="B4984" s="121">
        <v>419</v>
      </c>
      <c r="C4984" s="121">
        <v>30</v>
      </c>
      <c r="D4984" s="734">
        <v>139.69766867097908</v>
      </c>
      <c r="E4984" s="733"/>
    </row>
    <row r="4985" spans="2:5">
      <c r="B4985" s="121">
        <v>419</v>
      </c>
      <c r="C4985" s="121">
        <v>31</v>
      </c>
      <c r="D4985" s="734">
        <v>138.4857795192583</v>
      </c>
      <c r="E4985" s="733"/>
    </row>
    <row r="4986" spans="2:5">
      <c r="B4986" s="121">
        <v>419</v>
      </c>
      <c r="C4986" s="121">
        <v>32</v>
      </c>
      <c r="D4986" s="734">
        <v>143.2571716291811</v>
      </c>
      <c r="E4986" s="733"/>
    </row>
    <row r="4987" spans="2:5">
      <c r="B4987" s="121">
        <v>419</v>
      </c>
      <c r="C4987" s="121">
        <v>33</v>
      </c>
      <c r="D4987" s="734">
        <v>142.25902566181722</v>
      </c>
      <c r="E4987" s="733"/>
    </row>
    <row r="4988" spans="2:5">
      <c r="B4988" s="121">
        <v>419</v>
      </c>
      <c r="C4988" s="121">
        <v>34</v>
      </c>
      <c r="D4988" s="734">
        <v>147.09994329820742</v>
      </c>
      <c r="E4988" s="733"/>
    </row>
    <row r="4989" spans="2:5">
      <c r="B4989" s="121">
        <v>419</v>
      </c>
      <c r="C4989" s="121">
        <v>35</v>
      </c>
      <c r="D4989" s="734">
        <v>136.83163277561852</v>
      </c>
      <c r="E4989" s="733"/>
    </row>
    <row r="4990" spans="2:5">
      <c r="B4990" s="121">
        <v>419</v>
      </c>
      <c r="C4990" s="121">
        <v>36</v>
      </c>
      <c r="D4990" s="734">
        <v>146.06807069410578</v>
      </c>
      <c r="E4990" s="733"/>
    </row>
    <row r="4991" spans="2:5">
      <c r="B4991" s="121">
        <v>420</v>
      </c>
      <c r="C4991" s="121">
        <v>1</v>
      </c>
      <c r="D4991" s="734">
        <v>5</v>
      </c>
      <c r="E4991" s="733"/>
    </row>
    <row r="4992" spans="2:5">
      <c r="B4992" s="121">
        <v>420</v>
      </c>
      <c r="C4992" s="121">
        <v>2</v>
      </c>
      <c r="D4992" s="734">
        <v>97.058919328133399</v>
      </c>
      <c r="E4992" s="733"/>
    </row>
    <row r="4993" spans="2:5">
      <c r="B4993" s="121">
        <v>420</v>
      </c>
      <c r="C4993" s="121">
        <v>3</v>
      </c>
      <c r="D4993" s="734">
        <v>124.03932434074736</v>
      </c>
      <c r="E4993" s="733"/>
    </row>
    <row r="4994" spans="2:5">
      <c r="B4994" s="121">
        <v>420</v>
      </c>
      <c r="C4994" s="121">
        <v>4</v>
      </c>
      <c r="D4994" s="734">
        <v>136.0330131779159</v>
      </c>
      <c r="E4994" s="733"/>
    </row>
    <row r="4995" spans="2:5">
      <c r="B4995" s="121">
        <v>420</v>
      </c>
      <c r="C4995" s="121">
        <v>5</v>
      </c>
      <c r="D4995" s="734">
        <v>141.61038836515596</v>
      </c>
      <c r="E4995" s="733"/>
    </row>
    <row r="4996" spans="2:5">
      <c r="B4996" s="121">
        <v>420</v>
      </c>
      <c r="C4996" s="121">
        <v>6</v>
      </c>
      <c r="D4996" s="734">
        <v>135.93117670109885</v>
      </c>
      <c r="E4996" s="733"/>
    </row>
    <row r="4997" spans="2:5">
      <c r="B4997" s="121">
        <v>421</v>
      </c>
      <c r="C4997" s="121">
        <v>1</v>
      </c>
      <c r="D4997" s="734">
        <v>5</v>
      </c>
      <c r="E4997" s="733"/>
    </row>
    <row r="4998" spans="2:5">
      <c r="B4998" s="121">
        <v>422</v>
      </c>
      <c r="C4998" s="121">
        <v>1</v>
      </c>
      <c r="D4998" s="734">
        <v>5</v>
      </c>
      <c r="E4998" s="733"/>
    </row>
    <row r="4999" spans="2:5">
      <c r="B4999" s="121">
        <v>422</v>
      </c>
      <c r="C4999" s="121">
        <v>2</v>
      </c>
      <c r="D4999" s="734">
        <v>94.810918862871546</v>
      </c>
      <c r="E4999" s="733"/>
    </row>
    <row r="5000" spans="2:5">
      <c r="B5000" s="121">
        <v>422</v>
      </c>
      <c r="C5000" s="121">
        <v>3</v>
      </c>
      <c r="D5000" s="734">
        <v>123.24602236974481</v>
      </c>
      <c r="E5000" s="733"/>
    </row>
    <row r="5001" spans="2:5">
      <c r="B5001" s="121">
        <v>422</v>
      </c>
      <c r="C5001" s="121">
        <v>4</v>
      </c>
      <c r="D5001" s="734">
        <v>137.32110764138369</v>
      </c>
      <c r="E5001" s="733"/>
    </row>
    <row r="5002" spans="2:5">
      <c r="B5002" s="121">
        <v>422</v>
      </c>
      <c r="C5002" s="121">
        <v>5</v>
      </c>
      <c r="D5002" s="734">
        <v>143.59854083657629</v>
      </c>
      <c r="E5002" s="733"/>
    </row>
    <row r="5003" spans="2:5">
      <c r="B5003" s="121">
        <v>422</v>
      </c>
      <c r="C5003" s="121">
        <v>6</v>
      </c>
      <c r="D5003" s="734">
        <v>134.59150311325234</v>
      </c>
      <c r="E5003" s="733"/>
    </row>
    <row r="5004" spans="2:5">
      <c r="B5004" s="121">
        <v>422</v>
      </c>
      <c r="C5004" s="121">
        <v>7</v>
      </c>
      <c r="D5004" s="734">
        <v>139.18766785530988</v>
      </c>
      <c r="E5004" s="733"/>
    </row>
    <row r="5005" spans="2:5">
      <c r="B5005" s="121">
        <v>422</v>
      </c>
      <c r="C5005" s="121">
        <v>8</v>
      </c>
      <c r="D5005" s="734">
        <v>138.97664439807946</v>
      </c>
      <c r="E5005" s="733"/>
    </row>
    <row r="5006" spans="2:5">
      <c r="B5006" s="121">
        <v>422</v>
      </c>
      <c r="C5006" s="121">
        <v>9</v>
      </c>
      <c r="D5006" s="734">
        <v>141.83362366000699</v>
      </c>
      <c r="E5006" s="733"/>
    </row>
    <row r="5007" spans="2:5">
      <c r="B5007" s="121">
        <v>422</v>
      </c>
      <c r="C5007" s="121">
        <v>10</v>
      </c>
      <c r="D5007" s="734">
        <v>144.31964901377415</v>
      </c>
      <c r="E5007" s="733"/>
    </row>
    <row r="5008" spans="2:5">
      <c r="B5008" s="121">
        <v>422</v>
      </c>
      <c r="C5008" s="121">
        <v>11</v>
      </c>
      <c r="D5008" s="734">
        <v>140.70722752897308</v>
      </c>
      <c r="E5008" s="733"/>
    </row>
    <row r="5009" spans="2:5">
      <c r="B5009" s="121">
        <v>422</v>
      </c>
      <c r="C5009" s="121">
        <v>12</v>
      </c>
      <c r="D5009" s="734">
        <v>139.90675917979237</v>
      </c>
      <c r="E5009" s="733"/>
    </row>
    <row r="5010" spans="2:5">
      <c r="B5010" s="121">
        <v>422</v>
      </c>
      <c r="C5010" s="121">
        <v>13</v>
      </c>
      <c r="D5010" s="734">
        <v>135.98001233883164</v>
      </c>
      <c r="E5010" s="733"/>
    </row>
    <row r="5011" spans="2:5">
      <c r="B5011" s="121">
        <v>422</v>
      </c>
      <c r="C5011" s="121">
        <v>14</v>
      </c>
      <c r="D5011" s="734">
        <v>142.8676331737847</v>
      </c>
      <c r="E5011" s="733"/>
    </row>
    <row r="5012" spans="2:5">
      <c r="B5012" s="121">
        <v>422</v>
      </c>
      <c r="C5012" s="121">
        <v>15</v>
      </c>
      <c r="D5012" s="734">
        <v>139.06045403217016</v>
      </c>
      <c r="E5012" s="733"/>
    </row>
    <row r="5013" spans="2:5">
      <c r="B5013" s="121">
        <v>422</v>
      </c>
      <c r="C5013" s="121">
        <v>16</v>
      </c>
      <c r="D5013" s="734">
        <v>144.90720568081886</v>
      </c>
      <c r="E5013" s="733"/>
    </row>
    <row r="5014" spans="2:5">
      <c r="B5014" s="121">
        <v>422</v>
      </c>
      <c r="C5014" s="121">
        <v>17</v>
      </c>
      <c r="D5014" s="734">
        <v>139.0161315072227</v>
      </c>
      <c r="E5014" s="733"/>
    </row>
    <row r="5015" spans="2:5">
      <c r="B5015" s="121">
        <v>422</v>
      </c>
      <c r="C5015" s="121">
        <v>18</v>
      </c>
      <c r="D5015" s="734">
        <v>146.03840926428276</v>
      </c>
      <c r="E5015" s="733"/>
    </row>
    <row r="5016" spans="2:5">
      <c r="B5016" s="121">
        <v>422</v>
      </c>
      <c r="C5016" s="121">
        <v>19</v>
      </c>
      <c r="D5016" s="734">
        <v>146.78285798227495</v>
      </c>
      <c r="E5016" s="733"/>
    </row>
    <row r="5017" spans="2:5">
      <c r="B5017" s="121">
        <v>422</v>
      </c>
      <c r="C5017" s="121">
        <v>20</v>
      </c>
      <c r="D5017" s="734">
        <v>146.88854264435452</v>
      </c>
      <c r="E5017" s="733"/>
    </row>
    <row r="5018" spans="2:5">
      <c r="B5018" s="121">
        <v>422</v>
      </c>
      <c r="C5018" s="121">
        <v>21</v>
      </c>
      <c r="D5018" s="734">
        <v>146.94111186145841</v>
      </c>
      <c r="E5018" s="733"/>
    </row>
    <row r="5019" spans="2:5">
      <c r="B5019" s="121">
        <v>422</v>
      </c>
      <c r="C5019" s="121">
        <v>22</v>
      </c>
      <c r="D5019" s="734">
        <v>136.76477542927941</v>
      </c>
      <c r="E5019" s="733"/>
    </row>
    <row r="5020" spans="2:5">
      <c r="B5020" s="121">
        <v>422</v>
      </c>
      <c r="C5020" s="121">
        <v>23</v>
      </c>
      <c r="D5020" s="734">
        <v>138.03219369397567</v>
      </c>
      <c r="E5020" s="733"/>
    </row>
    <row r="5021" spans="2:5">
      <c r="B5021" s="121">
        <v>422</v>
      </c>
      <c r="C5021" s="121">
        <v>24</v>
      </c>
      <c r="D5021" s="734">
        <v>144.89163560178409</v>
      </c>
      <c r="E5021" s="733"/>
    </row>
    <row r="5022" spans="2:5">
      <c r="B5022" s="121">
        <v>422</v>
      </c>
      <c r="C5022" s="121">
        <v>25</v>
      </c>
      <c r="D5022" s="734">
        <v>146.08218246243496</v>
      </c>
      <c r="E5022" s="733"/>
    </row>
    <row r="5023" spans="2:5">
      <c r="B5023" s="121">
        <v>422</v>
      </c>
      <c r="C5023" s="121">
        <v>26</v>
      </c>
      <c r="D5023" s="734">
        <v>142.29095644447759</v>
      </c>
      <c r="E5023" s="733"/>
    </row>
    <row r="5024" spans="2:5">
      <c r="B5024" s="121">
        <v>422</v>
      </c>
      <c r="C5024" s="121">
        <v>27</v>
      </c>
      <c r="D5024" s="734">
        <v>138.64739729449434</v>
      </c>
      <c r="E5024" s="733"/>
    </row>
    <row r="5025" spans="2:5">
      <c r="B5025" s="121">
        <v>422</v>
      </c>
      <c r="C5025" s="121">
        <v>28</v>
      </c>
      <c r="D5025" s="734">
        <v>143.64190328621422</v>
      </c>
      <c r="E5025" s="733"/>
    </row>
    <row r="5026" spans="2:5">
      <c r="B5026" s="121">
        <v>422</v>
      </c>
      <c r="C5026" s="121">
        <v>29</v>
      </c>
      <c r="D5026" s="734">
        <v>143.80694002247822</v>
      </c>
      <c r="E5026" s="733"/>
    </row>
    <row r="5027" spans="2:5">
      <c r="B5027" s="121">
        <v>422</v>
      </c>
      <c r="C5027" s="121">
        <v>30</v>
      </c>
      <c r="D5027" s="734">
        <v>139.82907541668641</v>
      </c>
      <c r="E5027" s="733"/>
    </row>
    <row r="5028" spans="2:5">
      <c r="B5028" s="121">
        <v>422</v>
      </c>
      <c r="C5028" s="121">
        <v>31</v>
      </c>
      <c r="D5028" s="734">
        <v>141.85684733809401</v>
      </c>
      <c r="E5028" s="733"/>
    </row>
    <row r="5029" spans="2:5">
      <c r="B5029" s="121">
        <v>422</v>
      </c>
      <c r="C5029" s="121">
        <v>32</v>
      </c>
      <c r="D5029" s="734">
        <v>140.70023957293887</v>
      </c>
      <c r="E5029" s="733"/>
    </row>
    <row r="5030" spans="2:5">
      <c r="B5030" s="121">
        <v>422</v>
      </c>
      <c r="C5030" s="121">
        <v>33</v>
      </c>
      <c r="D5030" s="734">
        <v>134.71128853913919</v>
      </c>
      <c r="E5030" s="733"/>
    </row>
    <row r="5031" spans="2:5">
      <c r="B5031" s="121">
        <v>422</v>
      </c>
      <c r="C5031" s="121">
        <v>34</v>
      </c>
      <c r="D5031" s="734">
        <v>136.83253947234221</v>
      </c>
      <c r="E5031" s="733"/>
    </row>
    <row r="5032" spans="2:5">
      <c r="B5032" s="121">
        <v>422</v>
      </c>
      <c r="C5032" s="121">
        <v>35</v>
      </c>
      <c r="D5032" s="734">
        <v>143.05341928922829</v>
      </c>
      <c r="E5032" s="733"/>
    </row>
    <row r="5033" spans="2:5">
      <c r="B5033" s="121">
        <v>422</v>
      </c>
      <c r="C5033" s="121">
        <v>36</v>
      </c>
      <c r="D5033" s="734">
        <v>135.30691135945185</v>
      </c>
      <c r="E5033" s="733"/>
    </row>
    <row r="5034" spans="2:5">
      <c r="B5034" s="121">
        <v>423</v>
      </c>
      <c r="C5034" s="121">
        <v>1</v>
      </c>
      <c r="D5034" s="734">
        <v>5</v>
      </c>
      <c r="E5034" s="733"/>
    </row>
    <row r="5035" spans="2:5">
      <c r="B5035" s="121">
        <v>423</v>
      </c>
      <c r="C5035" s="121">
        <v>2</v>
      </c>
      <c r="D5035" s="734">
        <v>96.823411117512848</v>
      </c>
      <c r="E5035" s="733"/>
    </row>
    <row r="5036" spans="2:5">
      <c r="B5036" s="121">
        <v>424</v>
      </c>
      <c r="C5036" s="121">
        <v>1</v>
      </c>
      <c r="D5036" s="734">
        <v>5</v>
      </c>
      <c r="E5036" s="733"/>
    </row>
    <row r="5037" spans="2:5">
      <c r="B5037" s="121">
        <v>424</v>
      </c>
      <c r="C5037" s="121">
        <v>2</v>
      </c>
      <c r="D5037" s="734">
        <v>94.678679392852587</v>
      </c>
      <c r="E5037" s="733"/>
    </row>
    <row r="5038" spans="2:5">
      <c r="B5038" s="121">
        <v>424</v>
      </c>
      <c r="C5038" s="121">
        <v>3</v>
      </c>
      <c r="D5038" s="734">
        <v>114.31339643903732</v>
      </c>
      <c r="E5038" s="733"/>
    </row>
    <row r="5039" spans="2:5">
      <c r="B5039" s="121">
        <v>424</v>
      </c>
      <c r="C5039" s="121">
        <v>4</v>
      </c>
      <c r="D5039" s="734">
        <v>146.80291964167677</v>
      </c>
      <c r="E5039" s="733"/>
    </row>
    <row r="5040" spans="2:5">
      <c r="B5040" s="121">
        <v>424</v>
      </c>
      <c r="C5040" s="121">
        <v>5</v>
      </c>
      <c r="D5040" s="734">
        <v>145.78917960681162</v>
      </c>
      <c r="E5040" s="733"/>
    </row>
    <row r="5041" spans="2:5">
      <c r="B5041" s="121">
        <v>424</v>
      </c>
      <c r="C5041" s="121">
        <v>6</v>
      </c>
      <c r="D5041" s="734">
        <v>140.82472771677197</v>
      </c>
      <c r="E5041" s="733"/>
    </row>
    <row r="5042" spans="2:5">
      <c r="B5042" s="121">
        <v>424</v>
      </c>
      <c r="C5042" s="121">
        <v>7</v>
      </c>
      <c r="D5042" s="734">
        <v>134.76047617549608</v>
      </c>
      <c r="E5042" s="733"/>
    </row>
    <row r="5043" spans="2:5">
      <c r="B5043" s="121">
        <v>424</v>
      </c>
      <c r="C5043" s="121">
        <v>8</v>
      </c>
      <c r="D5043" s="734">
        <v>145.67254375734447</v>
      </c>
      <c r="E5043" s="733"/>
    </row>
    <row r="5044" spans="2:5">
      <c r="B5044" s="121">
        <v>424</v>
      </c>
      <c r="C5044" s="121">
        <v>9</v>
      </c>
      <c r="D5044" s="734">
        <v>135.18105488340996</v>
      </c>
      <c r="E5044" s="733"/>
    </row>
    <row r="5045" spans="2:5">
      <c r="B5045" s="121">
        <v>424</v>
      </c>
      <c r="C5045" s="121">
        <v>10</v>
      </c>
      <c r="D5045" s="734">
        <v>138.03062764991651</v>
      </c>
      <c r="E5045" s="733"/>
    </row>
    <row r="5046" spans="2:5">
      <c r="B5046" s="121">
        <v>424</v>
      </c>
      <c r="C5046" s="121">
        <v>11</v>
      </c>
      <c r="D5046" s="734">
        <v>144.93147695134036</v>
      </c>
      <c r="E5046" s="733"/>
    </row>
    <row r="5047" spans="2:5">
      <c r="B5047" s="121">
        <v>424</v>
      </c>
      <c r="C5047" s="121">
        <v>12</v>
      </c>
      <c r="D5047" s="734">
        <v>142.26767151210268</v>
      </c>
      <c r="E5047" s="733"/>
    </row>
    <row r="5048" spans="2:5">
      <c r="B5048" s="121">
        <v>424</v>
      </c>
      <c r="C5048" s="121">
        <v>13</v>
      </c>
      <c r="D5048" s="734">
        <v>143.54351714502783</v>
      </c>
      <c r="E5048" s="733"/>
    </row>
    <row r="5049" spans="2:5">
      <c r="B5049" s="121">
        <v>424</v>
      </c>
      <c r="C5049" s="121">
        <v>14</v>
      </c>
      <c r="D5049" s="734">
        <v>146.68860773113269</v>
      </c>
      <c r="E5049" s="733"/>
    </row>
    <row r="5050" spans="2:5">
      <c r="B5050" s="121">
        <v>425</v>
      </c>
      <c r="C5050" s="121">
        <v>1</v>
      </c>
      <c r="D5050" s="734">
        <v>5</v>
      </c>
      <c r="E5050" s="733"/>
    </row>
    <row r="5051" spans="2:5">
      <c r="B5051" s="121">
        <v>425</v>
      </c>
      <c r="C5051" s="121">
        <v>2</v>
      </c>
      <c r="D5051" s="734">
        <v>98.686985204064968</v>
      </c>
      <c r="E5051" s="733"/>
    </row>
    <row r="5052" spans="2:5">
      <c r="B5052" s="121">
        <v>425</v>
      </c>
      <c r="C5052" s="121">
        <v>3</v>
      </c>
      <c r="D5052" s="734">
        <v>116.75613028574553</v>
      </c>
      <c r="E5052" s="733"/>
    </row>
    <row r="5053" spans="2:5">
      <c r="B5053" s="121">
        <v>425</v>
      </c>
      <c r="C5053" s="121">
        <v>4</v>
      </c>
      <c r="D5053" s="734">
        <v>143.01784274889081</v>
      </c>
      <c r="E5053" s="733"/>
    </row>
    <row r="5054" spans="2:5">
      <c r="B5054" s="121">
        <v>425</v>
      </c>
      <c r="C5054" s="121">
        <v>5</v>
      </c>
      <c r="D5054" s="734">
        <v>145.07745629482122</v>
      </c>
      <c r="E5054" s="733"/>
    </row>
    <row r="5055" spans="2:5">
      <c r="B5055" s="121">
        <v>425</v>
      </c>
      <c r="C5055" s="121">
        <v>6</v>
      </c>
      <c r="D5055" s="734">
        <v>142.39565736840174</v>
      </c>
      <c r="E5055" s="733"/>
    </row>
    <row r="5056" spans="2:5">
      <c r="B5056" s="121">
        <v>425</v>
      </c>
      <c r="C5056" s="121">
        <v>7</v>
      </c>
      <c r="D5056" s="734">
        <v>140.63854134981923</v>
      </c>
      <c r="E5056" s="733"/>
    </row>
    <row r="5057" spans="2:5">
      <c r="B5057" s="121">
        <v>425</v>
      </c>
      <c r="C5057" s="121">
        <v>8</v>
      </c>
      <c r="D5057" s="734">
        <v>145.55148510518461</v>
      </c>
      <c r="E5057" s="733"/>
    </row>
    <row r="5058" spans="2:5">
      <c r="B5058" s="121">
        <v>425</v>
      </c>
      <c r="C5058" s="121">
        <v>9</v>
      </c>
      <c r="D5058" s="734">
        <v>144.74390451691733</v>
      </c>
      <c r="E5058" s="733"/>
    </row>
    <row r="5059" spans="2:5">
      <c r="B5059" s="121">
        <v>425</v>
      </c>
      <c r="C5059" s="121">
        <v>10</v>
      </c>
      <c r="D5059" s="734">
        <v>135.89939114624116</v>
      </c>
      <c r="E5059" s="733"/>
    </row>
    <row r="5060" spans="2:5">
      <c r="B5060" s="121">
        <v>425</v>
      </c>
      <c r="C5060" s="121">
        <v>11</v>
      </c>
      <c r="D5060" s="734">
        <v>137.73210898825906</v>
      </c>
      <c r="E5060" s="733"/>
    </row>
    <row r="5061" spans="2:5">
      <c r="B5061" s="121">
        <v>425</v>
      </c>
      <c r="C5061" s="121">
        <v>12</v>
      </c>
      <c r="D5061" s="734">
        <v>136.28488916104476</v>
      </c>
      <c r="E5061" s="733"/>
    </row>
    <row r="5062" spans="2:5">
      <c r="B5062" s="121">
        <v>425</v>
      </c>
      <c r="C5062" s="121">
        <v>13</v>
      </c>
      <c r="D5062" s="734">
        <v>138.56119115181158</v>
      </c>
      <c r="E5062" s="733"/>
    </row>
    <row r="5063" spans="2:5">
      <c r="B5063" s="121">
        <v>425</v>
      </c>
      <c r="C5063" s="121">
        <v>14</v>
      </c>
      <c r="D5063" s="734">
        <v>137.56506472624184</v>
      </c>
      <c r="E5063" s="733"/>
    </row>
    <row r="5064" spans="2:5">
      <c r="B5064" s="121">
        <v>425</v>
      </c>
      <c r="C5064" s="121">
        <v>15</v>
      </c>
      <c r="D5064" s="734">
        <v>143.99027672812372</v>
      </c>
      <c r="E5064" s="733"/>
    </row>
    <row r="5065" spans="2:5">
      <c r="B5065" s="121">
        <v>425</v>
      </c>
      <c r="C5065" s="121">
        <v>16</v>
      </c>
      <c r="D5065" s="734">
        <v>144.65501235913479</v>
      </c>
      <c r="E5065" s="733"/>
    </row>
    <row r="5066" spans="2:5">
      <c r="B5066" s="121">
        <v>425</v>
      </c>
      <c r="C5066" s="121">
        <v>17</v>
      </c>
      <c r="D5066" s="734">
        <v>146.71501410377076</v>
      </c>
      <c r="E5066" s="733"/>
    </row>
    <row r="5067" spans="2:5">
      <c r="B5067" s="121">
        <v>425</v>
      </c>
      <c r="C5067" s="121">
        <v>18</v>
      </c>
      <c r="D5067" s="734">
        <v>144.7719814428354</v>
      </c>
      <c r="E5067" s="733"/>
    </row>
    <row r="5068" spans="2:5">
      <c r="B5068" s="121">
        <v>425</v>
      </c>
      <c r="C5068" s="121">
        <v>19</v>
      </c>
      <c r="D5068" s="734">
        <v>146.38989440807615</v>
      </c>
      <c r="E5068" s="733"/>
    </row>
    <row r="5069" spans="2:5">
      <c r="B5069" s="121">
        <v>426</v>
      </c>
      <c r="C5069" s="121">
        <v>1</v>
      </c>
      <c r="D5069" s="734">
        <v>5</v>
      </c>
      <c r="E5069" s="733"/>
    </row>
    <row r="5070" spans="2:5">
      <c r="B5070" s="121">
        <v>426</v>
      </c>
      <c r="C5070" s="121">
        <v>2</v>
      </c>
      <c r="D5070" s="734">
        <v>101.51499056321178</v>
      </c>
      <c r="E5070" s="733"/>
    </row>
    <row r="5071" spans="2:5">
      <c r="B5071" s="121">
        <v>426</v>
      </c>
      <c r="C5071" s="121">
        <v>3</v>
      </c>
      <c r="D5071" s="734">
        <v>125.48788409484341</v>
      </c>
      <c r="E5071" s="733"/>
    </row>
    <row r="5072" spans="2:5">
      <c r="B5072" s="121">
        <v>426</v>
      </c>
      <c r="C5072" s="121">
        <v>4</v>
      </c>
      <c r="D5072" s="734">
        <v>140.83901100087024</v>
      </c>
      <c r="E5072" s="733"/>
    </row>
    <row r="5073" spans="2:5">
      <c r="B5073" s="121">
        <v>426</v>
      </c>
      <c r="C5073" s="121">
        <v>5</v>
      </c>
      <c r="D5073" s="734">
        <v>137.53003554587164</v>
      </c>
      <c r="E5073" s="733"/>
    </row>
    <row r="5074" spans="2:5">
      <c r="B5074" s="121">
        <v>426</v>
      </c>
      <c r="C5074" s="121">
        <v>6</v>
      </c>
      <c r="D5074" s="734">
        <v>137.46068367515181</v>
      </c>
      <c r="E5074" s="733"/>
    </row>
    <row r="5075" spans="2:5">
      <c r="B5075" s="121">
        <v>426</v>
      </c>
      <c r="C5075" s="121">
        <v>7</v>
      </c>
      <c r="D5075" s="734">
        <v>140.40332593636842</v>
      </c>
      <c r="E5075" s="733"/>
    </row>
    <row r="5076" spans="2:5">
      <c r="B5076" s="121">
        <v>426</v>
      </c>
      <c r="C5076" s="121">
        <v>8</v>
      </c>
      <c r="D5076" s="734">
        <v>145.60472760040383</v>
      </c>
      <c r="E5076" s="733"/>
    </row>
    <row r="5077" spans="2:5">
      <c r="B5077" s="121">
        <v>427</v>
      </c>
      <c r="C5077" s="121">
        <v>1</v>
      </c>
      <c r="D5077" s="734">
        <v>5</v>
      </c>
      <c r="E5077" s="733"/>
    </row>
    <row r="5078" spans="2:5">
      <c r="B5078" s="121">
        <v>427</v>
      </c>
      <c r="C5078" s="121">
        <v>2</v>
      </c>
      <c r="D5078" s="734">
        <v>100.99317638990766</v>
      </c>
      <c r="E5078" s="733"/>
    </row>
    <row r="5079" spans="2:5">
      <c r="B5079" s="121">
        <v>427</v>
      </c>
      <c r="C5079" s="121">
        <v>3</v>
      </c>
      <c r="D5079" s="734">
        <v>114.60555283467953</v>
      </c>
      <c r="E5079" s="733"/>
    </row>
    <row r="5080" spans="2:5">
      <c r="B5080" s="121">
        <v>427</v>
      </c>
      <c r="C5080" s="121">
        <v>4</v>
      </c>
      <c r="D5080" s="734">
        <v>143.01859995308527</v>
      </c>
      <c r="E5080" s="733"/>
    </row>
    <row r="5081" spans="2:5">
      <c r="B5081" s="121">
        <v>427</v>
      </c>
      <c r="C5081" s="121">
        <v>5</v>
      </c>
      <c r="D5081" s="734">
        <v>142.06289419895583</v>
      </c>
      <c r="E5081" s="733"/>
    </row>
    <row r="5082" spans="2:5">
      <c r="B5082" s="121">
        <v>427</v>
      </c>
      <c r="C5082" s="121">
        <v>6</v>
      </c>
      <c r="D5082" s="734">
        <v>140.52990555184803</v>
      </c>
      <c r="E5082" s="733"/>
    </row>
    <row r="5083" spans="2:5">
      <c r="B5083" s="121">
        <v>427</v>
      </c>
      <c r="C5083" s="121">
        <v>7</v>
      </c>
      <c r="D5083" s="734">
        <v>136.91582354802733</v>
      </c>
      <c r="E5083" s="733"/>
    </row>
    <row r="5084" spans="2:5">
      <c r="B5084" s="121">
        <v>427</v>
      </c>
      <c r="C5084" s="121">
        <v>8</v>
      </c>
      <c r="D5084" s="734">
        <v>140.20948305749943</v>
      </c>
      <c r="E5084" s="733"/>
    </row>
    <row r="5085" spans="2:5">
      <c r="B5085" s="121">
        <v>427</v>
      </c>
      <c r="C5085" s="121">
        <v>9</v>
      </c>
      <c r="D5085" s="734">
        <v>134.59641112077816</v>
      </c>
      <c r="E5085" s="733"/>
    </row>
    <row r="5086" spans="2:5">
      <c r="B5086" s="121">
        <v>427</v>
      </c>
      <c r="C5086" s="121">
        <v>10</v>
      </c>
      <c r="D5086" s="734">
        <v>133.71315704003638</v>
      </c>
      <c r="E5086" s="733"/>
    </row>
    <row r="5087" spans="2:5">
      <c r="B5087" s="121">
        <v>427</v>
      </c>
      <c r="C5087" s="121">
        <v>11</v>
      </c>
      <c r="D5087" s="734">
        <v>142.51175683178698</v>
      </c>
      <c r="E5087" s="733"/>
    </row>
    <row r="5088" spans="2:5">
      <c r="B5088" s="121">
        <v>427</v>
      </c>
      <c r="C5088" s="121">
        <v>12</v>
      </c>
      <c r="D5088" s="734">
        <v>145.08041125859944</v>
      </c>
      <c r="E5088" s="733"/>
    </row>
    <row r="5089" spans="2:5">
      <c r="B5089" s="121">
        <v>427</v>
      </c>
      <c r="C5089" s="121">
        <v>13</v>
      </c>
      <c r="D5089" s="734">
        <v>140.79883390184207</v>
      </c>
      <c r="E5089" s="733"/>
    </row>
    <row r="5090" spans="2:5">
      <c r="B5090" s="121">
        <v>427</v>
      </c>
      <c r="C5090" s="121">
        <v>14</v>
      </c>
      <c r="D5090" s="734">
        <v>136.75793843688683</v>
      </c>
      <c r="E5090" s="733"/>
    </row>
    <row r="5091" spans="2:5">
      <c r="B5091" s="121">
        <v>428</v>
      </c>
      <c r="C5091" s="121">
        <v>1</v>
      </c>
      <c r="D5091" s="734">
        <v>5</v>
      </c>
      <c r="E5091" s="733"/>
    </row>
    <row r="5092" spans="2:5">
      <c r="B5092" s="121">
        <v>428</v>
      </c>
      <c r="C5092" s="121">
        <v>2</v>
      </c>
      <c r="D5092" s="734">
        <v>100.54087277142317</v>
      </c>
      <c r="E5092" s="733"/>
    </row>
    <row r="5093" spans="2:5">
      <c r="B5093" s="121">
        <v>428</v>
      </c>
      <c r="C5093" s="121">
        <v>3</v>
      </c>
      <c r="D5093" s="734">
        <v>121.29335823505305</v>
      </c>
      <c r="E5093" s="733"/>
    </row>
    <row r="5094" spans="2:5">
      <c r="B5094" s="121">
        <v>428</v>
      </c>
      <c r="C5094" s="121">
        <v>4</v>
      </c>
      <c r="D5094" s="734">
        <v>135.76777103772568</v>
      </c>
      <c r="E5094" s="733"/>
    </row>
    <row r="5095" spans="2:5">
      <c r="B5095" s="121">
        <v>428</v>
      </c>
      <c r="C5095" s="121">
        <v>5</v>
      </c>
      <c r="D5095" s="734">
        <v>137.7682354243706</v>
      </c>
      <c r="E5095" s="733"/>
    </row>
    <row r="5096" spans="2:5">
      <c r="B5096" s="121">
        <v>428</v>
      </c>
      <c r="C5096" s="121">
        <v>6</v>
      </c>
      <c r="D5096" s="734">
        <v>138.77451307057041</v>
      </c>
      <c r="E5096" s="733"/>
    </row>
    <row r="5097" spans="2:5">
      <c r="B5097" s="121">
        <v>428</v>
      </c>
      <c r="C5097" s="121">
        <v>7</v>
      </c>
      <c r="D5097" s="734">
        <v>137.73056598202555</v>
      </c>
      <c r="E5097" s="733"/>
    </row>
    <row r="5098" spans="2:5">
      <c r="B5098" s="121">
        <v>428</v>
      </c>
      <c r="C5098" s="121">
        <v>8</v>
      </c>
      <c r="D5098" s="734">
        <v>137.38942911655948</v>
      </c>
      <c r="E5098" s="733"/>
    </row>
    <row r="5099" spans="2:5">
      <c r="B5099" s="121">
        <v>428</v>
      </c>
      <c r="C5099" s="121">
        <v>9</v>
      </c>
      <c r="D5099" s="734">
        <v>135.7340106686417</v>
      </c>
      <c r="E5099" s="733"/>
    </row>
    <row r="5100" spans="2:5">
      <c r="B5100" s="121">
        <v>428</v>
      </c>
      <c r="C5100" s="121">
        <v>10</v>
      </c>
      <c r="D5100" s="734">
        <v>143.47246191819983</v>
      </c>
      <c r="E5100" s="733"/>
    </row>
    <row r="5101" spans="2:5">
      <c r="B5101" s="121">
        <v>429</v>
      </c>
      <c r="C5101" s="121">
        <v>1</v>
      </c>
      <c r="D5101" s="734">
        <v>5</v>
      </c>
      <c r="E5101" s="733"/>
    </row>
    <row r="5102" spans="2:5">
      <c r="B5102" s="121">
        <v>429</v>
      </c>
      <c r="C5102" s="121">
        <v>2</v>
      </c>
      <c r="D5102" s="734">
        <v>98.186018592318263</v>
      </c>
      <c r="E5102" s="733"/>
    </row>
    <row r="5103" spans="2:5">
      <c r="B5103" s="121">
        <v>429</v>
      </c>
      <c r="C5103" s="121">
        <v>3</v>
      </c>
      <c r="D5103" s="734">
        <v>119.19602466763449</v>
      </c>
      <c r="E5103" s="733"/>
    </row>
    <row r="5104" spans="2:5">
      <c r="B5104" s="121">
        <v>430</v>
      </c>
      <c r="C5104" s="121">
        <v>1</v>
      </c>
      <c r="D5104" s="734">
        <v>5</v>
      </c>
      <c r="E5104" s="733"/>
    </row>
    <row r="5105" spans="2:5">
      <c r="B5105" s="121">
        <v>430</v>
      </c>
      <c r="C5105" s="121">
        <v>2</v>
      </c>
      <c r="D5105" s="734">
        <v>99.037645880134022</v>
      </c>
      <c r="E5105" s="733"/>
    </row>
    <row r="5106" spans="2:5">
      <c r="B5106" s="121">
        <v>430</v>
      </c>
      <c r="C5106" s="121">
        <v>3</v>
      </c>
      <c r="D5106" s="734">
        <v>121.96112257931948</v>
      </c>
      <c r="E5106" s="733"/>
    </row>
    <row r="5107" spans="2:5">
      <c r="B5107" s="121">
        <v>430</v>
      </c>
      <c r="C5107" s="121">
        <v>4</v>
      </c>
      <c r="D5107" s="734">
        <v>144.04346230723078</v>
      </c>
      <c r="E5107" s="733"/>
    </row>
    <row r="5108" spans="2:5">
      <c r="B5108" s="121">
        <v>430</v>
      </c>
      <c r="C5108" s="121">
        <v>5</v>
      </c>
      <c r="D5108" s="734">
        <v>147.24687273267037</v>
      </c>
      <c r="E5108" s="733"/>
    </row>
    <row r="5109" spans="2:5">
      <c r="B5109" s="121">
        <v>430</v>
      </c>
      <c r="C5109" s="121">
        <v>6</v>
      </c>
      <c r="D5109" s="734">
        <v>139.98659510291168</v>
      </c>
      <c r="E5109" s="733"/>
    </row>
    <row r="5110" spans="2:5">
      <c r="B5110" s="121">
        <v>430</v>
      </c>
      <c r="C5110" s="121">
        <v>7</v>
      </c>
      <c r="D5110" s="734">
        <v>144.87109005629443</v>
      </c>
      <c r="E5110" s="733"/>
    </row>
    <row r="5111" spans="2:5">
      <c r="B5111" s="121">
        <v>430</v>
      </c>
      <c r="C5111" s="121">
        <v>8</v>
      </c>
      <c r="D5111" s="734">
        <v>139.71259034780562</v>
      </c>
      <c r="E5111" s="733"/>
    </row>
    <row r="5112" spans="2:5">
      <c r="B5112" s="121">
        <v>431</v>
      </c>
      <c r="C5112" s="121">
        <v>1</v>
      </c>
      <c r="D5112" s="734">
        <v>5</v>
      </c>
      <c r="E5112" s="733"/>
    </row>
    <row r="5113" spans="2:5">
      <c r="B5113" s="121">
        <v>431</v>
      </c>
      <c r="C5113" s="121">
        <v>2</v>
      </c>
      <c r="D5113" s="734">
        <v>98.01672464373506</v>
      </c>
      <c r="E5113" s="733"/>
    </row>
    <row r="5114" spans="2:5">
      <c r="B5114" s="121">
        <v>431</v>
      </c>
      <c r="C5114" s="121">
        <v>3</v>
      </c>
      <c r="D5114" s="734">
        <v>115.68344150226976</v>
      </c>
      <c r="E5114" s="733"/>
    </row>
    <row r="5115" spans="2:5">
      <c r="B5115" s="121">
        <v>431</v>
      </c>
      <c r="C5115" s="121">
        <v>4</v>
      </c>
      <c r="D5115" s="734">
        <v>143.0233343403294</v>
      </c>
      <c r="E5115" s="733"/>
    </row>
    <row r="5116" spans="2:5">
      <c r="B5116" s="121">
        <v>431</v>
      </c>
      <c r="C5116" s="121">
        <v>5</v>
      </c>
      <c r="D5116" s="734">
        <v>134.67349028773583</v>
      </c>
      <c r="E5116" s="733"/>
    </row>
    <row r="5117" spans="2:5">
      <c r="B5117" s="121">
        <v>431</v>
      </c>
      <c r="C5117" s="121">
        <v>6</v>
      </c>
      <c r="D5117" s="734">
        <v>141.64750809106528</v>
      </c>
      <c r="E5117" s="733"/>
    </row>
    <row r="5118" spans="2:5">
      <c r="B5118" s="121">
        <v>431</v>
      </c>
      <c r="C5118" s="121">
        <v>7</v>
      </c>
      <c r="D5118" s="734">
        <v>138.87998255153656</v>
      </c>
      <c r="E5118" s="733"/>
    </row>
    <row r="5119" spans="2:5">
      <c r="B5119" s="121">
        <v>431</v>
      </c>
      <c r="C5119" s="121">
        <v>8</v>
      </c>
      <c r="D5119" s="734">
        <v>136.76802700562644</v>
      </c>
      <c r="E5119" s="733"/>
    </row>
    <row r="5120" spans="2:5">
      <c r="B5120" s="121">
        <v>431</v>
      </c>
      <c r="C5120" s="121">
        <v>9</v>
      </c>
      <c r="D5120" s="734">
        <v>133.97426835556954</v>
      </c>
      <c r="E5120" s="733"/>
    </row>
    <row r="5121" spans="2:5">
      <c r="B5121" s="121">
        <v>431</v>
      </c>
      <c r="C5121" s="121">
        <v>10</v>
      </c>
      <c r="D5121" s="734">
        <v>144.33485106048036</v>
      </c>
      <c r="E5121" s="733"/>
    </row>
    <row r="5122" spans="2:5">
      <c r="B5122" s="121">
        <v>431</v>
      </c>
      <c r="C5122" s="121">
        <v>11</v>
      </c>
      <c r="D5122" s="734">
        <v>139.94303195219925</v>
      </c>
      <c r="E5122" s="733"/>
    </row>
    <row r="5123" spans="2:5">
      <c r="B5123" s="121">
        <v>431</v>
      </c>
      <c r="C5123" s="121">
        <v>12</v>
      </c>
      <c r="D5123" s="734">
        <v>143.39812149005931</v>
      </c>
      <c r="E5123" s="733"/>
    </row>
    <row r="5124" spans="2:5">
      <c r="B5124" s="121">
        <v>431</v>
      </c>
      <c r="C5124" s="121">
        <v>13</v>
      </c>
      <c r="D5124" s="734">
        <v>138.53707040387121</v>
      </c>
      <c r="E5124" s="733"/>
    </row>
    <row r="5125" spans="2:5">
      <c r="B5125" s="121">
        <v>431</v>
      </c>
      <c r="C5125" s="121">
        <v>14</v>
      </c>
      <c r="D5125" s="734">
        <v>137.76514389154687</v>
      </c>
      <c r="E5125" s="733"/>
    </row>
    <row r="5126" spans="2:5">
      <c r="B5126" s="121">
        <v>431</v>
      </c>
      <c r="C5126" s="121">
        <v>15</v>
      </c>
      <c r="D5126" s="734">
        <v>142.51966809007649</v>
      </c>
      <c r="E5126" s="733"/>
    </row>
    <row r="5127" spans="2:5">
      <c r="B5127" s="121">
        <v>431</v>
      </c>
      <c r="C5127" s="121">
        <v>16</v>
      </c>
      <c r="D5127" s="734">
        <v>134.66447057934226</v>
      </c>
      <c r="E5127" s="733"/>
    </row>
    <row r="5128" spans="2:5">
      <c r="B5128" s="121">
        <v>431</v>
      </c>
      <c r="C5128" s="121">
        <v>17</v>
      </c>
      <c r="D5128" s="734">
        <v>143.86549768619309</v>
      </c>
      <c r="E5128" s="733"/>
    </row>
    <row r="5129" spans="2:5">
      <c r="B5129" s="121">
        <v>431</v>
      </c>
      <c r="C5129" s="121">
        <v>18</v>
      </c>
      <c r="D5129" s="734">
        <v>138.30515031177924</v>
      </c>
      <c r="E5129" s="733"/>
    </row>
    <row r="5130" spans="2:5">
      <c r="B5130" s="121">
        <v>431</v>
      </c>
      <c r="C5130" s="121">
        <v>19</v>
      </c>
      <c r="D5130" s="734">
        <v>138.77976506220546</v>
      </c>
      <c r="E5130" s="733"/>
    </row>
    <row r="5131" spans="2:5">
      <c r="B5131" s="121">
        <v>431</v>
      </c>
      <c r="C5131" s="121">
        <v>20</v>
      </c>
      <c r="D5131" s="734">
        <v>139.92806676362221</v>
      </c>
      <c r="E5131" s="733"/>
    </row>
    <row r="5132" spans="2:5">
      <c r="B5132" s="121">
        <v>431</v>
      </c>
      <c r="C5132" s="121">
        <v>21</v>
      </c>
      <c r="D5132" s="734">
        <v>145.09664210383664</v>
      </c>
      <c r="E5132" s="733"/>
    </row>
    <row r="5133" spans="2:5">
      <c r="B5133" s="121">
        <v>431</v>
      </c>
      <c r="C5133" s="121">
        <v>22</v>
      </c>
      <c r="D5133" s="734">
        <v>145.74374857140475</v>
      </c>
      <c r="E5133" s="733"/>
    </row>
    <row r="5134" spans="2:5">
      <c r="B5134" s="121">
        <v>431</v>
      </c>
      <c r="C5134" s="121">
        <v>23</v>
      </c>
      <c r="D5134" s="734">
        <v>137.5154004073857</v>
      </c>
      <c r="E5134" s="733"/>
    </row>
    <row r="5135" spans="2:5">
      <c r="B5135" s="121">
        <v>431</v>
      </c>
      <c r="C5135" s="121">
        <v>24</v>
      </c>
      <c r="D5135" s="734">
        <v>146.81876873129951</v>
      </c>
      <c r="E5135" s="733"/>
    </row>
    <row r="5136" spans="2:5">
      <c r="B5136" s="121">
        <v>431</v>
      </c>
      <c r="C5136" s="121">
        <v>25</v>
      </c>
      <c r="D5136" s="734">
        <v>145.64277623728887</v>
      </c>
      <c r="E5136" s="733"/>
    </row>
    <row r="5137" spans="2:5">
      <c r="B5137" s="121">
        <v>431</v>
      </c>
      <c r="C5137" s="121">
        <v>26</v>
      </c>
      <c r="D5137" s="734">
        <v>134.29476819375444</v>
      </c>
      <c r="E5137" s="733"/>
    </row>
    <row r="5138" spans="2:5">
      <c r="B5138" s="121">
        <v>431</v>
      </c>
      <c r="C5138" s="121">
        <v>27</v>
      </c>
      <c r="D5138" s="734">
        <v>144.27144656560421</v>
      </c>
      <c r="E5138" s="733"/>
    </row>
    <row r="5139" spans="2:5">
      <c r="B5139" s="121">
        <v>431</v>
      </c>
      <c r="C5139" s="121">
        <v>28</v>
      </c>
      <c r="D5139" s="734">
        <v>143.62970748317881</v>
      </c>
      <c r="E5139" s="733"/>
    </row>
    <row r="5140" spans="2:5">
      <c r="B5140" s="121">
        <v>431</v>
      </c>
      <c r="C5140" s="121">
        <v>29</v>
      </c>
      <c r="D5140" s="734">
        <v>140.04878598524471</v>
      </c>
      <c r="E5140" s="733"/>
    </row>
    <row r="5141" spans="2:5">
      <c r="B5141" s="121">
        <v>431</v>
      </c>
      <c r="C5141" s="121">
        <v>30</v>
      </c>
      <c r="D5141" s="734">
        <v>139.4236527349926</v>
      </c>
      <c r="E5141" s="733"/>
    </row>
    <row r="5142" spans="2:5">
      <c r="B5142" s="121">
        <v>431</v>
      </c>
      <c r="C5142" s="121">
        <v>31</v>
      </c>
      <c r="D5142" s="734">
        <v>137.71445614825853</v>
      </c>
      <c r="E5142" s="733"/>
    </row>
    <row r="5143" spans="2:5">
      <c r="B5143" s="121">
        <v>431</v>
      </c>
      <c r="C5143" s="121">
        <v>32</v>
      </c>
      <c r="D5143" s="734">
        <v>140.75637823514836</v>
      </c>
      <c r="E5143" s="733"/>
    </row>
    <row r="5144" spans="2:5">
      <c r="B5144" s="121">
        <v>431</v>
      </c>
      <c r="C5144" s="121">
        <v>33</v>
      </c>
      <c r="D5144" s="734">
        <v>140.22393423164675</v>
      </c>
      <c r="E5144" s="733"/>
    </row>
    <row r="5145" spans="2:5">
      <c r="B5145" s="121">
        <v>431</v>
      </c>
      <c r="C5145" s="121">
        <v>34</v>
      </c>
      <c r="D5145" s="734">
        <v>138.94228044584702</v>
      </c>
      <c r="E5145" s="733"/>
    </row>
    <row r="5146" spans="2:5">
      <c r="B5146" s="121">
        <v>431</v>
      </c>
      <c r="C5146" s="121">
        <v>35</v>
      </c>
      <c r="D5146" s="734">
        <v>138.60983122152547</v>
      </c>
      <c r="E5146" s="733"/>
    </row>
    <row r="5147" spans="2:5">
      <c r="B5147" s="121">
        <v>431</v>
      </c>
      <c r="C5147" s="121">
        <v>36</v>
      </c>
      <c r="D5147" s="734">
        <v>146.21862212938868</v>
      </c>
      <c r="E5147" s="733"/>
    </row>
    <row r="5148" spans="2:5">
      <c r="B5148" s="121">
        <v>432</v>
      </c>
      <c r="C5148" s="121">
        <v>1</v>
      </c>
      <c r="D5148" s="734">
        <v>5</v>
      </c>
      <c r="E5148" s="733"/>
    </row>
    <row r="5149" spans="2:5">
      <c r="B5149" s="121">
        <v>432</v>
      </c>
      <c r="C5149" s="121">
        <v>2</v>
      </c>
      <c r="D5149" s="734">
        <v>101.99366851774228</v>
      </c>
      <c r="E5149" s="733"/>
    </row>
    <row r="5150" spans="2:5">
      <c r="B5150" s="121">
        <v>432</v>
      </c>
      <c r="C5150" s="121">
        <v>3</v>
      </c>
      <c r="D5150" s="734">
        <v>123.21554655345764</v>
      </c>
      <c r="E5150" s="733"/>
    </row>
    <row r="5151" spans="2:5">
      <c r="B5151" s="121">
        <v>432</v>
      </c>
      <c r="C5151" s="121">
        <v>4</v>
      </c>
      <c r="D5151" s="734">
        <v>140.60027046780505</v>
      </c>
      <c r="E5151" s="733"/>
    </row>
    <row r="5152" spans="2:5">
      <c r="B5152" s="121">
        <v>432</v>
      </c>
      <c r="C5152" s="121">
        <v>5</v>
      </c>
      <c r="D5152" s="734">
        <v>135.68202521703441</v>
      </c>
      <c r="E5152" s="733"/>
    </row>
    <row r="5153" spans="2:5">
      <c r="B5153" s="121">
        <v>432</v>
      </c>
      <c r="C5153" s="121">
        <v>6</v>
      </c>
      <c r="D5153" s="734">
        <v>145.51957023699336</v>
      </c>
      <c r="E5153" s="733"/>
    </row>
    <row r="5154" spans="2:5">
      <c r="B5154" s="121">
        <v>432</v>
      </c>
      <c r="C5154" s="121">
        <v>7</v>
      </c>
      <c r="D5154" s="734">
        <v>136.86086659260855</v>
      </c>
      <c r="E5154" s="733"/>
    </row>
    <row r="5155" spans="2:5">
      <c r="B5155" s="121">
        <v>432</v>
      </c>
      <c r="C5155" s="121">
        <v>8</v>
      </c>
      <c r="D5155" s="734">
        <v>140.27561561062967</v>
      </c>
      <c r="E5155" s="733"/>
    </row>
    <row r="5156" spans="2:5">
      <c r="B5156" s="121">
        <v>432</v>
      </c>
      <c r="C5156" s="121">
        <v>9</v>
      </c>
      <c r="D5156" s="734">
        <v>135.94102515819492</v>
      </c>
      <c r="E5156" s="733"/>
    </row>
    <row r="5157" spans="2:5">
      <c r="B5157" s="121">
        <v>432</v>
      </c>
      <c r="C5157" s="121">
        <v>10</v>
      </c>
      <c r="D5157" s="734">
        <v>136.74923110868889</v>
      </c>
      <c r="E5157" s="733"/>
    </row>
    <row r="5158" spans="2:5">
      <c r="B5158" s="121">
        <v>432</v>
      </c>
      <c r="C5158" s="121">
        <v>11</v>
      </c>
      <c r="D5158" s="734">
        <v>136.41268500403373</v>
      </c>
      <c r="E5158" s="733"/>
    </row>
    <row r="5159" spans="2:5">
      <c r="B5159" s="121">
        <v>432</v>
      </c>
      <c r="C5159" s="121">
        <v>12</v>
      </c>
      <c r="D5159" s="734">
        <v>141.40812831365201</v>
      </c>
      <c r="E5159" s="733"/>
    </row>
    <row r="5160" spans="2:5">
      <c r="B5160" s="121">
        <v>432</v>
      </c>
      <c r="C5160" s="121">
        <v>13</v>
      </c>
      <c r="D5160" s="734">
        <v>136.68261169001624</v>
      </c>
      <c r="E5160" s="733"/>
    </row>
    <row r="5161" spans="2:5">
      <c r="B5161" s="121">
        <v>432</v>
      </c>
      <c r="C5161" s="121">
        <v>14</v>
      </c>
      <c r="D5161" s="734">
        <v>144.41239869123709</v>
      </c>
      <c r="E5161" s="733"/>
    </row>
    <row r="5162" spans="2:5">
      <c r="B5162" s="121">
        <v>432</v>
      </c>
      <c r="C5162" s="121">
        <v>15</v>
      </c>
      <c r="D5162" s="734">
        <v>138.17853193636245</v>
      </c>
      <c r="E5162" s="733"/>
    </row>
    <row r="5163" spans="2:5">
      <c r="B5163" s="121">
        <v>432</v>
      </c>
      <c r="C5163" s="121">
        <v>16</v>
      </c>
      <c r="D5163" s="734">
        <v>137.91752122181194</v>
      </c>
      <c r="E5163" s="733"/>
    </row>
    <row r="5164" spans="2:5">
      <c r="B5164" s="121">
        <v>433</v>
      </c>
      <c r="C5164" s="121">
        <v>1</v>
      </c>
      <c r="D5164" s="734">
        <v>5</v>
      </c>
      <c r="E5164" s="733"/>
    </row>
    <row r="5165" spans="2:5">
      <c r="B5165" s="121">
        <v>433</v>
      </c>
      <c r="C5165" s="121">
        <v>2</v>
      </c>
      <c r="D5165" s="734">
        <v>103.57343183250708</v>
      </c>
      <c r="E5165" s="733"/>
    </row>
    <row r="5166" spans="2:5">
      <c r="B5166" s="121">
        <v>433</v>
      </c>
      <c r="C5166" s="121">
        <v>3</v>
      </c>
      <c r="D5166" s="734">
        <v>114.98633296135019</v>
      </c>
      <c r="E5166" s="733"/>
    </row>
    <row r="5167" spans="2:5">
      <c r="B5167" s="121">
        <v>433</v>
      </c>
      <c r="C5167" s="121">
        <v>4</v>
      </c>
      <c r="D5167" s="734">
        <v>134.4774789198176</v>
      </c>
      <c r="E5167" s="733"/>
    </row>
    <row r="5168" spans="2:5">
      <c r="B5168" s="121">
        <v>433</v>
      </c>
      <c r="C5168" s="121">
        <v>5</v>
      </c>
      <c r="D5168" s="734">
        <v>134.87864331425465</v>
      </c>
      <c r="E5168" s="733"/>
    </row>
    <row r="5169" spans="2:5">
      <c r="B5169" s="121">
        <v>433</v>
      </c>
      <c r="C5169" s="121">
        <v>6</v>
      </c>
      <c r="D5169" s="734">
        <v>135.06281428065554</v>
      </c>
      <c r="E5169" s="733"/>
    </row>
    <row r="5170" spans="2:5">
      <c r="B5170" s="121">
        <v>433</v>
      </c>
      <c r="C5170" s="121">
        <v>7</v>
      </c>
      <c r="D5170" s="734">
        <v>136.78165533614134</v>
      </c>
      <c r="E5170" s="733"/>
    </row>
    <row r="5171" spans="2:5">
      <c r="B5171" s="121">
        <v>434</v>
      </c>
      <c r="C5171" s="121">
        <v>1</v>
      </c>
      <c r="D5171" s="734">
        <v>5</v>
      </c>
      <c r="E5171" s="733"/>
    </row>
    <row r="5172" spans="2:5">
      <c r="B5172" s="121">
        <v>435</v>
      </c>
      <c r="C5172" s="121">
        <v>1</v>
      </c>
      <c r="D5172" s="734">
        <v>5</v>
      </c>
      <c r="E5172" s="733"/>
    </row>
    <row r="5173" spans="2:5">
      <c r="B5173" s="121">
        <v>435</v>
      </c>
      <c r="C5173" s="121">
        <v>2</v>
      </c>
      <c r="D5173" s="734">
        <v>98.194853977834427</v>
      </c>
      <c r="E5173" s="733"/>
    </row>
    <row r="5174" spans="2:5">
      <c r="B5174" s="121">
        <v>435</v>
      </c>
      <c r="C5174" s="121">
        <v>3</v>
      </c>
      <c r="D5174" s="734">
        <v>123.74454586062022</v>
      </c>
      <c r="E5174" s="733"/>
    </row>
    <row r="5175" spans="2:5">
      <c r="B5175" s="121">
        <v>435</v>
      </c>
      <c r="C5175" s="121">
        <v>4</v>
      </c>
      <c r="D5175" s="734">
        <v>139.47178584991045</v>
      </c>
      <c r="E5175" s="733"/>
    </row>
    <row r="5176" spans="2:5">
      <c r="B5176" s="121">
        <v>435</v>
      </c>
      <c r="C5176" s="121">
        <v>5</v>
      </c>
      <c r="D5176" s="734">
        <v>143.27051576028592</v>
      </c>
      <c r="E5176" s="733"/>
    </row>
    <row r="5177" spans="2:5">
      <c r="B5177" s="121">
        <v>435</v>
      </c>
      <c r="C5177" s="121">
        <v>6</v>
      </c>
      <c r="D5177" s="734">
        <v>142.272384563396</v>
      </c>
      <c r="E5177" s="733"/>
    </row>
    <row r="5178" spans="2:5">
      <c r="B5178" s="121">
        <v>435</v>
      </c>
      <c r="C5178" s="121">
        <v>7</v>
      </c>
      <c r="D5178" s="734">
        <v>141.91574793081207</v>
      </c>
      <c r="E5178" s="733"/>
    </row>
    <row r="5179" spans="2:5">
      <c r="B5179" s="121">
        <v>435</v>
      </c>
      <c r="C5179" s="121">
        <v>8</v>
      </c>
      <c r="D5179" s="734">
        <v>134.69959827241894</v>
      </c>
      <c r="E5179" s="733"/>
    </row>
    <row r="5180" spans="2:5">
      <c r="B5180" s="121">
        <v>435</v>
      </c>
      <c r="C5180" s="121">
        <v>9</v>
      </c>
      <c r="D5180" s="734">
        <v>139.81789522074138</v>
      </c>
      <c r="E5180" s="733"/>
    </row>
    <row r="5181" spans="2:5">
      <c r="B5181" s="121">
        <v>436</v>
      </c>
      <c r="C5181" s="121">
        <v>1</v>
      </c>
      <c r="D5181" s="734">
        <v>5</v>
      </c>
      <c r="E5181" s="733"/>
    </row>
    <row r="5182" spans="2:5">
      <c r="B5182" s="121">
        <v>436</v>
      </c>
      <c r="C5182" s="121">
        <v>2</v>
      </c>
      <c r="D5182" s="734">
        <v>96.941395278940661</v>
      </c>
      <c r="E5182" s="733"/>
    </row>
    <row r="5183" spans="2:5">
      <c r="B5183" s="121">
        <v>436</v>
      </c>
      <c r="C5183" s="121">
        <v>3</v>
      </c>
      <c r="D5183" s="734">
        <v>124.19618613094326</v>
      </c>
      <c r="E5183" s="733"/>
    </row>
    <row r="5184" spans="2:5">
      <c r="B5184" s="121">
        <v>436</v>
      </c>
      <c r="C5184" s="121">
        <v>4</v>
      </c>
      <c r="D5184" s="734">
        <v>135.67622024064352</v>
      </c>
      <c r="E5184" s="733"/>
    </row>
    <row r="5185" spans="2:5">
      <c r="B5185" s="121">
        <v>436</v>
      </c>
      <c r="C5185" s="121">
        <v>5</v>
      </c>
      <c r="D5185" s="734">
        <v>140.9827134438267</v>
      </c>
      <c r="E5185" s="733"/>
    </row>
    <row r="5186" spans="2:5">
      <c r="B5186" s="121">
        <v>436</v>
      </c>
      <c r="C5186" s="121">
        <v>6</v>
      </c>
      <c r="D5186" s="734">
        <v>139.21041055370125</v>
      </c>
      <c r="E5186" s="733"/>
    </row>
    <row r="5187" spans="2:5">
      <c r="B5187" s="121">
        <v>436</v>
      </c>
      <c r="C5187" s="121">
        <v>7</v>
      </c>
      <c r="D5187" s="734">
        <v>138.7207310193748</v>
      </c>
      <c r="E5187" s="733"/>
    </row>
    <row r="5188" spans="2:5">
      <c r="B5188" s="121">
        <v>436</v>
      </c>
      <c r="C5188" s="121">
        <v>8</v>
      </c>
      <c r="D5188" s="734">
        <v>144.01857987246899</v>
      </c>
      <c r="E5188" s="733"/>
    </row>
    <row r="5189" spans="2:5">
      <c r="B5189" s="121">
        <v>436</v>
      </c>
      <c r="C5189" s="121">
        <v>9</v>
      </c>
      <c r="D5189" s="734">
        <v>143.45989177541554</v>
      </c>
      <c r="E5189" s="733"/>
    </row>
    <row r="5190" spans="2:5">
      <c r="B5190" s="121">
        <v>436</v>
      </c>
      <c r="C5190" s="121">
        <v>10</v>
      </c>
      <c r="D5190" s="734">
        <v>143.0086991060916</v>
      </c>
      <c r="E5190" s="733"/>
    </row>
    <row r="5191" spans="2:5">
      <c r="B5191" s="121">
        <v>436</v>
      </c>
      <c r="C5191" s="121">
        <v>11</v>
      </c>
      <c r="D5191" s="734">
        <v>143.02751286633236</v>
      </c>
      <c r="E5191" s="733"/>
    </row>
    <row r="5192" spans="2:5">
      <c r="B5192" s="121">
        <v>436</v>
      </c>
      <c r="C5192" s="121">
        <v>12</v>
      </c>
      <c r="D5192" s="734">
        <v>145.69341903175604</v>
      </c>
      <c r="E5192" s="733"/>
    </row>
    <row r="5193" spans="2:5">
      <c r="B5193" s="121">
        <v>436</v>
      </c>
      <c r="C5193" s="121">
        <v>13</v>
      </c>
      <c r="D5193" s="734">
        <v>144.58722736813252</v>
      </c>
      <c r="E5193" s="733"/>
    </row>
    <row r="5194" spans="2:5">
      <c r="B5194" s="121">
        <v>436</v>
      </c>
      <c r="C5194" s="121">
        <v>14</v>
      </c>
      <c r="D5194" s="734">
        <v>136.39673320496721</v>
      </c>
      <c r="E5194" s="733"/>
    </row>
    <row r="5195" spans="2:5">
      <c r="B5195" s="121">
        <v>436</v>
      </c>
      <c r="C5195" s="121">
        <v>15</v>
      </c>
      <c r="D5195" s="734">
        <v>142.73089620457191</v>
      </c>
      <c r="E5195" s="733"/>
    </row>
    <row r="5196" spans="2:5">
      <c r="B5196" s="121">
        <v>436</v>
      </c>
      <c r="C5196" s="121">
        <v>16</v>
      </c>
      <c r="D5196" s="734">
        <v>135.44134510327194</v>
      </c>
      <c r="E5196" s="733"/>
    </row>
    <row r="5197" spans="2:5">
      <c r="B5197" s="121">
        <v>436</v>
      </c>
      <c r="C5197" s="121">
        <v>17</v>
      </c>
      <c r="D5197" s="734">
        <v>144.33809240038499</v>
      </c>
      <c r="E5197" s="733"/>
    </row>
    <row r="5198" spans="2:5">
      <c r="B5198" s="121">
        <v>436</v>
      </c>
      <c r="C5198" s="121">
        <v>18</v>
      </c>
      <c r="D5198" s="734">
        <v>138.0068810726689</v>
      </c>
      <c r="E5198" s="733"/>
    </row>
    <row r="5199" spans="2:5">
      <c r="B5199" s="121">
        <v>436</v>
      </c>
      <c r="C5199" s="121">
        <v>19</v>
      </c>
      <c r="D5199" s="734">
        <v>146.74596225195944</v>
      </c>
      <c r="E5199" s="733"/>
    </row>
    <row r="5200" spans="2:5">
      <c r="B5200" s="121">
        <v>436</v>
      </c>
      <c r="C5200" s="121">
        <v>20</v>
      </c>
      <c r="D5200" s="734">
        <v>143.4079903177867</v>
      </c>
      <c r="E5200" s="733"/>
    </row>
    <row r="5201" spans="2:5">
      <c r="B5201" s="121">
        <v>436</v>
      </c>
      <c r="C5201" s="121">
        <v>21</v>
      </c>
      <c r="D5201" s="734">
        <v>134.74645377528503</v>
      </c>
      <c r="E5201" s="733"/>
    </row>
    <row r="5202" spans="2:5">
      <c r="B5202" s="121">
        <v>436</v>
      </c>
      <c r="C5202" s="121">
        <v>22</v>
      </c>
      <c r="D5202" s="734">
        <v>144.79395296873167</v>
      </c>
      <c r="E5202" s="733"/>
    </row>
    <row r="5203" spans="2:5">
      <c r="B5203" s="121">
        <v>436</v>
      </c>
      <c r="C5203" s="121">
        <v>23</v>
      </c>
      <c r="D5203" s="734">
        <v>136.70577054981098</v>
      </c>
      <c r="E5203" s="733"/>
    </row>
    <row r="5204" spans="2:5">
      <c r="B5204" s="121">
        <v>437</v>
      </c>
      <c r="C5204" s="121">
        <v>1</v>
      </c>
      <c r="D5204" s="734">
        <v>5</v>
      </c>
      <c r="E5204" s="733"/>
    </row>
    <row r="5205" spans="2:5">
      <c r="B5205" s="121">
        <v>437</v>
      </c>
      <c r="C5205" s="121">
        <v>2</v>
      </c>
      <c r="D5205" s="734">
        <v>98.017178691610169</v>
      </c>
      <c r="E5205" s="733"/>
    </row>
    <row r="5206" spans="2:5">
      <c r="B5206" s="121">
        <v>437</v>
      </c>
      <c r="C5206" s="121">
        <v>3</v>
      </c>
      <c r="D5206" s="734">
        <v>115.92359094439021</v>
      </c>
      <c r="E5206" s="733"/>
    </row>
    <row r="5207" spans="2:5">
      <c r="B5207" s="121">
        <v>437</v>
      </c>
      <c r="C5207" s="121">
        <v>4</v>
      </c>
      <c r="D5207" s="734">
        <v>135.02790119418066</v>
      </c>
      <c r="E5207" s="733"/>
    </row>
    <row r="5208" spans="2:5">
      <c r="B5208" s="121">
        <v>437</v>
      </c>
      <c r="C5208" s="121">
        <v>5</v>
      </c>
      <c r="D5208" s="734">
        <v>144.24481050134642</v>
      </c>
      <c r="E5208" s="733"/>
    </row>
    <row r="5209" spans="2:5">
      <c r="B5209" s="121">
        <v>437</v>
      </c>
      <c r="C5209" s="121">
        <v>6</v>
      </c>
      <c r="D5209" s="734">
        <v>142.21180862816408</v>
      </c>
      <c r="E5209" s="733"/>
    </row>
    <row r="5210" spans="2:5">
      <c r="B5210" s="121">
        <v>437</v>
      </c>
      <c r="C5210" s="121">
        <v>7</v>
      </c>
      <c r="D5210" s="734">
        <v>140.0361711532949</v>
      </c>
      <c r="E5210" s="733"/>
    </row>
    <row r="5211" spans="2:5">
      <c r="B5211" s="121">
        <v>437</v>
      </c>
      <c r="C5211" s="121">
        <v>8</v>
      </c>
      <c r="D5211" s="734">
        <v>145.33603874286166</v>
      </c>
      <c r="E5211" s="733"/>
    </row>
    <row r="5212" spans="2:5">
      <c r="B5212" s="121">
        <v>437</v>
      </c>
      <c r="C5212" s="121">
        <v>9</v>
      </c>
      <c r="D5212" s="734">
        <v>136.52307550616476</v>
      </c>
      <c r="E5212" s="733"/>
    </row>
    <row r="5213" spans="2:5">
      <c r="B5213" s="121">
        <v>437</v>
      </c>
      <c r="C5213" s="121">
        <v>10</v>
      </c>
      <c r="D5213" s="734">
        <v>135.61175668811228</v>
      </c>
      <c r="E5213" s="733"/>
    </row>
    <row r="5214" spans="2:5">
      <c r="B5214" s="121">
        <v>437</v>
      </c>
      <c r="C5214" s="121">
        <v>11</v>
      </c>
      <c r="D5214" s="734">
        <v>133.93510492291236</v>
      </c>
      <c r="E5214" s="733"/>
    </row>
    <row r="5215" spans="2:5">
      <c r="B5215" s="121">
        <v>437</v>
      </c>
      <c r="C5215" s="121">
        <v>12</v>
      </c>
      <c r="D5215" s="734">
        <v>134.05912637861312</v>
      </c>
      <c r="E5215" s="733"/>
    </row>
    <row r="5216" spans="2:5">
      <c r="B5216" s="121">
        <v>437</v>
      </c>
      <c r="C5216" s="121">
        <v>13</v>
      </c>
      <c r="D5216" s="734">
        <v>140.31700783145538</v>
      </c>
      <c r="E5216" s="733"/>
    </row>
    <row r="5217" spans="2:5">
      <c r="B5217" s="121">
        <v>437</v>
      </c>
      <c r="C5217" s="121">
        <v>14</v>
      </c>
      <c r="D5217" s="734">
        <v>142.36358340233889</v>
      </c>
      <c r="E5217" s="733"/>
    </row>
    <row r="5218" spans="2:5">
      <c r="B5218" s="121">
        <v>437</v>
      </c>
      <c r="C5218" s="121">
        <v>15</v>
      </c>
      <c r="D5218" s="734">
        <v>134.47607515018098</v>
      </c>
      <c r="E5218" s="733"/>
    </row>
    <row r="5219" spans="2:5">
      <c r="B5219" s="121">
        <v>437</v>
      </c>
      <c r="C5219" s="121">
        <v>16</v>
      </c>
      <c r="D5219" s="734">
        <v>137.90306542570374</v>
      </c>
      <c r="E5219" s="733"/>
    </row>
    <row r="5220" spans="2:5">
      <c r="B5220" s="121">
        <v>437</v>
      </c>
      <c r="C5220" s="121">
        <v>17</v>
      </c>
      <c r="D5220" s="734">
        <v>146.9000385374718</v>
      </c>
      <c r="E5220" s="733"/>
    </row>
    <row r="5221" spans="2:5">
      <c r="B5221" s="121">
        <v>438</v>
      </c>
      <c r="C5221" s="121">
        <v>1</v>
      </c>
      <c r="D5221" s="734">
        <v>5</v>
      </c>
      <c r="E5221" s="733"/>
    </row>
    <row r="5222" spans="2:5">
      <c r="B5222" s="121">
        <v>439</v>
      </c>
      <c r="C5222" s="121">
        <v>1</v>
      </c>
      <c r="D5222" s="734">
        <v>5</v>
      </c>
      <c r="E5222" s="733"/>
    </row>
    <row r="5223" spans="2:5">
      <c r="B5223" s="121">
        <v>439</v>
      </c>
      <c r="C5223" s="121">
        <v>2</v>
      </c>
      <c r="D5223" s="734">
        <v>100.07286403651432</v>
      </c>
      <c r="E5223" s="733"/>
    </row>
    <row r="5224" spans="2:5">
      <c r="B5224" s="121">
        <v>439</v>
      </c>
      <c r="C5224" s="121">
        <v>3</v>
      </c>
      <c r="D5224" s="734">
        <v>123.86106113010389</v>
      </c>
      <c r="E5224" s="733"/>
    </row>
    <row r="5225" spans="2:5">
      <c r="B5225" s="121">
        <v>439</v>
      </c>
      <c r="C5225" s="121">
        <v>4</v>
      </c>
      <c r="D5225" s="734">
        <v>144.67994688009372</v>
      </c>
      <c r="E5225" s="733"/>
    </row>
    <row r="5226" spans="2:5">
      <c r="B5226" s="121">
        <v>439</v>
      </c>
      <c r="C5226" s="121">
        <v>5</v>
      </c>
      <c r="D5226" s="734">
        <v>134.3599461624558</v>
      </c>
      <c r="E5226" s="733"/>
    </row>
    <row r="5227" spans="2:5">
      <c r="B5227" s="121">
        <v>439</v>
      </c>
      <c r="C5227" s="121">
        <v>6</v>
      </c>
      <c r="D5227" s="734">
        <v>136.70120187931172</v>
      </c>
      <c r="E5227" s="733"/>
    </row>
    <row r="5228" spans="2:5">
      <c r="B5228" s="121">
        <v>439</v>
      </c>
      <c r="C5228" s="121">
        <v>7</v>
      </c>
      <c r="D5228" s="734">
        <v>141.41113716069768</v>
      </c>
      <c r="E5228" s="733"/>
    </row>
    <row r="5229" spans="2:5">
      <c r="B5229" s="121">
        <v>439</v>
      </c>
      <c r="C5229" s="121">
        <v>8</v>
      </c>
      <c r="D5229" s="734">
        <v>146.70344867703011</v>
      </c>
      <c r="E5229" s="733"/>
    </row>
    <row r="5230" spans="2:5">
      <c r="B5230" s="121">
        <v>439</v>
      </c>
      <c r="C5230" s="121">
        <v>9</v>
      </c>
      <c r="D5230" s="734">
        <v>139.59775248139451</v>
      </c>
      <c r="E5230" s="733"/>
    </row>
    <row r="5231" spans="2:5">
      <c r="B5231" s="121">
        <v>439</v>
      </c>
      <c r="C5231" s="121">
        <v>10</v>
      </c>
      <c r="D5231" s="734">
        <v>133.74695378279185</v>
      </c>
      <c r="E5231" s="733"/>
    </row>
    <row r="5232" spans="2:5">
      <c r="B5232" s="121">
        <v>439</v>
      </c>
      <c r="C5232" s="121">
        <v>11</v>
      </c>
      <c r="D5232" s="734">
        <v>143.59012689780167</v>
      </c>
      <c r="E5232" s="733"/>
    </row>
    <row r="5233" spans="2:5">
      <c r="B5233" s="121">
        <v>440</v>
      </c>
      <c r="C5233" s="121">
        <v>1</v>
      </c>
      <c r="D5233" s="734">
        <v>5</v>
      </c>
      <c r="E5233" s="733"/>
    </row>
    <row r="5234" spans="2:5">
      <c r="B5234" s="121">
        <v>440</v>
      </c>
      <c r="C5234" s="121">
        <v>2</v>
      </c>
      <c r="D5234" s="734">
        <v>103.07102616764685</v>
      </c>
      <c r="E5234" s="733"/>
    </row>
    <row r="5235" spans="2:5">
      <c r="B5235" s="121">
        <v>440</v>
      </c>
      <c r="C5235" s="121">
        <v>3</v>
      </c>
      <c r="D5235" s="734">
        <v>122.94181801294047</v>
      </c>
      <c r="E5235" s="733"/>
    </row>
    <row r="5236" spans="2:5">
      <c r="B5236" s="121">
        <v>440</v>
      </c>
      <c r="C5236" s="121">
        <v>4</v>
      </c>
      <c r="D5236" s="734">
        <v>136.67034395224104</v>
      </c>
      <c r="E5236" s="733"/>
    </row>
    <row r="5237" spans="2:5">
      <c r="B5237" s="121">
        <v>440</v>
      </c>
      <c r="C5237" s="121">
        <v>5</v>
      </c>
      <c r="D5237" s="734">
        <v>146.50928561382821</v>
      </c>
      <c r="E5237" s="733"/>
    </row>
    <row r="5238" spans="2:5">
      <c r="B5238" s="121">
        <v>440</v>
      </c>
      <c r="C5238" s="121">
        <v>6</v>
      </c>
      <c r="D5238" s="734">
        <v>135.63929542016604</v>
      </c>
      <c r="E5238" s="733"/>
    </row>
    <row r="5239" spans="2:5">
      <c r="B5239" s="121">
        <v>440</v>
      </c>
      <c r="C5239" s="121">
        <v>7</v>
      </c>
      <c r="D5239" s="734">
        <v>144.96960500611317</v>
      </c>
      <c r="E5239" s="733"/>
    </row>
    <row r="5240" spans="2:5">
      <c r="B5240" s="121">
        <v>440</v>
      </c>
      <c r="C5240" s="121">
        <v>8</v>
      </c>
      <c r="D5240" s="734">
        <v>136.51389018858336</v>
      </c>
      <c r="E5240" s="733"/>
    </row>
    <row r="5241" spans="2:5">
      <c r="B5241" s="121">
        <v>440</v>
      </c>
      <c r="C5241" s="121">
        <v>9</v>
      </c>
      <c r="D5241" s="734">
        <v>135.22228008147323</v>
      </c>
      <c r="E5241" s="733"/>
    </row>
    <row r="5242" spans="2:5">
      <c r="B5242" s="121">
        <v>440</v>
      </c>
      <c r="C5242" s="121">
        <v>10</v>
      </c>
      <c r="D5242" s="734">
        <v>145.73740314347822</v>
      </c>
      <c r="E5242" s="733"/>
    </row>
    <row r="5243" spans="2:5">
      <c r="B5243" s="121">
        <v>440</v>
      </c>
      <c r="C5243" s="121">
        <v>11</v>
      </c>
      <c r="D5243" s="734">
        <v>146.08545226213946</v>
      </c>
      <c r="E5243" s="733"/>
    </row>
    <row r="5244" spans="2:5">
      <c r="B5244" s="121">
        <v>440</v>
      </c>
      <c r="C5244" s="121">
        <v>12</v>
      </c>
      <c r="D5244" s="734">
        <v>140.86600772470018</v>
      </c>
      <c r="E5244" s="733"/>
    </row>
    <row r="5245" spans="2:5">
      <c r="B5245" s="121">
        <v>440</v>
      </c>
      <c r="C5245" s="121">
        <v>13</v>
      </c>
      <c r="D5245" s="734">
        <v>139.72407600171965</v>
      </c>
      <c r="E5245" s="733"/>
    </row>
    <row r="5246" spans="2:5">
      <c r="B5246" s="121">
        <v>440</v>
      </c>
      <c r="C5246" s="121">
        <v>14</v>
      </c>
      <c r="D5246" s="734">
        <v>135.38896104170479</v>
      </c>
      <c r="E5246" s="733"/>
    </row>
    <row r="5247" spans="2:5">
      <c r="B5247" s="121">
        <v>440</v>
      </c>
      <c r="C5247" s="121">
        <v>15</v>
      </c>
      <c r="D5247" s="734">
        <v>133.68766423592967</v>
      </c>
      <c r="E5247" s="733"/>
    </row>
    <row r="5248" spans="2:5">
      <c r="B5248" s="121">
        <v>440</v>
      </c>
      <c r="C5248" s="121">
        <v>16</v>
      </c>
      <c r="D5248" s="734">
        <v>138.33667330388084</v>
      </c>
      <c r="E5248" s="733"/>
    </row>
    <row r="5249" spans="2:5">
      <c r="B5249" s="121">
        <v>440</v>
      </c>
      <c r="C5249" s="121">
        <v>17</v>
      </c>
      <c r="D5249" s="734">
        <v>142.81435471065618</v>
      </c>
      <c r="E5249" s="733"/>
    </row>
    <row r="5250" spans="2:5">
      <c r="B5250" s="121">
        <v>440</v>
      </c>
      <c r="C5250" s="121">
        <v>18</v>
      </c>
      <c r="D5250" s="734">
        <v>138.7534850345113</v>
      </c>
      <c r="E5250" s="733"/>
    </row>
    <row r="5251" spans="2:5">
      <c r="B5251" s="121">
        <v>440</v>
      </c>
      <c r="C5251" s="121">
        <v>19</v>
      </c>
      <c r="D5251" s="734">
        <v>135.31653035595389</v>
      </c>
      <c r="E5251" s="733"/>
    </row>
    <row r="5252" spans="2:5">
      <c r="B5252" s="121">
        <v>440</v>
      </c>
      <c r="C5252" s="121">
        <v>20</v>
      </c>
      <c r="D5252" s="734">
        <v>135.99169284554182</v>
      </c>
      <c r="E5252" s="733"/>
    </row>
    <row r="5253" spans="2:5">
      <c r="B5253" s="121">
        <v>440</v>
      </c>
      <c r="C5253" s="121">
        <v>21</v>
      </c>
      <c r="D5253" s="734">
        <v>146.86144296324753</v>
      </c>
      <c r="E5253" s="733"/>
    </row>
    <row r="5254" spans="2:5">
      <c r="B5254" s="121">
        <v>440</v>
      </c>
      <c r="C5254" s="121">
        <v>22</v>
      </c>
      <c r="D5254" s="734">
        <v>145.86333846858915</v>
      </c>
      <c r="E5254" s="733"/>
    </row>
    <row r="5255" spans="2:5">
      <c r="B5255" s="121">
        <v>440</v>
      </c>
      <c r="C5255" s="121">
        <v>23</v>
      </c>
      <c r="D5255" s="734">
        <v>145.73718790685624</v>
      </c>
      <c r="E5255" s="733"/>
    </row>
    <row r="5256" spans="2:5">
      <c r="B5256" s="121">
        <v>440</v>
      </c>
      <c r="C5256" s="121">
        <v>24</v>
      </c>
      <c r="D5256" s="734">
        <v>146.49200697949564</v>
      </c>
      <c r="E5256" s="733"/>
    </row>
    <row r="5257" spans="2:5">
      <c r="B5257" s="121">
        <v>440</v>
      </c>
      <c r="C5257" s="121">
        <v>25</v>
      </c>
      <c r="D5257" s="734">
        <v>140.9703138066829</v>
      </c>
      <c r="E5257" s="733"/>
    </row>
    <row r="5258" spans="2:5">
      <c r="B5258" s="121">
        <v>440</v>
      </c>
      <c r="C5258" s="121">
        <v>26</v>
      </c>
      <c r="D5258" s="734">
        <v>145.75904524984205</v>
      </c>
      <c r="E5258" s="733"/>
    </row>
    <row r="5259" spans="2:5">
      <c r="B5259" s="121">
        <v>440</v>
      </c>
      <c r="C5259" s="121">
        <v>27</v>
      </c>
      <c r="D5259" s="734">
        <v>135.7105567384971</v>
      </c>
      <c r="E5259" s="733"/>
    </row>
    <row r="5260" spans="2:5">
      <c r="B5260" s="121">
        <v>440</v>
      </c>
      <c r="C5260" s="121">
        <v>28</v>
      </c>
      <c r="D5260" s="734">
        <v>143.82620111433724</v>
      </c>
      <c r="E5260" s="733"/>
    </row>
    <row r="5261" spans="2:5">
      <c r="B5261" s="121">
        <v>440</v>
      </c>
      <c r="C5261" s="121">
        <v>29</v>
      </c>
      <c r="D5261" s="734">
        <v>144.53431407066907</v>
      </c>
      <c r="E5261" s="733"/>
    </row>
    <row r="5262" spans="2:5">
      <c r="B5262" s="121">
        <v>440</v>
      </c>
      <c r="C5262" s="121">
        <v>30</v>
      </c>
      <c r="D5262" s="734">
        <v>142.97548405780395</v>
      </c>
      <c r="E5262" s="733"/>
    </row>
    <row r="5263" spans="2:5">
      <c r="B5263" s="121">
        <v>440</v>
      </c>
      <c r="C5263" s="121">
        <v>31</v>
      </c>
      <c r="D5263" s="734">
        <v>134.73258284460334</v>
      </c>
      <c r="E5263" s="733"/>
    </row>
    <row r="5264" spans="2:5">
      <c r="B5264" s="121">
        <v>440</v>
      </c>
      <c r="C5264" s="121">
        <v>32</v>
      </c>
      <c r="D5264" s="734">
        <v>145.3239939346048</v>
      </c>
      <c r="E5264" s="733"/>
    </row>
    <row r="5265" spans="2:5">
      <c r="B5265" s="121">
        <v>440</v>
      </c>
      <c r="C5265" s="121">
        <v>33</v>
      </c>
      <c r="D5265" s="734">
        <v>137.97263229670008</v>
      </c>
      <c r="E5265" s="733"/>
    </row>
    <row r="5266" spans="2:5">
      <c r="B5266" s="121">
        <v>440</v>
      </c>
      <c r="C5266" s="121">
        <v>34</v>
      </c>
      <c r="D5266" s="734">
        <v>137.47045582370475</v>
      </c>
      <c r="E5266" s="733"/>
    </row>
    <row r="5267" spans="2:5">
      <c r="B5267" s="121">
        <v>440</v>
      </c>
      <c r="C5267" s="121">
        <v>35</v>
      </c>
      <c r="D5267" s="734">
        <v>140.93890460574173</v>
      </c>
      <c r="E5267" s="733"/>
    </row>
    <row r="5268" spans="2:5">
      <c r="B5268" s="121">
        <v>440</v>
      </c>
      <c r="C5268" s="121">
        <v>36</v>
      </c>
      <c r="D5268" s="734">
        <v>143.91835658565694</v>
      </c>
      <c r="E5268" s="733"/>
    </row>
    <row r="5269" spans="2:5">
      <c r="B5269" s="121">
        <v>441</v>
      </c>
      <c r="C5269" s="121">
        <v>1</v>
      </c>
      <c r="D5269" s="734">
        <v>5</v>
      </c>
      <c r="E5269" s="733"/>
    </row>
    <row r="5270" spans="2:5">
      <c r="B5270" s="121">
        <v>441</v>
      </c>
      <c r="C5270" s="121">
        <v>2</v>
      </c>
      <c r="D5270" s="734">
        <v>95.420612401693433</v>
      </c>
      <c r="E5270" s="733"/>
    </row>
    <row r="5271" spans="2:5">
      <c r="B5271" s="121">
        <v>441</v>
      </c>
      <c r="C5271" s="121">
        <v>3</v>
      </c>
      <c r="D5271" s="734">
        <v>121.49016096308031</v>
      </c>
      <c r="E5271" s="733"/>
    </row>
    <row r="5272" spans="2:5">
      <c r="B5272" s="121">
        <v>441</v>
      </c>
      <c r="C5272" s="121">
        <v>4</v>
      </c>
      <c r="D5272" s="734">
        <v>147.02166059529674</v>
      </c>
      <c r="E5272" s="733"/>
    </row>
    <row r="5273" spans="2:5">
      <c r="B5273" s="121">
        <v>441</v>
      </c>
      <c r="C5273" s="121">
        <v>5</v>
      </c>
      <c r="D5273" s="734">
        <v>139.67207076287491</v>
      </c>
      <c r="E5273" s="733"/>
    </row>
    <row r="5274" spans="2:5">
      <c r="B5274" s="121">
        <v>441</v>
      </c>
      <c r="C5274" s="121">
        <v>6</v>
      </c>
      <c r="D5274" s="734">
        <v>144.58894856594557</v>
      </c>
      <c r="E5274" s="733"/>
    </row>
    <row r="5275" spans="2:5">
      <c r="B5275" s="121">
        <v>441</v>
      </c>
      <c r="C5275" s="121">
        <v>7</v>
      </c>
      <c r="D5275" s="734">
        <v>146.22549529502945</v>
      </c>
      <c r="E5275" s="733"/>
    </row>
    <row r="5276" spans="2:5">
      <c r="B5276" s="121">
        <v>441</v>
      </c>
      <c r="C5276" s="121">
        <v>8</v>
      </c>
      <c r="D5276" s="734">
        <v>140.55695415013764</v>
      </c>
      <c r="E5276" s="733"/>
    </row>
    <row r="5277" spans="2:5">
      <c r="B5277" s="121">
        <v>442</v>
      </c>
      <c r="C5277" s="121">
        <v>1</v>
      </c>
      <c r="D5277" s="734">
        <v>5</v>
      </c>
      <c r="E5277" s="733"/>
    </row>
    <row r="5278" spans="2:5">
      <c r="B5278" s="121">
        <v>442</v>
      </c>
      <c r="C5278" s="121">
        <v>2</v>
      </c>
      <c r="D5278" s="734">
        <v>97.131758912533996</v>
      </c>
      <c r="E5278" s="733"/>
    </row>
    <row r="5279" spans="2:5">
      <c r="B5279" s="121">
        <v>442</v>
      </c>
      <c r="C5279" s="121">
        <v>3</v>
      </c>
      <c r="D5279" s="734">
        <v>118.88019965361127</v>
      </c>
      <c r="E5279" s="733"/>
    </row>
    <row r="5280" spans="2:5">
      <c r="B5280" s="121">
        <v>442</v>
      </c>
      <c r="C5280" s="121">
        <v>4</v>
      </c>
      <c r="D5280" s="734">
        <v>140.07077192212398</v>
      </c>
      <c r="E5280" s="733"/>
    </row>
    <row r="5281" spans="2:5">
      <c r="B5281" s="121">
        <v>442</v>
      </c>
      <c r="C5281" s="121">
        <v>5</v>
      </c>
      <c r="D5281" s="734">
        <v>135.48400382493347</v>
      </c>
      <c r="E5281" s="733"/>
    </row>
    <row r="5282" spans="2:5">
      <c r="B5282" s="121">
        <v>442</v>
      </c>
      <c r="C5282" s="121">
        <v>6</v>
      </c>
      <c r="D5282" s="734">
        <v>138.2195595608402</v>
      </c>
      <c r="E5282" s="733"/>
    </row>
    <row r="5283" spans="2:5">
      <c r="B5283" s="121">
        <v>442</v>
      </c>
      <c r="C5283" s="121">
        <v>7</v>
      </c>
      <c r="D5283" s="734">
        <v>133.92103818420821</v>
      </c>
      <c r="E5283" s="733"/>
    </row>
    <row r="5284" spans="2:5">
      <c r="B5284" s="121">
        <v>442</v>
      </c>
      <c r="C5284" s="121">
        <v>8</v>
      </c>
      <c r="D5284" s="734">
        <v>137.41390029867824</v>
      </c>
      <c r="E5284" s="733"/>
    </row>
    <row r="5285" spans="2:5">
      <c r="B5285" s="121">
        <v>442</v>
      </c>
      <c r="C5285" s="121">
        <v>9</v>
      </c>
      <c r="D5285" s="734">
        <v>136.58797392677559</v>
      </c>
      <c r="E5285" s="733"/>
    </row>
    <row r="5286" spans="2:5">
      <c r="B5286" s="121">
        <v>442</v>
      </c>
      <c r="C5286" s="121">
        <v>10</v>
      </c>
      <c r="D5286" s="734">
        <v>140.46599379487131</v>
      </c>
      <c r="E5286" s="733"/>
    </row>
    <row r="5287" spans="2:5">
      <c r="B5287" s="121">
        <v>442</v>
      </c>
      <c r="C5287" s="121">
        <v>11</v>
      </c>
      <c r="D5287" s="734">
        <v>147.03110075656741</v>
      </c>
      <c r="E5287" s="733"/>
    </row>
    <row r="5288" spans="2:5">
      <c r="B5288" s="121">
        <v>442</v>
      </c>
      <c r="C5288" s="121">
        <v>12</v>
      </c>
      <c r="D5288" s="734">
        <v>144.86192932035502</v>
      </c>
      <c r="E5288" s="733"/>
    </row>
    <row r="5289" spans="2:5">
      <c r="B5289" s="121">
        <v>442</v>
      </c>
      <c r="C5289" s="121">
        <v>13</v>
      </c>
      <c r="D5289" s="734">
        <v>142.66479719198176</v>
      </c>
      <c r="E5289" s="733"/>
    </row>
    <row r="5290" spans="2:5">
      <c r="B5290" s="121">
        <v>442</v>
      </c>
      <c r="C5290" s="121">
        <v>14</v>
      </c>
      <c r="D5290" s="734">
        <v>144.59123916529015</v>
      </c>
      <c r="E5290" s="733"/>
    </row>
    <row r="5291" spans="2:5">
      <c r="B5291" s="121">
        <v>442</v>
      </c>
      <c r="C5291" s="121">
        <v>15</v>
      </c>
      <c r="D5291" s="734">
        <v>144.62339573921798</v>
      </c>
      <c r="E5291" s="733"/>
    </row>
    <row r="5292" spans="2:5">
      <c r="B5292" s="121">
        <v>442</v>
      </c>
      <c r="C5292" s="121">
        <v>16</v>
      </c>
      <c r="D5292" s="734">
        <v>136.92321869725328</v>
      </c>
      <c r="E5292" s="733"/>
    </row>
    <row r="5293" spans="2:5">
      <c r="B5293" s="121">
        <v>442</v>
      </c>
      <c r="C5293" s="121">
        <v>17</v>
      </c>
      <c r="D5293" s="734">
        <v>141.37342765903529</v>
      </c>
      <c r="E5293" s="733"/>
    </row>
    <row r="5294" spans="2:5">
      <c r="B5294" s="121">
        <v>442</v>
      </c>
      <c r="C5294" s="121">
        <v>18</v>
      </c>
      <c r="D5294" s="734">
        <v>146.71141536149392</v>
      </c>
      <c r="E5294" s="733"/>
    </row>
    <row r="5295" spans="2:5">
      <c r="B5295" s="121">
        <v>442</v>
      </c>
      <c r="C5295" s="121">
        <v>19</v>
      </c>
      <c r="D5295" s="734">
        <v>139.29196994221837</v>
      </c>
      <c r="E5295" s="733"/>
    </row>
    <row r="5296" spans="2:5">
      <c r="B5296" s="121">
        <v>442</v>
      </c>
      <c r="C5296" s="121">
        <v>20</v>
      </c>
      <c r="D5296" s="734">
        <v>138.41815752730886</v>
      </c>
      <c r="E5296" s="733"/>
    </row>
    <row r="5297" spans="2:5">
      <c r="B5297" s="121">
        <v>442</v>
      </c>
      <c r="C5297" s="121">
        <v>21</v>
      </c>
      <c r="D5297" s="734">
        <v>140.35041969288184</v>
      </c>
      <c r="E5297" s="733"/>
    </row>
    <row r="5298" spans="2:5">
      <c r="B5298" s="121">
        <v>442</v>
      </c>
      <c r="C5298" s="121">
        <v>22</v>
      </c>
      <c r="D5298" s="734">
        <v>144.07735937559266</v>
      </c>
      <c r="E5298" s="733"/>
    </row>
    <row r="5299" spans="2:5">
      <c r="B5299" s="121">
        <v>442</v>
      </c>
      <c r="C5299" s="121">
        <v>23</v>
      </c>
      <c r="D5299" s="734">
        <v>144.0458844956249</v>
      </c>
      <c r="E5299" s="733"/>
    </row>
    <row r="5300" spans="2:5">
      <c r="B5300" s="121">
        <v>442</v>
      </c>
      <c r="C5300" s="121">
        <v>24</v>
      </c>
      <c r="D5300" s="734">
        <v>143.83164356903217</v>
      </c>
      <c r="E5300" s="733"/>
    </row>
    <row r="5301" spans="2:5">
      <c r="B5301" s="121">
        <v>442</v>
      </c>
      <c r="C5301" s="121">
        <v>25</v>
      </c>
      <c r="D5301" s="734">
        <v>136.79450572331911</v>
      </c>
      <c r="E5301" s="733"/>
    </row>
    <row r="5302" spans="2:5">
      <c r="B5302" s="121">
        <v>442</v>
      </c>
      <c r="C5302" s="121">
        <v>26</v>
      </c>
      <c r="D5302" s="734">
        <v>144.50314298245095</v>
      </c>
      <c r="E5302" s="733"/>
    </row>
    <row r="5303" spans="2:5">
      <c r="B5303" s="121">
        <v>442</v>
      </c>
      <c r="C5303" s="121">
        <v>27</v>
      </c>
      <c r="D5303" s="734">
        <v>142.7202577397421</v>
      </c>
      <c r="E5303" s="733"/>
    </row>
    <row r="5304" spans="2:5">
      <c r="B5304" s="121">
        <v>442</v>
      </c>
      <c r="C5304" s="121">
        <v>28</v>
      </c>
      <c r="D5304" s="734">
        <v>137.6426352912911</v>
      </c>
      <c r="E5304" s="733"/>
    </row>
    <row r="5305" spans="2:5">
      <c r="B5305" s="121">
        <v>442</v>
      </c>
      <c r="C5305" s="121">
        <v>29</v>
      </c>
      <c r="D5305" s="734">
        <v>142.58053152947559</v>
      </c>
      <c r="E5305" s="733"/>
    </row>
    <row r="5306" spans="2:5">
      <c r="B5306" s="121">
        <v>442</v>
      </c>
      <c r="C5306" s="121">
        <v>30</v>
      </c>
      <c r="D5306" s="734">
        <v>147.07260380652264</v>
      </c>
      <c r="E5306" s="733"/>
    </row>
    <row r="5307" spans="2:5">
      <c r="B5307" s="121">
        <v>442</v>
      </c>
      <c r="C5307" s="121">
        <v>31</v>
      </c>
      <c r="D5307" s="734">
        <v>144.48722812992429</v>
      </c>
      <c r="E5307" s="733"/>
    </row>
    <row r="5308" spans="2:5">
      <c r="B5308" s="121">
        <v>442</v>
      </c>
      <c r="C5308" s="121">
        <v>32</v>
      </c>
      <c r="D5308" s="734">
        <v>137.74126495094222</v>
      </c>
      <c r="E5308" s="733"/>
    </row>
    <row r="5309" spans="2:5">
      <c r="B5309" s="121">
        <v>442</v>
      </c>
      <c r="C5309" s="121">
        <v>33</v>
      </c>
      <c r="D5309" s="734">
        <v>146.00016304919947</v>
      </c>
      <c r="E5309" s="733"/>
    </row>
    <row r="5310" spans="2:5">
      <c r="B5310" s="121">
        <v>442</v>
      </c>
      <c r="C5310" s="121">
        <v>34</v>
      </c>
      <c r="D5310" s="734">
        <v>134.60948938006726</v>
      </c>
      <c r="E5310" s="733"/>
    </row>
    <row r="5311" spans="2:5">
      <c r="B5311" s="121">
        <v>442</v>
      </c>
      <c r="C5311" s="121">
        <v>35</v>
      </c>
      <c r="D5311" s="734">
        <v>143.58945070660101</v>
      </c>
      <c r="E5311" s="733"/>
    </row>
    <row r="5312" spans="2:5">
      <c r="B5312" s="121">
        <v>442</v>
      </c>
      <c r="C5312" s="121">
        <v>36</v>
      </c>
      <c r="D5312" s="734">
        <v>138.38461427854583</v>
      </c>
      <c r="E5312" s="733"/>
    </row>
    <row r="5313" spans="2:5">
      <c r="B5313" s="121">
        <v>443</v>
      </c>
      <c r="C5313" s="121">
        <v>1</v>
      </c>
      <c r="D5313" s="734">
        <v>5</v>
      </c>
      <c r="E5313" s="733"/>
    </row>
    <row r="5314" spans="2:5">
      <c r="B5314" s="121">
        <v>443</v>
      </c>
      <c r="C5314" s="121">
        <v>2</v>
      </c>
      <c r="D5314" s="734">
        <v>95.324492384434762</v>
      </c>
      <c r="E5314" s="733"/>
    </row>
    <row r="5315" spans="2:5">
      <c r="B5315" s="121">
        <v>443</v>
      </c>
      <c r="C5315" s="121">
        <v>3</v>
      </c>
      <c r="D5315" s="734">
        <v>118.92149161098345</v>
      </c>
      <c r="E5315" s="733"/>
    </row>
    <row r="5316" spans="2:5">
      <c r="B5316" s="121">
        <v>443</v>
      </c>
      <c r="C5316" s="121">
        <v>4</v>
      </c>
      <c r="D5316" s="734">
        <v>135.85203132286622</v>
      </c>
      <c r="E5316" s="733"/>
    </row>
    <row r="5317" spans="2:5">
      <c r="B5317" s="121">
        <v>443</v>
      </c>
      <c r="C5317" s="121">
        <v>5</v>
      </c>
      <c r="D5317" s="734">
        <v>144.98056832541135</v>
      </c>
      <c r="E5317" s="733"/>
    </row>
    <row r="5318" spans="2:5">
      <c r="B5318" s="121">
        <v>443</v>
      </c>
      <c r="C5318" s="121">
        <v>6</v>
      </c>
      <c r="D5318" s="734">
        <v>138.93885156104108</v>
      </c>
      <c r="E5318" s="733"/>
    </row>
    <row r="5319" spans="2:5">
      <c r="B5319" s="121">
        <v>443</v>
      </c>
      <c r="C5319" s="121">
        <v>7</v>
      </c>
      <c r="D5319" s="734">
        <v>140.2433007776624</v>
      </c>
      <c r="E5319" s="733"/>
    </row>
    <row r="5320" spans="2:5">
      <c r="B5320" s="121">
        <v>443</v>
      </c>
      <c r="C5320" s="121">
        <v>8</v>
      </c>
      <c r="D5320" s="734">
        <v>146.72675930282659</v>
      </c>
      <c r="E5320" s="733"/>
    </row>
    <row r="5321" spans="2:5">
      <c r="B5321" s="121">
        <v>443</v>
      </c>
      <c r="C5321" s="121">
        <v>9</v>
      </c>
      <c r="D5321" s="734">
        <v>144.77296754595127</v>
      </c>
      <c r="E5321" s="733"/>
    </row>
    <row r="5322" spans="2:5">
      <c r="B5322" s="121">
        <v>443</v>
      </c>
      <c r="C5322" s="121">
        <v>10</v>
      </c>
      <c r="D5322" s="734">
        <v>138.17888208011377</v>
      </c>
      <c r="E5322" s="733"/>
    </row>
    <row r="5323" spans="2:5">
      <c r="B5323" s="121">
        <v>443</v>
      </c>
      <c r="C5323" s="121">
        <v>11</v>
      </c>
      <c r="D5323" s="734">
        <v>137.99580228454295</v>
      </c>
      <c r="E5323" s="733"/>
    </row>
    <row r="5324" spans="2:5">
      <c r="B5324" s="121">
        <v>443</v>
      </c>
      <c r="C5324" s="121">
        <v>12</v>
      </c>
      <c r="D5324" s="734">
        <v>135.73587781936286</v>
      </c>
      <c r="E5324" s="733"/>
    </row>
    <row r="5325" spans="2:5">
      <c r="B5325" s="121">
        <v>443</v>
      </c>
      <c r="C5325" s="121">
        <v>13</v>
      </c>
      <c r="D5325" s="734">
        <v>144.45530353948433</v>
      </c>
      <c r="E5325" s="733"/>
    </row>
    <row r="5326" spans="2:5">
      <c r="B5326" s="121">
        <v>443</v>
      </c>
      <c r="C5326" s="121">
        <v>14</v>
      </c>
      <c r="D5326" s="734">
        <v>143.39165653831472</v>
      </c>
      <c r="E5326" s="733"/>
    </row>
    <row r="5327" spans="2:5">
      <c r="B5327" s="121">
        <v>443</v>
      </c>
      <c r="C5327" s="121">
        <v>15</v>
      </c>
      <c r="D5327" s="734">
        <v>137.85857672747724</v>
      </c>
      <c r="E5327" s="733"/>
    </row>
    <row r="5328" spans="2:5">
      <c r="B5328" s="121">
        <v>443</v>
      </c>
      <c r="C5328" s="121">
        <v>16</v>
      </c>
      <c r="D5328" s="734">
        <v>144.95312855013248</v>
      </c>
      <c r="E5328" s="733"/>
    </row>
    <row r="5329" spans="2:5">
      <c r="B5329" s="121">
        <v>443</v>
      </c>
      <c r="C5329" s="121">
        <v>17</v>
      </c>
      <c r="D5329" s="734">
        <v>135.36974259117565</v>
      </c>
      <c r="E5329" s="733"/>
    </row>
    <row r="5330" spans="2:5">
      <c r="B5330" s="121">
        <v>443</v>
      </c>
      <c r="C5330" s="121">
        <v>18</v>
      </c>
      <c r="D5330" s="734">
        <v>139.71500990931233</v>
      </c>
      <c r="E5330" s="733"/>
    </row>
    <row r="5331" spans="2:5">
      <c r="B5331" s="121">
        <v>443</v>
      </c>
      <c r="C5331" s="121">
        <v>19</v>
      </c>
      <c r="D5331" s="734">
        <v>144.84584208288709</v>
      </c>
      <c r="E5331" s="733"/>
    </row>
    <row r="5332" spans="2:5">
      <c r="B5332" s="121">
        <v>443</v>
      </c>
      <c r="C5332" s="121">
        <v>20</v>
      </c>
      <c r="D5332" s="734">
        <v>139.78534364598929</v>
      </c>
      <c r="E5332" s="733"/>
    </row>
    <row r="5333" spans="2:5">
      <c r="B5333" s="121">
        <v>443</v>
      </c>
      <c r="C5333" s="121">
        <v>21</v>
      </c>
      <c r="D5333" s="734">
        <v>146.55016524071175</v>
      </c>
      <c r="E5333" s="733"/>
    </row>
    <row r="5334" spans="2:5">
      <c r="B5334" s="121">
        <v>443</v>
      </c>
      <c r="C5334" s="121">
        <v>22</v>
      </c>
      <c r="D5334" s="734">
        <v>141.74868901515299</v>
      </c>
      <c r="E5334" s="733"/>
    </row>
    <row r="5335" spans="2:5">
      <c r="B5335" s="121">
        <v>443</v>
      </c>
      <c r="C5335" s="121">
        <v>23</v>
      </c>
      <c r="D5335" s="734">
        <v>138.50620365246525</v>
      </c>
      <c r="E5335" s="733"/>
    </row>
    <row r="5336" spans="2:5">
      <c r="B5336" s="121">
        <v>443</v>
      </c>
      <c r="C5336" s="121">
        <v>24</v>
      </c>
      <c r="D5336" s="734">
        <v>144.83021533096959</v>
      </c>
      <c r="E5336" s="733"/>
    </row>
    <row r="5337" spans="2:5">
      <c r="B5337" s="121">
        <v>443</v>
      </c>
      <c r="C5337" s="121">
        <v>25</v>
      </c>
      <c r="D5337" s="734">
        <v>144.05451377243241</v>
      </c>
      <c r="E5337" s="733"/>
    </row>
    <row r="5338" spans="2:5">
      <c r="B5338" s="121">
        <v>443</v>
      </c>
      <c r="C5338" s="121">
        <v>26</v>
      </c>
      <c r="D5338" s="734">
        <v>142.74407370718384</v>
      </c>
      <c r="E5338" s="733"/>
    </row>
    <row r="5339" spans="2:5">
      <c r="B5339" s="121">
        <v>443</v>
      </c>
      <c r="C5339" s="121">
        <v>27</v>
      </c>
      <c r="D5339" s="734">
        <v>139.05844851816963</v>
      </c>
      <c r="E5339" s="733"/>
    </row>
    <row r="5340" spans="2:5">
      <c r="B5340" s="121">
        <v>443</v>
      </c>
      <c r="C5340" s="121">
        <v>28</v>
      </c>
      <c r="D5340" s="734">
        <v>139.57117842783771</v>
      </c>
      <c r="E5340" s="733"/>
    </row>
    <row r="5341" spans="2:5">
      <c r="B5341" s="121">
        <v>443</v>
      </c>
      <c r="C5341" s="121">
        <v>29</v>
      </c>
      <c r="D5341" s="734">
        <v>142.05198844232879</v>
      </c>
      <c r="E5341" s="733"/>
    </row>
    <row r="5342" spans="2:5">
      <c r="B5342" s="121">
        <v>443</v>
      </c>
      <c r="C5342" s="121">
        <v>30</v>
      </c>
      <c r="D5342" s="734">
        <v>144.40250410559568</v>
      </c>
      <c r="E5342" s="733"/>
    </row>
    <row r="5343" spans="2:5">
      <c r="B5343" s="121">
        <v>443</v>
      </c>
      <c r="C5343" s="121">
        <v>31</v>
      </c>
      <c r="D5343" s="734">
        <v>142.20724444984685</v>
      </c>
      <c r="E5343" s="733"/>
    </row>
    <row r="5344" spans="2:5">
      <c r="B5344" s="121">
        <v>443</v>
      </c>
      <c r="C5344" s="121">
        <v>32</v>
      </c>
      <c r="D5344" s="734">
        <v>134.5629118742261</v>
      </c>
      <c r="E5344" s="733"/>
    </row>
    <row r="5345" spans="2:5">
      <c r="B5345" s="121">
        <v>443</v>
      </c>
      <c r="C5345" s="121">
        <v>33</v>
      </c>
      <c r="D5345" s="734">
        <v>137.50150586556882</v>
      </c>
      <c r="E5345" s="733"/>
    </row>
    <row r="5346" spans="2:5">
      <c r="B5346" s="121">
        <v>443</v>
      </c>
      <c r="C5346" s="121">
        <v>34</v>
      </c>
      <c r="D5346" s="734">
        <v>136.23577275556943</v>
      </c>
      <c r="E5346" s="733"/>
    </row>
    <row r="5347" spans="2:5">
      <c r="B5347" s="121">
        <v>443</v>
      </c>
      <c r="C5347" s="121">
        <v>35</v>
      </c>
      <c r="D5347" s="734">
        <v>144.37539103247772</v>
      </c>
      <c r="E5347" s="733"/>
    </row>
    <row r="5348" spans="2:5">
      <c r="B5348" s="121">
        <v>443</v>
      </c>
      <c r="C5348" s="121">
        <v>36</v>
      </c>
      <c r="D5348" s="734">
        <v>136.50429131462047</v>
      </c>
      <c r="E5348" s="733"/>
    </row>
    <row r="5349" spans="2:5">
      <c r="B5349" s="121">
        <v>444</v>
      </c>
      <c r="C5349" s="121">
        <v>1</v>
      </c>
      <c r="D5349" s="734">
        <v>5</v>
      </c>
      <c r="E5349" s="733"/>
    </row>
    <row r="5350" spans="2:5">
      <c r="B5350" s="121">
        <v>444</v>
      </c>
      <c r="C5350" s="121">
        <v>2</v>
      </c>
      <c r="D5350" s="734">
        <v>94.870258214368548</v>
      </c>
      <c r="E5350" s="733"/>
    </row>
    <row r="5351" spans="2:5">
      <c r="B5351" s="121">
        <v>444</v>
      </c>
      <c r="C5351" s="121">
        <v>3</v>
      </c>
      <c r="D5351" s="734">
        <v>121.95634560209149</v>
      </c>
      <c r="E5351" s="733"/>
    </row>
    <row r="5352" spans="2:5">
      <c r="B5352" s="121">
        <v>444</v>
      </c>
      <c r="C5352" s="121">
        <v>4</v>
      </c>
      <c r="D5352" s="734">
        <v>146.79489099549198</v>
      </c>
      <c r="E5352" s="733"/>
    </row>
    <row r="5353" spans="2:5">
      <c r="B5353" s="121">
        <v>444</v>
      </c>
      <c r="C5353" s="121">
        <v>5</v>
      </c>
      <c r="D5353" s="734">
        <v>136.66417328203917</v>
      </c>
      <c r="E5353" s="733"/>
    </row>
    <row r="5354" spans="2:5">
      <c r="B5354" s="121">
        <v>445</v>
      </c>
      <c r="C5354" s="121">
        <v>1</v>
      </c>
      <c r="D5354" s="734">
        <v>5</v>
      </c>
      <c r="E5354" s="733"/>
    </row>
    <row r="5355" spans="2:5">
      <c r="B5355" s="121">
        <v>445</v>
      </c>
      <c r="C5355" s="121">
        <v>2</v>
      </c>
      <c r="D5355" s="734">
        <v>103.58974654529294</v>
      </c>
      <c r="E5355" s="733"/>
    </row>
    <row r="5356" spans="2:5">
      <c r="B5356" s="121">
        <v>446</v>
      </c>
      <c r="C5356" s="121">
        <v>1</v>
      </c>
      <c r="D5356" s="734">
        <v>5</v>
      </c>
      <c r="E5356" s="733"/>
    </row>
    <row r="5357" spans="2:5">
      <c r="B5357" s="121">
        <v>446</v>
      </c>
      <c r="C5357" s="121">
        <v>2</v>
      </c>
      <c r="D5357" s="734">
        <v>96.963439771171281</v>
      </c>
      <c r="E5357" s="733"/>
    </row>
    <row r="5358" spans="2:5">
      <c r="B5358" s="121">
        <v>446</v>
      </c>
      <c r="C5358" s="121">
        <v>3</v>
      </c>
      <c r="D5358" s="734">
        <v>121.9618429474442</v>
      </c>
      <c r="E5358" s="733"/>
    </row>
    <row r="5359" spans="2:5">
      <c r="B5359" s="121">
        <v>446</v>
      </c>
      <c r="C5359" s="121">
        <v>4</v>
      </c>
      <c r="D5359" s="734">
        <v>141.31188427795786</v>
      </c>
      <c r="E5359" s="733"/>
    </row>
    <row r="5360" spans="2:5">
      <c r="B5360" s="121">
        <v>446</v>
      </c>
      <c r="C5360" s="121">
        <v>5</v>
      </c>
      <c r="D5360" s="734">
        <v>143.97272805135992</v>
      </c>
      <c r="E5360" s="733"/>
    </row>
    <row r="5361" spans="2:5">
      <c r="B5361" s="121">
        <v>446</v>
      </c>
      <c r="C5361" s="121">
        <v>6</v>
      </c>
      <c r="D5361" s="734">
        <v>134.78466055762237</v>
      </c>
      <c r="E5361" s="733"/>
    </row>
    <row r="5362" spans="2:5">
      <c r="B5362" s="121">
        <v>446</v>
      </c>
      <c r="C5362" s="121">
        <v>7</v>
      </c>
      <c r="D5362" s="734">
        <v>134.79133826222116</v>
      </c>
      <c r="E5362" s="733"/>
    </row>
    <row r="5363" spans="2:5">
      <c r="B5363" s="121">
        <v>446</v>
      </c>
      <c r="C5363" s="121">
        <v>8</v>
      </c>
      <c r="D5363" s="734">
        <v>135.20406202841542</v>
      </c>
      <c r="E5363" s="733"/>
    </row>
    <row r="5364" spans="2:5">
      <c r="B5364" s="121">
        <v>446</v>
      </c>
      <c r="C5364" s="121">
        <v>9</v>
      </c>
      <c r="D5364" s="734">
        <v>142.22415964685803</v>
      </c>
      <c r="E5364" s="733"/>
    </row>
    <row r="5365" spans="2:5">
      <c r="B5365" s="121">
        <v>446</v>
      </c>
      <c r="C5365" s="121">
        <v>10</v>
      </c>
      <c r="D5365" s="734">
        <v>137.7413130947719</v>
      </c>
      <c r="E5365" s="733"/>
    </row>
    <row r="5366" spans="2:5">
      <c r="B5366" s="121">
        <v>446</v>
      </c>
      <c r="C5366" s="121">
        <v>11</v>
      </c>
      <c r="D5366" s="734">
        <v>140.74146394312723</v>
      </c>
      <c r="E5366" s="733"/>
    </row>
    <row r="5367" spans="2:5">
      <c r="B5367" s="121">
        <v>446</v>
      </c>
      <c r="C5367" s="121">
        <v>12</v>
      </c>
      <c r="D5367" s="734">
        <v>134.03661105342007</v>
      </c>
      <c r="E5367" s="733"/>
    </row>
    <row r="5368" spans="2:5">
      <c r="B5368" s="121">
        <v>446</v>
      </c>
      <c r="C5368" s="121">
        <v>13</v>
      </c>
      <c r="D5368" s="734">
        <v>136.01438424213089</v>
      </c>
      <c r="E5368" s="733"/>
    </row>
    <row r="5369" spans="2:5">
      <c r="B5369" s="121">
        <v>446</v>
      </c>
      <c r="C5369" s="121">
        <v>14</v>
      </c>
      <c r="D5369" s="734">
        <v>144.22927178918172</v>
      </c>
      <c r="E5369" s="733"/>
    </row>
    <row r="5370" spans="2:5">
      <c r="B5370" s="121">
        <v>446</v>
      </c>
      <c r="C5370" s="121">
        <v>15</v>
      </c>
      <c r="D5370" s="734">
        <v>139.43292713687578</v>
      </c>
      <c r="E5370" s="733"/>
    </row>
    <row r="5371" spans="2:5">
      <c r="B5371" s="121">
        <v>446</v>
      </c>
      <c r="C5371" s="121">
        <v>16</v>
      </c>
      <c r="D5371" s="734">
        <v>140.76537548887978</v>
      </c>
      <c r="E5371" s="733"/>
    </row>
    <row r="5372" spans="2:5">
      <c r="B5372" s="121">
        <v>446</v>
      </c>
      <c r="C5372" s="121">
        <v>17</v>
      </c>
      <c r="D5372" s="734">
        <v>142.92472449241359</v>
      </c>
      <c r="E5372" s="733"/>
    </row>
    <row r="5373" spans="2:5">
      <c r="B5373" s="121">
        <v>446</v>
      </c>
      <c r="C5373" s="121">
        <v>18</v>
      </c>
      <c r="D5373" s="734">
        <v>142.76996956448394</v>
      </c>
      <c r="E5373" s="733"/>
    </row>
    <row r="5374" spans="2:5">
      <c r="B5374" s="121">
        <v>446</v>
      </c>
      <c r="C5374" s="121">
        <v>19</v>
      </c>
      <c r="D5374" s="734">
        <v>139.18376139490786</v>
      </c>
      <c r="E5374" s="733"/>
    </row>
    <row r="5375" spans="2:5">
      <c r="B5375" s="121">
        <v>447</v>
      </c>
      <c r="C5375" s="121">
        <v>1</v>
      </c>
      <c r="D5375" s="734">
        <v>5</v>
      </c>
      <c r="E5375" s="733"/>
    </row>
    <row r="5376" spans="2:5">
      <c r="B5376" s="121">
        <v>448</v>
      </c>
      <c r="C5376" s="121">
        <v>1</v>
      </c>
      <c r="D5376" s="734">
        <v>5</v>
      </c>
      <c r="E5376" s="733"/>
    </row>
    <row r="5377" spans="2:5">
      <c r="B5377" s="121">
        <v>448</v>
      </c>
      <c r="C5377" s="121">
        <v>2</v>
      </c>
      <c r="D5377" s="734">
        <v>100.3594705150084</v>
      </c>
      <c r="E5377" s="733"/>
    </row>
    <row r="5378" spans="2:5">
      <c r="B5378" s="121">
        <v>448</v>
      </c>
      <c r="C5378" s="121">
        <v>3</v>
      </c>
      <c r="D5378" s="734">
        <v>116.97150327413075</v>
      </c>
      <c r="E5378" s="733"/>
    </row>
    <row r="5379" spans="2:5">
      <c r="B5379" s="121">
        <v>448</v>
      </c>
      <c r="C5379" s="121">
        <v>4</v>
      </c>
      <c r="D5379" s="734">
        <v>145.28933863818438</v>
      </c>
      <c r="E5379" s="733"/>
    </row>
    <row r="5380" spans="2:5">
      <c r="B5380" s="121">
        <v>448</v>
      </c>
      <c r="C5380" s="121">
        <v>5</v>
      </c>
      <c r="D5380" s="734">
        <v>140.77475662879263</v>
      </c>
      <c r="E5380" s="733"/>
    </row>
    <row r="5381" spans="2:5">
      <c r="B5381" s="121">
        <v>448</v>
      </c>
      <c r="C5381" s="121">
        <v>6</v>
      </c>
      <c r="D5381" s="734">
        <v>144.49046625413001</v>
      </c>
      <c r="E5381" s="733"/>
    </row>
    <row r="5382" spans="2:5">
      <c r="B5382" s="121">
        <v>448</v>
      </c>
      <c r="C5382" s="121">
        <v>7</v>
      </c>
      <c r="D5382" s="734">
        <v>136.75687920107225</v>
      </c>
      <c r="E5382" s="733"/>
    </row>
    <row r="5383" spans="2:5">
      <c r="B5383" s="121">
        <v>448</v>
      </c>
      <c r="C5383" s="121">
        <v>8</v>
      </c>
      <c r="D5383" s="734">
        <v>143.06252376927804</v>
      </c>
      <c r="E5383" s="733"/>
    </row>
    <row r="5384" spans="2:5">
      <c r="B5384" s="121">
        <v>448</v>
      </c>
      <c r="C5384" s="121">
        <v>9</v>
      </c>
      <c r="D5384" s="734">
        <v>134.9172312913775</v>
      </c>
      <c r="E5384" s="733"/>
    </row>
    <row r="5385" spans="2:5">
      <c r="B5385" s="121">
        <v>448</v>
      </c>
      <c r="C5385" s="121">
        <v>10</v>
      </c>
      <c r="D5385" s="734">
        <v>141.30790474513466</v>
      </c>
      <c r="E5385" s="733"/>
    </row>
    <row r="5386" spans="2:5">
      <c r="B5386" s="121">
        <v>448</v>
      </c>
      <c r="C5386" s="121">
        <v>11</v>
      </c>
      <c r="D5386" s="734">
        <v>141.42139630501489</v>
      </c>
      <c r="E5386" s="733"/>
    </row>
    <row r="5387" spans="2:5">
      <c r="B5387" s="121">
        <v>448</v>
      </c>
      <c r="C5387" s="121">
        <v>12</v>
      </c>
      <c r="D5387" s="734">
        <v>140.61098560483285</v>
      </c>
      <c r="E5387" s="733"/>
    </row>
    <row r="5388" spans="2:5">
      <c r="B5388" s="121">
        <v>449</v>
      </c>
      <c r="C5388" s="121">
        <v>1</v>
      </c>
      <c r="D5388" s="734">
        <v>5</v>
      </c>
      <c r="E5388" s="733"/>
    </row>
    <row r="5389" spans="2:5">
      <c r="B5389" s="121">
        <v>450</v>
      </c>
      <c r="C5389" s="121">
        <v>1</v>
      </c>
      <c r="D5389" s="734">
        <v>5</v>
      </c>
      <c r="E5389" s="733"/>
    </row>
    <row r="5390" spans="2:5">
      <c r="B5390" s="121">
        <v>450</v>
      </c>
      <c r="C5390" s="121">
        <v>2</v>
      </c>
      <c r="D5390" s="734">
        <v>102.2177498563624</v>
      </c>
      <c r="E5390" s="733"/>
    </row>
    <row r="5391" spans="2:5">
      <c r="B5391" s="121">
        <v>450</v>
      </c>
      <c r="C5391" s="121">
        <v>3</v>
      </c>
      <c r="D5391" s="734">
        <v>122.20910066037221</v>
      </c>
      <c r="E5391" s="733"/>
    </row>
    <row r="5392" spans="2:5">
      <c r="B5392" s="121">
        <v>450</v>
      </c>
      <c r="C5392" s="121">
        <v>4</v>
      </c>
      <c r="D5392" s="734">
        <v>141.00478824296169</v>
      </c>
      <c r="E5392" s="733"/>
    </row>
    <row r="5393" spans="2:5">
      <c r="B5393" s="121">
        <v>450</v>
      </c>
      <c r="C5393" s="121">
        <v>5</v>
      </c>
      <c r="D5393" s="734">
        <v>146.97468551777354</v>
      </c>
      <c r="E5393" s="733"/>
    </row>
    <row r="5394" spans="2:5">
      <c r="B5394" s="121">
        <v>451</v>
      </c>
      <c r="C5394" s="121">
        <v>1</v>
      </c>
      <c r="D5394" s="734">
        <v>5</v>
      </c>
      <c r="E5394" s="733"/>
    </row>
    <row r="5395" spans="2:5">
      <c r="B5395" s="121">
        <v>451</v>
      </c>
      <c r="C5395" s="121">
        <v>2</v>
      </c>
      <c r="D5395" s="734">
        <v>102.59553766340382</v>
      </c>
      <c r="E5395" s="733"/>
    </row>
    <row r="5396" spans="2:5">
      <c r="B5396" s="121">
        <v>451</v>
      </c>
      <c r="C5396" s="121">
        <v>3</v>
      </c>
      <c r="D5396" s="734">
        <v>121.78114014506367</v>
      </c>
      <c r="E5396" s="733"/>
    </row>
    <row r="5397" spans="2:5">
      <c r="B5397" s="121">
        <v>451</v>
      </c>
      <c r="C5397" s="121">
        <v>4</v>
      </c>
      <c r="D5397" s="734">
        <v>137.2585084614804</v>
      </c>
      <c r="E5397" s="733"/>
    </row>
    <row r="5398" spans="2:5">
      <c r="B5398" s="121">
        <v>451</v>
      </c>
      <c r="C5398" s="121">
        <v>5</v>
      </c>
      <c r="D5398" s="734">
        <v>134.78197903991745</v>
      </c>
      <c r="E5398" s="733"/>
    </row>
    <row r="5399" spans="2:5">
      <c r="B5399" s="121">
        <v>451</v>
      </c>
      <c r="C5399" s="121">
        <v>6</v>
      </c>
      <c r="D5399" s="734">
        <v>141.89190644893173</v>
      </c>
      <c r="E5399" s="733"/>
    </row>
    <row r="5400" spans="2:5">
      <c r="B5400" s="121">
        <v>451</v>
      </c>
      <c r="C5400" s="121">
        <v>7</v>
      </c>
      <c r="D5400" s="734">
        <v>133.91434742119415</v>
      </c>
      <c r="E5400" s="733"/>
    </row>
    <row r="5401" spans="2:5">
      <c r="B5401" s="121">
        <v>451</v>
      </c>
      <c r="C5401" s="121">
        <v>8</v>
      </c>
      <c r="D5401" s="734">
        <v>142.08851407377361</v>
      </c>
      <c r="E5401" s="733"/>
    </row>
    <row r="5402" spans="2:5">
      <c r="B5402" s="121">
        <v>451</v>
      </c>
      <c r="C5402" s="121">
        <v>9</v>
      </c>
      <c r="D5402" s="734">
        <v>136.55806809369963</v>
      </c>
      <c r="E5402" s="733"/>
    </row>
    <row r="5403" spans="2:5">
      <c r="B5403" s="121">
        <v>451</v>
      </c>
      <c r="C5403" s="121">
        <v>10</v>
      </c>
      <c r="D5403" s="734">
        <v>135.0589699386646</v>
      </c>
      <c r="E5403" s="733"/>
    </row>
    <row r="5404" spans="2:5">
      <c r="B5404" s="121">
        <v>451</v>
      </c>
      <c r="C5404" s="121">
        <v>11</v>
      </c>
      <c r="D5404" s="734">
        <v>138.24697485660991</v>
      </c>
      <c r="E5404" s="733"/>
    </row>
    <row r="5405" spans="2:5">
      <c r="B5405" s="121">
        <v>451</v>
      </c>
      <c r="C5405" s="121">
        <v>12</v>
      </c>
      <c r="D5405" s="734">
        <v>143.85531270760274</v>
      </c>
      <c r="E5405" s="733"/>
    </row>
    <row r="5406" spans="2:5">
      <c r="B5406" s="121">
        <v>451</v>
      </c>
      <c r="C5406" s="121">
        <v>13</v>
      </c>
      <c r="D5406" s="734">
        <v>136.71252906203799</v>
      </c>
      <c r="E5406" s="733"/>
    </row>
    <row r="5407" spans="2:5">
      <c r="B5407" s="121">
        <v>451</v>
      </c>
      <c r="C5407" s="121">
        <v>14</v>
      </c>
      <c r="D5407" s="734">
        <v>143.2383226750795</v>
      </c>
      <c r="E5407" s="733"/>
    </row>
    <row r="5408" spans="2:5">
      <c r="B5408" s="121">
        <v>451</v>
      </c>
      <c r="C5408" s="121">
        <v>15</v>
      </c>
      <c r="D5408" s="734">
        <v>144.72407709264633</v>
      </c>
      <c r="E5408" s="733"/>
    </row>
    <row r="5409" spans="2:5">
      <c r="B5409" s="121">
        <v>451</v>
      </c>
      <c r="C5409" s="121">
        <v>16</v>
      </c>
      <c r="D5409" s="734">
        <v>142.60671511758559</v>
      </c>
      <c r="E5409" s="733"/>
    </row>
    <row r="5410" spans="2:5">
      <c r="B5410" s="121">
        <v>451</v>
      </c>
      <c r="C5410" s="121">
        <v>17</v>
      </c>
      <c r="D5410" s="734">
        <v>145.5545168853792</v>
      </c>
      <c r="E5410" s="733"/>
    </row>
    <row r="5411" spans="2:5">
      <c r="B5411" s="121">
        <v>451</v>
      </c>
      <c r="C5411" s="121">
        <v>18</v>
      </c>
      <c r="D5411" s="734">
        <v>138.71371796695192</v>
      </c>
      <c r="E5411" s="733"/>
    </row>
    <row r="5412" spans="2:5">
      <c r="B5412" s="121">
        <v>451</v>
      </c>
      <c r="C5412" s="121">
        <v>19</v>
      </c>
      <c r="D5412" s="734">
        <v>135.59425989300308</v>
      </c>
      <c r="E5412" s="733"/>
    </row>
    <row r="5413" spans="2:5">
      <c r="B5413" s="121">
        <v>451</v>
      </c>
      <c r="C5413" s="121">
        <v>20</v>
      </c>
      <c r="D5413" s="734">
        <v>136.78131129234973</v>
      </c>
      <c r="E5413" s="733"/>
    </row>
    <row r="5414" spans="2:5">
      <c r="B5414" s="121">
        <v>451</v>
      </c>
      <c r="C5414" s="121">
        <v>21</v>
      </c>
      <c r="D5414" s="734">
        <v>145.35769270503408</v>
      </c>
      <c r="E5414" s="733"/>
    </row>
    <row r="5415" spans="2:5">
      <c r="B5415" s="121">
        <v>451</v>
      </c>
      <c r="C5415" s="121">
        <v>22</v>
      </c>
      <c r="D5415" s="734">
        <v>147.23672865943357</v>
      </c>
      <c r="E5415" s="733"/>
    </row>
    <row r="5416" spans="2:5">
      <c r="B5416" s="121">
        <v>451</v>
      </c>
      <c r="C5416" s="121">
        <v>23</v>
      </c>
      <c r="D5416" s="734">
        <v>140.51916391401764</v>
      </c>
      <c r="E5416" s="733"/>
    </row>
    <row r="5417" spans="2:5">
      <c r="B5417" s="121">
        <v>451</v>
      </c>
      <c r="C5417" s="121">
        <v>24</v>
      </c>
      <c r="D5417" s="734">
        <v>146.61204434593805</v>
      </c>
      <c r="E5417" s="733"/>
    </row>
    <row r="5418" spans="2:5">
      <c r="B5418" s="121">
        <v>451</v>
      </c>
      <c r="C5418" s="121">
        <v>25</v>
      </c>
      <c r="D5418" s="734">
        <v>139.82407193525285</v>
      </c>
      <c r="E5418" s="733"/>
    </row>
    <row r="5419" spans="2:5">
      <c r="B5419" s="121">
        <v>451</v>
      </c>
      <c r="C5419" s="121">
        <v>26</v>
      </c>
      <c r="D5419" s="734">
        <v>136.03571580600266</v>
      </c>
      <c r="E5419" s="733"/>
    </row>
    <row r="5420" spans="2:5">
      <c r="B5420" s="121">
        <v>451</v>
      </c>
      <c r="C5420" s="121">
        <v>27</v>
      </c>
      <c r="D5420" s="734">
        <v>138.69802258726665</v>
      </c>
      <c r="E5420" s="733"/>
    </row>
    <row r="5421" spans="2:5">
      <c r="B5421" s="121">
        <v>452</v>
      </c>
      <c r="C5421" s="121">
        <v>1</v>
      </c>
      <c r="D5421" s="734">
        <v>5</v>
      </c>
      <c r="E5421" s="733"/>
    </row>
    <row r="5422" spans="2:5">
      <c r="B5422" s="121">
        <v>452</v>
      </c>
      <c r="C5422" s="121">
        <v>2</v>
      </c>
      <c r="D5422" s="734">
        <v>99.165228637636886</v>
      </c>
      <c r="E5422" s="733"/>
    </row>
    <row r="5423" spans="2:5">
      <c r="B5423" s="121">
        <v>452</v>
      </c>
      <c r="C5423" s="121">
        <v>3</v>
      </c>
      <c r="D5423" s="734">
        <v>120.9991814180526</v>
      </c>
      <c r="E5423" s="733"/>
    </row>
    <row r="5424" spans="2:5">
      <c r="B5424" s="121">
        <v>452</v>
      </c>
      <c r="C5424" s="121">
        <v>4</v>
      </c>
      <c r="D5424" s="734">
        <v>143.39463253607232</v>
      </c>
      <c r="E5424" s="733"/>
    </row>
    <row r="5425" spans="2:5">
      <c r="B5425" s="121">
        <v>452</v>
      </c>
      <c r="C5425" s="121">
        <v>5</v>
      </c>
      <c r="D5425" s="734">
        <v>146.3045106470598</v>
      </c>
      <c r="E5425" s="733"/>
    </row>
    <row r="5426" spans="2:5">
      <c r="B5426" s="121">
        <v>452</v>
      </c>
      <c r="C5426" s="121">
        <v>6</v>
      </c>
      <c r="D5426" s="734">
        <v>135.55574274555934</v>
      </c>
      <c r="E5426" s="733"/>
    </row>
    <row r="5427" spans="2:5">
      <c r="B5427" s="121">
        <v>452</v>
      </c>
      <c r="C5427" s="121">
        <v>7</v>
      </c>
      <c r="D5427" s="734">
        <v>146.46556022049413</v>
      </c>
      <c r="E5427" s="733"/>
    </row>
    <row r="5428" spans="2:5">
      <c r="B5428" s="121">
        <v>452</v>
      </c>
      <c r="C5428" s="121">
        <v>8</v>
      </c>
      <c r="D5428" s="734">
        <v>144.90503444043037</v>
      </c>
      <c r="E5428" s="733"/>
    </row>
    <row r="5429" spans="2:5">
      <c r="B5429" s="121">
        <v>452</v>
      </c>
      <c r="C5429" s="121">
        <v>9</v>
      </c>
      <c r="D5429" s="734">
        <v>144.2459506544734</v>
      </c>
      <c r="E5429" s="733"/>
    </row>
    <row r="5430" spans="2:5">
      <c r="B5430" s="121">
        <v>452</v>
      </c>
      <c r="C5430" s="121">
        <v>10</v>
      </c>
      <c r="D5430" s="734">
        <v>145.5476746598045</v>
      </c>
      <c r="E5430" s="733"/>
    </row>
    <row r="5431" spans="2:5">
      <c r="B5431" s="121">
        <v>453</v>
      </c>
      <c r="C5431" s="121">
        <v>1</v>
      </c>
      <c r="D5431" s="734">
        <v>5</v>
      </c>
      <c r="E5431" s="733"/>
    </row>
    <row r="5432" spans="2:5">
      <c r="B5432" s="121">
        <v>454</v>
      </c>
      <c r="C5432" s="121">
        <v>1</v>
      </c>
      <c r="D5432" s="734">
        <v>5</v>
      </c>
      <c r="E5432" s="733"/>
    </row>
    <row r="5433" spans="2:5">
      <c r="B5433" s="121">
        <v>454</v>
      </c>
      <c r="C5433" s="121">
        <v>2</v>
      </c>
      <c r="D5433" s="734">
        <v>95.629485975462103</v>
      </c>
      <c r="E5433" s="733"/>
    </row>
    <row r="5434" spans="2:5">
      <c r="B5434" s="121">
        <v>454</v>
      </c>
      <c r="C5434" s="121">
        <v>3</v>
      </c>
      <c r="D5434" s="734">
        <v>123.0063591464794</v>
      </c>
      <c r="E5434" s="733"/>
    </row>
    <row r="5435" spans="2:5">
      <c r="B5435" s="121">
        <v>454</v>
      </c>
      <c r="C5435" s="121">
        <v>4</v>
      </c>
      <c r="D5435" s="734">
        <v>136.67518611838483</v>
      </c>
      <c r="E5435" s="733"/>
    </row>
    <row r="5436" spans="2:5">
      <c r="B5436" s="121">
        <v>454</v>
      </c>
      <c r="C5436" s="121">
        <v>5</v>
      </c>
      <c r="D5436" s="734">
        <v>144.43137440875589</v>
      </c>
      <c r="E5436" s="733"/>
    </row>
    <row r="5437" spans="2:5">
      <c r="B5437" s="121">
        <v>454</v>
      </c>
      <c r="C5437" s="121">
        <v>6</v>
      </c>
      <c r="D5437" s="734">
        <v>136.4738821582487</v>
      </c>
      <c r="E5437" s="733"/>
    </row>
    <row r="5438" spans="2:5">
      <c r="B5438" s="121">
        <v>454</v>
      </c>
      <c r="C5438" s="121">
        <v>7</v>
      </c>
      <c r="D5438" s="734">
        <v>135.00100897537672</v>
      </c>
      <c r="E5438" s="733"/>
    </row>
    <row r="5439" spans="2:5">
      <c r="B5439" s="121">
        <v>454</v>
      </c>
      <c r="C5439" s="121">
        <v>8</v>
      </c>
      <c r="D5439" s="734">
        <v>140.27554291075782</v>
      </c>
      <c r="E5439" s="733"/>
    </row>
    <row r="5440" spans="2:5">
      <c r="B5440" s="121">
        <v>454</v>
      </c>
      <c r="C5440" s="121">
        <v>9</v>
      </c>
      <c r="D5440" s="734">
        <v>134.48599746157035</v>
      </c>
      <c r="E5440" s="733"/>
    </row>
    <row r="5441" spans="2:5">
      <c r="B5441" s="121">
        <v>454</v>
      </c>
      <c r="C5441" s="121">
        <v>10</v>
      </c>
      <c r="D5441" s="734">
        <v>139.03237265551516</v>
      </c>
      <c r="E5441" s="733"/>
    </row>
    <row r="5442" spans="2:5">
      <c r="B5442" s="121">
        <v>454</v>
      </c>
      <c r="C5442" s="121">
        <v>11</v>
      </c>
      <c r="D5442" s="734">
        <v>140.64534041223334</v>
      </c>
      <c r="E5442" s="733"/>
    </row>
    <row r="5443" spans="2:5">
      <c r="B5443" s="121">
        <v>454</v>
      </c>
      <c r="C5443" s="121">
        <v>12</v>
      </c>
      <c r="D5443" s="734">
        <v>144.64737345370878</v>
      </c>
      <c r="E5443" s="733"/>
    </row>
    <row r="5444" spans="2:5">
      <c r="B5444" s="121">
        <v>455</v>
      </c>
      <c r="C5444" s="121">
        <v>1</v>
      </c>
      <c r="D5444" s="734">
        <v>5</v>
      </c>
      <c r="E5444" s="733"/>
    </row>
    <row r="5445" spans="2:5">
      <c r="B5445" s="121">
        <v>455</v>
      </c>
      <c r="C5445" s="121">
        <v>2</v>
      </c>
      <c r="D5445" s="734">
        <v>99.272951059368125</v>
      </c>
      <c r="E5445" s="733"/>
    </row>
    <row r="5446" spans="2:5">
      <c r="B5446" s="121">
        <v>455</v>
      </c>
      <c r="C5446" s="121">
        <v>3</v>
      </c>
      <c r="D5446" s="734">
        <v>114.318601936712</v>
      </c>
      <c r="E5446" s="733"/>
    </row>
    <row r="5447" spans="2:5">
      <c r="B5447" s="121">
        <v>455</v>
      </c>
      <c r="C5447" s="121">
        <v>4</v>
      </c>
      <c r="D5447" s="734">
        <v>134.77331004892321</v>
      </c>
      <c r="E5447" s="733"/>
    </row>
    <row r="5448" spans="2:5">
      <c r="B5448" s="121">
        <v>455</v>
      </c>
      <c r="C5448" s="121">
        <v>5</v>
      </c>
      <c r="D5448" s="734">
        <v>143.23264514728154</v>
      </c>
      <c r="E5448" s="733"/>
    </row>
    <row r="5449" spans="2:5">
      <c r="B5449" s="121">
        <v>455</v>
      </c>
      <c r="C5449" s="121">
        <v>6</v>
      </c>
      <c r="D5449" s="734">
        <v>136.21715214871213</v>
      </c>
      <c r="E5449" s="733"/>
    </row>
    <row r="5450" spans="2:5">
      <c r="B5450" s="121">
        <v>455</v>
      </c>
      <c r="C5450" s="121">
        <v>7</v>
      </c>
      <c r="D5450" s="734">
        <v>145.52581607976632</v>
      </c>
      <c r="E5450" s="733"/>
    </row>
    <row r="5451" spans="2:5">
      <c r="B5451" s="121">
        <v>455</v>
      </c>
      <c r="C5451" s="121">
        <v>8</v>
      </c>
      <c r="D5451" s="734">
        <v>145.89992919335424</v>
      </c>
      <c r="E5451" s="733"/>
    </row>
    <row r="5452" spans="2:5">
      <c r="B5452" s="121">
        <v>455</v>
      </c>
      <c r="C5452" s="121">
        <v>9</v>
      </c>
      <c r="D5452" s="734">
        <v>133.99464615640707</v>
      </c>
      <c r="E5452" s="733"/>
    </row>
    <row r="5453" spans="2:5">
      <c r="B5453" s="121">
        <v>455</v>
      </c>
      <c r="C5453" s="121">
        <v>10</v>
      </c>
      <c r="D5453" s="734">
        <v>139.72014991412905</v>
      </c>
      <c r="E5453" s="733"/>
    </row>
    <row r="5454" spans="2:5">
      <c r="B5454" s="121">
        <v>455</v>
      </c>
      <c r="C5454" s="121">
        <v>11</v>
      </c>
      <c r="D5454" s="734">
        <v>139.36059143785801</v>
      </c>
      <c r="E5454" s="733"/>
    </row>
    <row r="5455" spans="2:5">
      <c r="B5455" s="121">
        <v>455</v>
      </c>
      <c r="C5455" s="121">
        <v>12</v>
      </c>
      <c r="D5455" s="734">
        <v>143.7467197399553</v>
      </c>
      <c r="E5455" s="733"/>
    </row>
    <row r="5456" spans="2:5">
      <c r="B5456" s="121">
        <v>455</v>
      </c>
      <c r="C5456" s="121">
        <v>13</v>
      </c>
      <c r="D5456" s="734">
        <v>139.5500706561966</v>
      </c>
      <c r="E5456" s="733"/>
    </row>
    <row r="5457" spans="2:5">
      <c r="B5457" s="121">
        <v>455</v>
      </c>
      <c r="C5457" s="121">
        <v>14</v>
      </c>
      <c r="D5457" s="734">
        <v>146.0175991223652</v>
      </c>
      <c r="E5457" s="733"/>
    </row>
    <row r="5458" spans="2:5">
      <c r="B5458" s="121">
        <v>455</v>
      </c>
      <c r="C5458" s="121">
        <v>15</v>
      </c>
      <c r="D5458" s="734">
        <v>143.7459177837701</v>
      </c>
      <c r="E5458" s="733"/>
    </row>
    <row r="5459" spans="2:5">
      <c r="B5459" s="121">
        <v>455</v>
      </c>
      <c r="C5459" s="121">
        <v>16</v>
      </c>
      <c r="D5459" s="734">
        <v>139.35915288028383</v>
      </c>
      <c r="E5459" s="733"/>
    </row>
    <row r="5460" spans="2:5">
      <c r="B5460" s="121">
        <v>455</v>
      </c>
      <c r="C5460" s="121">
        <v>17</v>
      </c>
      <c r="D5460" s="734">
        <v>140.76512288767148</v>
      </c>
      <c r="E5460" s="733"/>
    </row>
    <row r="5461" spans="2:5">
      <c r="B5461" s="121">
        <v>455</v>
      </c>
      <c r="C5461" s="121">
        <v>18</v>
      </c>
      <c r="D5461" s="734">
        <v>138.79570829985386</v>
      </c>
      <c r="E5461" s="733"/>
    </row>
    <row r="5462" spans="2:5">
      <c r="B5462" s="121">
        <v>455</v>
      </c>
      <c r="C5462" s="121">
        <v>19</v>
      </c>
      <c r="D5462" s="734">
        <v>146.02229433468705</v>
      </c>
      <c r="E5462" s="733"/>
    </row>
    <row r="5463" spans="2:5">
      <c r="B5463" s="121">
        <v>455</v>
      </c>
      <c r="C5463" s="121">
        <v>20</v>
      </c>
      <c r="D5463" s="734">
        <v>136.52407096031752</v>
      </c>
      <c r="E5463" s="733"/>
    </row>
    <row r="5464" spans="2:5">
      <c r="B5464" s="121">
        <v>455</v>
      </c>
      <c r="C5464" s="121">
        <v>21</v>
      </c>
      <c r="D5464" s="734">
        <v>138.20396792493995</v>
      </c>
      <c r="E5464" s="733"/>
    </row>
    <row r="5465" spans="2:5">
      <c r="B5465" s="121">
        <v>455</v>
      </c>
      <c r="C5465" s="121">
        <v>22</v>
      </c>
      <c r="D5465" s="734">
        <v>146.68060906520924</v>
      </c>
      <c r="E5465" s="733"/>
    </row>
    <row r="5466" spans="2:5">
      <c r="B5466" s="121">
        <v>455</v>
      </c>
      <c r="C5466" s="121">
        <v>23</v>
      </c>
      <c r="D5466" s="734">
        <v>140.54996802723502</v>
      </c>
      <c r="E5466" s="733"/>
    </row>
    <row r="5467" spans="2:5">
      <c r="B5467" s="121">
        <v>455</v>
      </c>
      <c r="C5467" s="121">
        <v>24</v>
      </c>
      <c r="D5467" s="734">
        <v>140.78870204183661</v>
      </c>
      <c r="E5467" s="733"/>
    </row>
    <row r="5468" spans="2:5">
      <c r="B5468" s="121">
        <v>455</v>
      </c>
      <c r="C5468" s="121">
        <v>25</v>
      </c>
      <c r="D5468" s="734">
        <v>135.00479987303652</v>
      </c>
      <c r="E5468" s="733"/>
    </row>
    <row r="5469" spans="2:5">
      <c r="B5469" s="121">
        <v>455</v>
      </c>
      <c r="C5469" s="121">
        <v>26</v>
      </c>
      <c r="D5469" s="734">
        <v>143.0065669541589</v>
      </c>
      <c r="E5469" s="733"/>
    </row>
    <row r="5470" spans="2:5">
      <c r="B5470" s="121">
        <v>455</v>
      </c>
      <c r="C5470" s="121">
        <v>27</v>
      </c>
      <c r="D5470" s="734">
        <v>144.73959622750593</v>
      </c>
      <c r="E5470" s="733"/>
    </row>
    <row r="5471" spans="2:5">
      <c r="B5471" s="121">
        <v>455</v>
      </c>
      <c r="C5471" s="121">
        <v>28</v>
      </c>
      <c r="D5471" s="734">
        <v>144.81863892573358</v>
      </c>
      <c r="E5471" s="733"/>
    </row>
    <row r="5472" spans="2:5">
      <c r="B5472" s="121">
        <v>455</v>
      </c>
      <c r="C5472" s="121">
        <v>29</v>
      </c>
      <c r="D5472" s="734">
        <v>146.89489389316745</v>
      </c>
      <c r="E5472" s="733"/>
    </row>
    <row r="5473" spans="2:5">
      <c r="B5473" s="121">
        <v>455</v>
      </c>
      <c r="C5473" s="121">
        <v>30</v>
      </c>
      <c r="D5473" s="734">
        <v>141.22896698064935</v>
      </c>
      <c r="E5473" s="733"/>
    </row>
    <row r="5474" spans="2:5">
      <c r="B5474" s="121">
        <v>455</v>
      </c>
      <c r="C5474" s="121">
        <v>31</v>
      </c>
      <c r="D5474" s="734">
        <v>140.74243594833928</v>
      </c>
      <c r="E5474" s="733"/>
    </row>
    <row r="5475" spans="2:5">
      <c r="B5475" s="121">
        <v>455</v>
      </c>
      <c r="C5475" s="121">
        <v>32</v>
      </c>
      <c r="D5475" s="734">
        <v>137.7527902806591</v>
      </c>
      <c r="E5475" s="733"/>
    </row>
    <row r="5476" spans="2:5">
      <c r="B5476" s="121">
        <v>455</v>
      </c>
      <c r="C5476" s="121">
        <v>33</v>
      </c>
      <c r="D5476" s="734">
        <v>136.74229249729609</v>
      </c>
      <c r="E5476" s="733"/>
    </row>
    <row r="5477" spans="2:5">
      <c r="B5477" s="121">
        <v>455</v>
      </c>
      <c r="C5477" s="121">
        <v>34</v>
      </c>
      <c r="D5477" s="734">
        <v>135.59623776320834</v>
      </c>
      <c r="E5477" s="733"/>
    </row>
    <row r="5478" spans="2:5">
      <c r="B5478" s="121">
        <v>455</v>
      </c>
      <c r="C5478" s="121">
        <v>35</v>
      </c>
      <c r="D5478" s="734">
        <v>142.05622825733127</v>
      </c>
      <c r="E5478" s="733"/>
    </row>
    <row r="5479" spans="2:5">
      <c r="B5479" s="121">
        <v>455</v>
      </c>
      <c r="C5479" s="121">
        <v>36</v>
      </c>
      <c r="D5479" s="734">
        <v>139.90806198506283</v>
      </c>
      <c r="E5479" s="733"/>
    </row>
    <row r="5480" spans="2:5">
      <c r="B5480" s="121">
        <v>456</v>
      </c>
      <c r="C5480" s="121">
        <v>1</v>
      </c>
      <c r="D5480" s="734">
        <v>5</v>
      </c>
      <c r="E5480" s="733"/>
    </row>
    <row r="5481" spans="2:5">
      <c r="B5481" s="121">
        <v>457</v>
      </c>
      <c r="C5481" s="121">
        <v>1</v>
      </c>
      <c r="D5481" s="734">
        <v>5</v>
      </c>
      <c r="E5481" s="733"/>
    </row>
    <row r="5482" spans="2:5">
      <c r="B5482" s="121">
        <v>457</v>
      </c>
      <c r="C5482" s="121">
        <v>2</v>
      </c>
      <c r="D5482" s="734">
        <v>98.396837945451836</v>
      </c>
      <c r="E5482" s="733"/>
    </row>
    <row r="5483" spans="2:5">
      <c r="B5483" s="121">
        <v>457</v>
      </c>
      <c r="C5483" s="121">
        <v>3</v>
      </c>
      <c r="D5483" s="734">
        <v>120.93409165056654</v>
      </c>
      <c r="E5483" s="733"/>
    </row>
    <row r="5484" spans="2:5">
      <c r="B5484" s="121">
        <v>457</v>
      </c>
      <c r="C5484" s="121">
        <v>4</v>
      </c>
      <c r="D5484" s="734">
        <v>141.3487904091146</v>
      </c>
      <c r="E5484" s="733"/>
    </row>
    <row r="5485" spans="2:5">
      <c r="B5485" s="121">
        <v>457</v>
      </c>
      <c r="C5485" s="121">
        <v>5</v>
      </c>
      <c r="D5485" s="734">
        <v>143.04376581467633</v>
      </c>
      <c r="E5485" s="733"/>
    </row>
    <row r="5486" spans="2:5">
      <c r="B5486" s="121">
        <v>458</v>
      </c>
      <c r="C5486" s="121">
        <v>1</v>
      </c>
      <c r="D5486" s="734">
        <v>5</v>
      </c>
      <c r="E5486" s="733"/>
    </row>
    <row r="5487" spans="2:5">
      <c r="B5487" s="121">
        <v>458</v>
      </c>
      <c r="C5487" s="121">
        <v>2</v>
      </c>
      <c r="D5487" s="734">
        <v>96.985967986821095</v>
      </c>
      <c r="E5487" s="733"/>
    </row>
    <row r="5488" spans="2:5">
      <c r="B5488" s="121">
        <v>458</v>
      </c>
      <c r="C5488" s="121">
        <v>3</v>
      </c>
      <c r="D5488" s="734">
        <v>114.20361958182643</v>
      </c>
      <c r="E5488" s="733"/>
    </row>
    <row r="5489" spans="2:5">
      <c r="B5489" s="121">
        <v>458</v>
      </c>
      <c r="C5489" s="121">
        <v>4</v>
      </c>
      <c r="D5489" s="734">
        <v>134.68172704332684</v>
      </c>
      <c r="E5489" s="733"/>
    </row>
    <row r="5490" spans="2:5">
      <c r="B5490" s="121">
        <v>458</v>
      </c>
      <c r="C5490" s="121">
        <v>5</v>
      </c>
      <c r="D5490" s="734">
        <v>143.89533372787238</v>
      </c>
      <c r="E5490" s="733"/>
    </row>
    <row r="5491" spans="2:5">
      <c r="B5491" s="121">
        <v>458</v>
      </c>
      <c r="C5491" s="121">
        <v>6</v>
      </c>
      <c r="D5491" s="734">
        <v>142.53843679957043</v>
      </c>
      <c r="E5491" s="733"/>
    </row>
    <row r="5492" spans="2:5">
      <c r="B5492" s="121">
        <v>458</v>
      </c>
      <c r="C5492" s="121">
        <v>7</v>
      </c>
      <c r="D5492" s="734">
        <v>145.47810277129938</v>
      </c>
      <c r="E5492" s="733"/>
    </row>
    <row r="5493" spans="2:5">
      <c r="B5493" s="121">
        <v>458</v>
      </c>
      <c r="C5493" s="121">
        <v>8</v>
      </c>
      <c r="D5493" s="734">
        <v>134.16143647762604</v>
      </c>
      <c r="E5493" s="733"/>
    </row>
    <row r="5494" spans="2:5">
      <c r="B5494" s="121">
        <v>458</v>
      </c>
      <c r="C5494" s="121">
        <v>9</v>
      </c>
      <c r="D5494" s="734">
        <v>143.00488403073609</v>
      </c>
      <c r="E5494" s="733"/>
    </row>
    <row r="5495" spans="2:5">
      <c r="B5495" s="121">
        <v>458</v>
      </c>
      <c r="C5495" s="121">
        <v>10</v>
      </c>
      <c r="D5495" s="734">
        <v>137.90708914629934</v>
      </c>
      <c r="E5495" s="733"/>
    </row>
    <row r="5496" spans="2:5">
      <c r="B5496" s="121">
        <v>458</v>
      </c>
      <c r="C5496" s="121">
        <v>11</v>
      </c>
      <c r="D5496" s="734">
        <v>143.79875238204369</v>
      </c>
      <c r="E5496" s="733"/>
    </row>
    <row r="5497" spans="2:5">
      <c r="B5497" s="121">
        <v>458</v>
      </c>
      <c r="C5497" s="121">
        <v>12</v>
      </c>
      <c r="D5497" s="734">
        <v>144.69340603281719</v>
      </c>
      <c r="E5497" s="733"/>
    </row>
    <row r="5498" spans="2:5">
      <c r="B5498" s="121">
        <v>458</v>
      </c>
      <c r="C5498" s="121">
        <v>13</v>
      </c>
      <c r="D5498" s="734">
        <v>140.01111298097183</v>
      </c>
      <c r="E5498" s="733"/>
    </row>
    <row r="5499" spans="2:5">
      <c r="B5499" s="121">
        <v>458</v>
      </c>
      <c r="C5499" s="121">
        <v>14</v>
      </c>
      <c r="D5499" s="734">
        <v>134.48351896547152</v>
      </c>
      <c r="E5499" s="733"/>
    </row>
    <row r="5500" spans="2:5">
      <c r="B5500" s="121">
        <v>458</v>
      </c>
      <c r="C5500" s="121">
        <v>15</v>
      </c>
      <c r="D5500" s="734">
        <v>134.06079316746383</v>
      </c>
      <c r="E5500" s="733"/>
    </row>
    <row r="5501" spans="2:5">
      <c r="B5501" s="121">
        <v>458</v>
      </c>
      <c r="C5501" s="121">
        <v>16</v>
      </c>
      <c r="D5501" s="734">
        <v>140.03489164826718</v>
      </c>
      <c r="E5501" s="733"/>
    </row>
    <row r="5502" spans="2:5">
      <c r="B5502" s="121">
        <v>458</v>
      </c>
      <c r="C5502" s="121">
        <v>17</v>
      </c>
      <c r="D5502" s="734">
        <v>145.2485528026975</v>
      </c>
      <c r="E5502" s="733"/>
    </row>
    <row r="5503" spans="2:5">
      <c r="B5503" s="121">
        <v>458</v>
      </c>
      <c r="C5503" s="121">
        <v>18</v>
      </c>
      <c r="D5503" s="734">
        <v>140.5924815195109</v>
      </c>
      <c r="E5503" s="733"/>
    </row>
    <row r="5504" spans="2:5">
      <c r="B5504" s="121">
        <v>458</v>
      </c>
      <c r="C5504" s="121">
        <v>19</v>
      </c>
      <c r="D5504" s="734">
        <v>140.54061055022149</v>
      </c>
      <c r="E5504" s="733"/>
    </row>
    <row r="5505" spans="2:5">
      <c r="B5505" s="121">
        <v>458</v>
      </c>
      <c r="C5505" s="121">
        <v>20</v>
      </c>
      <c r="D5505" s="734">
        <v>138.27189240890118</v>
      </c>
      <c r="E5505" s="733"/>
    </row>
    <row r="5506" spans="2:5">
      <c r="B5506" s="121">
        <v>458</v>
      </c>
      <c r="C5506" s="121">
        <v>21</v>
      </c>
      <c r="D5506" s="734">
        <v>143.91408839668676</v>
      </c>
      <c r="E5506" s="733"/>
    </row>
    <row r="5507" spans="2:5">
      <c r="B5507" s="121">
        <v>458</v>
      </c>
      <c r="C5507" s="121">
        <v>22</v>
      </c>
      <c r="D5507" s="734">
        <v>134.98042396271362</v>
      </c>
      <c r="E5507" s="733"/>
    </row>
    <row r="5508" spans="2:5">
      <c r="B5508" s="121">
        <v>458</v>
      </c>
      <c r="C5508" s="121">
        <v>23</v>
      </c>
      <c r="D5508" s="734">
        <v>140.70081894771226</v>
      </c>
      <c r="E5508" s="733"/>
    </row>
    <row r="5509" spans="2:5">
      <c r="B5509" s="121">
        <v>458</v>
      </c>
      <c r="C5509" s="121">
        <v>24</v>
      </c>
      <c r="D5509" s="734">
        <v>140.70178477354659</v>
      </c>
      <c r="E5509" s="733"/>
    </row>
    <row r="5510" spans="2:5">
      <c r="B5510" s="121">
        <v>458</v>
      </c>
      <c r="C5510" s="121">
        <v>25</v>
      </c>
      <c r="D5510" s="734">
        <v>139.76889971206495</v>
      </c>
      <c r="E5510" s="733"/>
    </row>
    <row r="5511" spans="2:5">
      <c r="B5511" s="121">
        <v>458</v>
      </c>
      <c r="C5511" s="121">
        <v>26</v>
      </c>
      <c r="D5511" s="734">
        <v>140.83381901183907</v>
      </c>
      <c r="E5511" s="733"/>
    </row>
    <row r="5512" spans="2:5">
      <c r="B5512" s="121">
        <v>458</v>
      </c>
      <c r="C5512" s="121">
        <v>27</v>
      </c>
      <c r="D5512" s="734">
        <v>141.50661040362681</v>
      </c>
      <c r="E5512" s="733"/>
    </row>
    <row r="5513" spans="2:5">
      <c r="B5513" s="121">
        <v>458</v>
      </c>
      <c r="C5513" s="121">
        <v>28</v>
      </c>
      <c r="D5513" s="734">
        <v>145.37124675898178</v>
      </c>
      <c r="E5513" s="733"/>
    </row>
    <row r="5514" spans="2:5">
      <c r="B5514" s="121">
        <v>458</v>
      </c>
      <c r="C5514" s="121">
        <v>29</v>
      </c>
      <c r="D5514" s="734">
        <v>142.57540569224295</v>
      </c>
      <c r="E5514" s="733"/>
    </row>
    <row r="5515" spans="2:5">
      <c r="B5515" s="121">
        <v>458</v>
      </c>
      <c r="C5515" s="121">
        <v>30</v>
      </c>
      <c r="D5515" s="734">
        <v>138.33546440505938</v>
      </c>
      <c r="E5515" s="733"/>
    </row>
    <row r="5516" spans="2:5">
      <c r="B5516" s="121">
        <v>458</v>
      </c>
      <c r="C5516" s="121">
        <v>31</v>
      </c>
      <c r="D5516" s="734">
        <v>141.23384037027375</v>
      </c>
      <c r="E5516" s="733"/>
    </row>
    <row r="5517" spans="2:5">
      <c r="B5517" s="121">
        <v>458</v>
      </c>
      <c r="C5517" s="121">
        <v>32</v>
      </c>
      <c r="D5517" s="734">
        <v>135.72455296976645</v>
      </c>
      <c r="E5517" s="733"/>
    </row>
    <row r="5518" spans="2:5">
      <c r="B5518" s="121">
        <v>459</v>
      </c>
      <c r="C5518" s="121">
        <v>1</v>
      </c>
      <c r="D5518" s="734">
        <v>5</v>
      </c>
      <c r="E5518" s="733"/>
    </row>
    <row r="5519" spans="2:5">
      <c r="B5519" s="121">
        <v>459</v>
      </c>
      <c r="C5519" s="121">
        <v>2</v>
      </c>
      <c r="D5519" s="734">
        <v>95.984353554545621</v>
      </c>
      <c r="E5519" s="733"/>
    </row>
    <row r="5520" spans="2:5">
      <c r="B5520" s="121">
        <v>459</v>
      </c>
      <c r="C5520" s="121">
        <v>3</v>
      </c>
      <c r="D5520" s="734">
        <v>122.61033345926606</v>
      </c>
      <c r="E5520" s="733"/>
    </row>
    <row r="5521" spans="2:5">
      <c r="B5521" s="121">
        <v>459</v>
      </c>
      <c r="C5521" s="121">
        <v>4</v>
      </c>
      <c r="D5521" s="734">
        <v>138.68290490158387</v>
      </c>
      <c r="E5521" s="733"/>
    </row>
    <row r="5522" spans="2:5">
      <c r="B5522" s="121">
        <v>459</v>
      </c>
      <c r="C5522" s="121">
        <v>5</v>
      </c>
      <c r="D5522" s="734">
        <v>140.06402218640164</v>
      </c>
      <c r="E5522" s="733"/>
    </row>
    <row r="5523" spans="2:5">
      <c r="B5523" s="121">
        <v>459</v>
      </c>
      <c r="C5523" s="121">
        <v>6</v>
      </c>
      <c r="D5523" s="734">
        <v>134.93497809766851</v>
      </c>
      <c r="E5523" s="733"/>
    </row>
    <row r="5524" spans="2:5">
      <c r="B5524" s="121">
        <v>459</v>
      </c>
      <c r="C5524" s="121">
        <v>7</v>
      </c>
      <c r="D5524" s="734">
        <v>145.67074562471817</v>
      </c>
      <c r="E5524" s="733"/>
    </row>
    <row r="5525" spans="2:5">
      <c r="B5525" s="121">
        <v>459</v>
      </c>
      <c r="C5525" s="121">
        <v>8</v>
      </c>
      <c r="D5525" s="734">
        <v>143.74217239153913</v>
      </c>
      <c r="E5525" s="733"/>
    </row>
    <row r="5526" spans="2:5">
      <c r="B5526" s="121">
        <v>459</v>
      </c>
      <c r="C5526" s="121">
        <v>9</v>
      </c>
      <c r="D5526" s="734">
        <v>136.59479586550725</v>
      </c>
      <c r="E5526" s="733"/>
    </row>
    <row r="5527" spans="2:5">
      <c r="B5527" s="121">
        <v>459</v>
      </c>
      <c r="C5527" s="121">
        <v>10</v>
      </c>
      <c r="D5527" s="734">
        <v>140.31566031003041</v>
      </c>
      <c r="E5527" s="733"/>
    </row>
    <row r="5528" spans="2:5">
      <c r="B5528" s="121">
        <v>459</v>
      </c>
      <c r="C5528" s="121">
        <v>11</v>
      </c>
      <c r="D5528" s="734">
        <v>144.97567370772927</v>
      </c>
      <c r="E5528" s="733"/>
    </row>
    <row r="5529" spans="2:5">
      <c r="B5529" s="121">
        <v>459</v>
      </c>
      <c r="C5529" s="121">
        <v>12</v>
      </c>
      <c r="D5529" s="734">
        <v>140.19627277669423</v>
      </c>
      <c r="E5529" s="733"/>
    </row>
    <row r="5530" spans="2:5">
      <c r="B5530" s="121">
        <v>459</v>
      </c>
      <c r="C5530" s="121">
        <v>13</v>
      </c>
      <c r="D5530" s="734">
        <v>140.71099373701449</v>
      </c>
      <c r="E5530" s="733"/>
    </row>
    <row r="5531" spans="2:5">
      <c r="B5531" s="121">
        <v>460</v>
      </c>
      <c r="C5531" s="121">
        <v>1</v>
      </c>
      <c r="D5531" s="734">
        <v>5</v>
      </c>
      <c r="E5531" s="733"/>
    </row>
    <row r="5532" spans="2:5">
      <c r="B5532" s="121">
        <v>460</v>
      </c>
      <c r="C5532" s="121">
        <v>2</v>
      </c>
      <c r="D5532" s="734">
        <v>96.952782170542946</v>
      </c>
      <c r="E5532" s="733"/>
    </row>
    <row r="5533" spans="2:5">
      <c r="B5533" s="121">
        <v>460</v>
      </c>
      <c r="C5533" s="121">
        <v>3</v>
      </c>
      <c r="D5533" s="734">
        <v>118.99573618612966</v>
      </c>
      <c r="E5533" s="733"/>
    </row>
    <row r="5534" spans="2:5">
      <c r="B5534" s="121">
        <v>460</v>
      </c>
      <c r="C5534" s="121">
        <v>4</v>
      </c>
      <c r="D5534" s="734">
        <v>141.83360286897135</v>
      </c>
      <c r="E5534" s="733"/>
    </row>
    <row r="5535" spans="2:5">
      <c r="B5535" s="121">
        <v>460</v>
      </c>
      <c r="C5535" s="121">
        <v>5</v>
      </c>
      <c r="D5535" s="734">
        <v>142.94479735790884</v>
      </c>
      <c r="E5535" s="733"/>
    </row>
    <row r="5536" spans="2:5">
      <c r="B5536" s="121">
        <v>460</v>
      </c>
      <c r="C5536" s="121">
        <v>6</v>
      </c>
      <c r="D5536" s="734">
        <v>142.25676308640874</v>
      </c>
      <c r="E5536" s="733"/>
    </row>
    <row r="5537" spans="2:5">
      <c r="B5537" s="121">
        <v>460</v>
      </c>
      <c r="C5537" s="121">
        <v>7</v>
      </c>
      <c r="D5537" s="734">
        <v>136.58842599883431</v>
      </c>
      <c r="E5537" s="733"/>
    </row>
    <row r="5538" spans="2:5">
      <c r="B5538" s="121">
        <v>460</v>
      </c>
      <c r="C5538" s="121">
        <v>8</v>
      </c>
      <c r="D5538" s="734">
        <v>138.97800469377177</v>
      </c>
      <c r="E5538" s="733"/>
    </row>
    <row r="5539" spans="2:5">
      <c r="B5539" s="121">
        <v>460</v>
      </c>
      <c r="C5539" s="121">
        <v>9</v>
      </c>
      <c r="D5539" s="734">
        <v>136.49166549594628</v>
      </c>
      <c r="E5539" s="733"/>
    </row>
    <row r="5540" spans="2:5">
      <c r="B5540" s="121">
        <v>460</v>
      </c>
      <c r="C5540" s="121">
        <v>10</v>
      </c>
      <c r="D5540" s="734">
        <v>136.18408267767038</v>
      </c>
      <c r="E5540" s="733"/>
    </row>
    <row r="5541" spans="2:5">
      <c r="B5541" s="121">
        <v>460</v>
      </c>
      <c r="C5541" s="121">
        <v>11</v>
      </c>
      <c r="D5541" s="734">
        <v>145.71031630605029</v>
      </c>
      <c r="E5541" s="733"/>
    </row>
    <row r="5542" spans="2:5">
      <c r="B5542" s="121">
        <v>460</v>
      </c>
      <c r="C5542" s="121">
        <v>12</v>
      </c>
      <c r="D5542" s="734">
        <v>139.19861314519474</v>
      </c>
      <c r="E5542" s="733"/>
    </row>
    <row r="5543" spans="2:5">
      <c r="B5543" s="121">
        <v>460</v>
      </c>
      <c r="C5543" s="121">
        <v>13</v>
      </c>
      <c r="D5543" s="734">
        <v>143.74246469411142</v>
      </c>
      <c r="E5543" s="733"/>
    </row>
    <row r="5544" spans="2:5">
      <c r="B5544" s="121">
        <v>460</v>
      </c>
      <c r="C5544" s="121">
        <v>14</v>
      </c>
      <c r="D5544" s="734">
        <v>145.68559961088641</v>
      </c>
      <c r="E5544" s="733"/>
    </row>
    <row r="5545" spans="2:5">
      <c r="B5545" s="121">
        <v>460</v>
      </c>
      <c r="C5545" s="121">
        <v>15</v>
      </c>
      <c r="D5545" s="734">
        <v>136.40604254376316</v>
      </c>
      <c r="E5545" s="733"/>
    </row>
    <row r="5546" spans="2:5">
      <c r="B5546" s="121">
        <v>460</v>
      </c>
      <c r="C5546" s="121">
        <v>16</v>
      </c>
      <c r="D5546" s="734">
        <v>143.96698891056647</v>
      </c>
      <c r="E5546" s="733"/>
    </row>
    <row r="5547" spans="2:5">
      <c r="B5547" s="121">
        <v>460</v>
      </c>
      <c r="C5547" s="121">
        <v>17</v>
      </c>
      <c r="D5547" s="734">
        <v>147.04181828287165</v>
      </c>
      <c r="E5547" s="733"/>
    </row>
    <row r="5548" spans="2:5">
      <c r="B5548" s="121">
        <v>460</v>
      </c>
      <c r="C5548" s="121">
        <v>18</v>
      </c>
      <c r="D5548" s="734">
        <v>140.63143164337478</v>
      </c>
      <c r="E5548" s="733"/>
    </row>
    <row r="5549" spans="2:5">
      <c r="B5549" s="121">
        <v>460</v>
      </c>
      <c r="C5549" s="121">
        <v>19</v>
      </c>
      <c r="D5549" s="734">
        <v>133.89374140473114</v>
      </c>
      <c r="E5549" s="733"/>
    </row>
    <row r="5550" spans="2:5">
      <c r="B5550" s="121">
        <v>460</v>
      </c>
      <c r="C5550" s="121">
        <v>20</v>
      </c>
      <c r="D5550" s="734">
        <v>143.03868000626065</v>
      </c>
      <c r="E5550" s="733"/>
    </row>
    <row r="5551" spans="2:5">
      <c r="B5551" s="121">
        <v>460</v>
      </c>
      <c r="C5551" s="121">
        <v>21</v>
      </c>
      <c r="D5551" s="734">
        <v>136.21808207791216</v>
      </c>
      <c r="E5551" s="733"/>
    </row>
    <row r="5552" spans="2:5">
      <c r="B5552" s="121">
        <v>460</v>
      </c>
      <c r="C5552" s="121">
        <v>22</v>
      </c>
      <c r="D5552" s="734">
        <v>146.80016570670239</v>
      </c>
      <c r="E5552" s="733"/>
    </row>
    <row r="5553" spans="2:5">
      <c r="B5553" s="121">
        <v>460</v>
      </c>
      <c r="C5553" s="121">
        <v>23</v>
      </c>
      <c r="D5553" s="734">
        <v>145.77815176527025</v>
      </c>
      <c r="E5553" s="733"/>
    </row>
    <row r="5554" spans="2:5">
      <c r="B5554" s="121">
        <v>460</v>
      </c>
      <c r="C5554" s="121">
        <v>24</v>
      </c>
      <c r="D5554" s="734">
        <v>134.62453086516135</v>
      </c>
      <c r="E5554" s="733"/>
    </row>
    <row r="5555" spans="2:5">
      <c r="B5555" s="121">
        <v>460</v>
      </c>
      <c r="C5555" s="121">
        <v>25</v>
      </c>
      <c r="D5555" s="734">
        <v>140.29753861957292</v>
      </c>
      <c r="E5555" s="733"/>
    </row>
    <row r="5556" spans="2:5">
      <c r="B5556" s="121">
        <v>460</v>
      </c>
      <c r="C5556" s="121">
        <v>26</v>
      </c>
      <c r="D5556" s="734">
        <v>135.67354640905555</v>
      </c>
      <c r="E5556" s="733"/>
    </row>
    <row r="5557" spans="2:5">
      <c r="B5557" s="121">
        <v>460</v>
      </c>
      <c r="C5557" s="121">
        <v>27</v>
      </c>
      <c r="D5557" s="734">
        <v>136.26479551180822</v>
      </c>
      <c r="E5557" s="733"/>
    </row>
    <row r="5558" spans="2:5">
      <c r="B5558" s="121">
        <v>460</v>
      </c>
      <c r="C5558" s="121">
        <v>28</v>
      </c>
      <c r="D5558" s="734">
        <v>147.03614382631875</v>
      </c>
      <c r="E5558" s="733"/>
    </row>
    <row r="5559" spans="2:5">
      <c r="B5559" s="121">
        <v>460</v>
      </c>
      <c r="C5559" s="121">
        <v>29</v>
      </c>
      <c r="D5559" s="734">
        <v>134.66399251703689</v>
      </c>
      <c r="E5559" s="733"/>
    </row>
    <row r="5560" spans="2:5">
      <c r="B5560" s="121">
        <v>460</v>
      </c>
      <c r="C5560" s="121">
        <v>30</v>
      </c>
      <c r="D5560" s="734">
        <v>135.72826585139572</v>
      </c>
      <c r="E5560" s="733"/>
    </row>
    <row r="5561" spans="2:5">
      <c r="B5561" s="121">
        <v>460</v>
      </c>
      <c r="C5561" s="121">
        <v>31</v>
      </c>
      <c r="D5561" s="734">
        <v>141.37803207138174</v>
      </c>
      <c r="E5561" s="733"/>
    </row>
    <row r="5562" spans="2:5">
      <c r="B5562" s="121">
        <v>460</v>
      </c>
      <c r="C5562" s="121">
        <v>32</v>
      </c>
      <c r="D5562" s="734">
        <v>144.76742361585173</v>
      </c>
      <c r="E5562" s="733"/>
    </row>
    <row r="5563" spans="2:5">
      <c r="B5563" s="121">
        <v>460</v>
      </c>
      <c r="C5563" s="121">
        <v>33</v>
      </c>
      <c r="D5563" s="734">
        <v>140.83803090569597</v>
      </c>
      <c r="E5563" s="733"/>
    </row>
    <row r="5564" spans="2:5">
      <c r="B5564" s="121">
        <v>460</v>
      </c>
      <c r="C5564" s="121">
        <v>34</v>
      </c>
      <c r="D5564" s="734">
        <v>144.34875199135348</v>
      </c>
      <c r="E5564" s="733"/>
    </row>
    <row r="5565" spans="2:5">
      <c r="B5565" s="121">
        <v>460</v>
      </c>
      <c r="C5565" s="121">
        <v>35</v>
      </c>
      <c r="D5565" s="734">
        <v>144.90154633157181</v>
      </c>
      <c r="E5565" s="733"/>
    </row>
    <row r="5566" spans="2:5">
      <c r="B5566" s="121">
        <v>460</v>
      </c>
      <c r="C5566" s="121">
        <v>36</v>
      </c>
      <c r="D5566" s="734">
        <v>144.2518211111697</v>
      </c>
      <c r="E5566" s="733"/>
    </row>
    <row r="5567" spans="2:5">
      <c r="B5567" s="121">
        <v>461</v>
      </c>
      <c r="C5567" s="121">
        <v>1</v>
      </c>
      <c r="D5567" s="734">
        <v>5</v>
      </c>
      <c r="E5567" s="733"/>
    </row>
    <row r="5568" spans="2:5">
      <c r="B5568" s="121">
        <v>461</v>
      </c>
      <c r="C5568" s="121">
        <v>2</v>
      </c>
      <c r="D5568" s="734">
        <v>100.72022041573834</v>
      </c>
      <c r="E5568" s="733"/>
    </row>
    <row r="5569" spans="2:5">
      <c r="B5569" s="121">
        <v>461</v>
      </c>
      <c r="C5569" s="121">
        <v>3</v>
      </c>
      <c r="D5569" s="734">
        <v>119.14027067698727</v>
      </c>
      <c r="E5569" s="733"/>
    </row>
    <row r="5570" spans="2:5">
      <c r="B5570" s="121">
        <v>461</v>
      </c>
      <c r="C5570" s="121">
        <v>4</v>
      </c>
      <c r="D5570" s="734">
        <v>145.04676539289238</v>
      </c>
      <c r="E5570" s="733"/>
    </row>
    <row r="5571" spans="2:5">
      <c r="B5571" s="121">
        <v>461</v>
      </c>
      <c r="C5571" s="121">
        <v>5</v>
      </c>
      <c r="D5571" s="734">
        <v>141.60606848758368</v>
      </c>
      <c r="E5571" s="733"/>
    </row>
    <row r="5572" spans="2:5">
      <c r="B5572" s="121">
        <v>461</v>
      </c>
      <c r="C5572" s="121">
        <v>6</v>
      </c>
      <c r="D5572" s="734">
        <v>135.58101947139684</v>
      </c>
      <c r="E5572" s="733"/>
    </row>
    <row r="5573" spans="2:5">
      <c r="B5573" s="121">
        <v>461</v>
      </c>
      <c r="C5573" s="121">
        <v>7</v>
      </c>
      <c r="D5573" s="734">
        <v>137.5667602108463</v>
      </c>
      <c r="E5573" s="733"/>
    </row>
    <row r="5574" spans="2:5">
      <c r="B5574" s="121">
        <v>461</v>
      </c>
      <c r="C5574" s="121">
        <v>8</v>
      </c>
      <c r="D5574" s="734">
        <v>143.44121238911819</v>
      </c>
      <c r="E5574" s="733"/>
    </row>
    <row r="5575" spans="2:5">
      <c r="B5575" s="121">
        <v>461</v>
      </c>
      <c r="C5575" s="121">
        <v>9</v>
      </c>
      <c r="D5575" s="734">
        <v>139.00102350020691</v>
      </c>
      <c r="E5575" s="733"/>
    </row>
    <row r="5576" spans="2:5">
      <c r="B5576" s="121">
        <v>461</v>
      </c>
      <c r="C5576" s="121">
        <v>10</v>
      </c>
      <c r="D5576" s="734">
        <v>138.72419213388272</v>
      </c>
      <c r="E5576" s="733"/>
    </row>
    <row r="5577" spans="2:5">
      <c r="B5577" s="121">
        <v>461</v>
      </c>
      <c r="C5577" s="121">
        <v>11</v>
      </c>
      <c r="D5577" s="734">
        <v>139.43625096240467</v>
      </c>
      <c r="E5577" s="733"/>
    </row>
    <row r="5578" spans="2:5">
      <c r="B5578" s="121">
        <v>461</v>
      </c>
      <c r="C5578" s="121">
        <v>12</v>
      </c>
      <c r="D5578" s="734">
        <v>135.19148908347333</v>
      </c>
      <c r="E5578" s="733"/>
    </row>
    <row r="5579" spans="2:5">
      <c r="B5579" s="121">
        <v>461</v>
      </c>
      <c r="C5579" s="121">
        <v>13</v>
      </c>
      <c r="D5579" s="734">
        <v>138.54259362242036</v>
      </c>
      <c r="E5579" s="733"/>
    </row>
    <row r="5580" spans="2:5">
      <c r="B5580" s="121">
        <v>461</v>
      </c>
      <c r="C5580" s="121">
        <v>14</v>
      </c>
      <c r="D5580" s="734">
        <v>136.76200178621295</v>
      </c>
      <c r="E5580" s="733"/>
    </row>
    <row r="5581" spans="2:5">
      <c r="B5581" s="121">
        <v>461</v>
      </c>
      <c r="C5581" s="121">
        <v>15</v>
      </c>
      <c r="D5581" s="734">
        <v>143.68629429779421</v>
      </c>
      <c r="E5581" s="733"/>
    </row>
    <row r="5582" spans="2:5">
      <c r="B5582" s="121">
        <v>461</v>
      </c>
      <c r="C5582" s="121">
        <v>16</v>
      </c>
      <c r="D5582" s="734">
        <v>142.82127489796514</v>
      </c>
      <c r="E5582" s="733"/>
    </row>
    <row r="5583" spans="2:5">
      <c r="B5583" s="121">
        <v>461</v>
      </c>
      <c r="C5583" s="121">
        <v>17</v>
      </c>
      <c r="D5583" s="734">
        <v>146.59816765537715</v>
      </c>
      <c r="E5583" s="733"/>
    </row>
    <row r="5584" spans="2:5">
      <c r="B5584" s="121">
        <v>461</v>
      </c>
      <c r="C5584" s="121">
        <v>18</v>
      </c>
      <c r="D5584" s="734">
        <v>135.68679290675405</v>
      </c>
      <c r="E5584" s="733"/>
    </row>
    <row r="5585" spans="2:5">
      <c r="B5585" s="121">
        <v>461</v>
      </c>
      <c r="C5585" s="121">
        <v>19</v>
      </c>
      <c r="D5585" s="734">
        <v>146.60936702056679</v>
      </c>
      <c r="E5585" s="733"/>
    </row>
    <row r="5586" spans="2:5">
      <c r="B5586" s="121">
        <v>461</v>
      </c>
      <c r="C5586" s="121">
        <v>20</v>
      </c>
      <c r="D5586" s="734">
        <v>140.79836320848298</v>
      </c>
      <c r="E5586" s="733"/>
    </row>
    <row r="5587" spans="2:5">
      <c r="B5587" s="121">
        <v>461</v>
      </c>
      <c r="C5587" s="121">
        <v>21</v>
      </c>
      <c r="D5587" s="734">
        <v>137.22315015192018</v>
      </c>
      <c r="E5587" s="733"/>
    </row>
    <row r="5588" spans="2:5">
      <c r="B5588" s="121">
        <v>461</v>
      </c>
      <c r="C5588" s="121">
        <v>22</v>
      </c>
      <c r="D5588" s="734">
        <v>146.85215075625561</v>
      </c>
      <c r="E5588" s="733"/>
    </row>
    <row r="5589" spans="2:5">
      <c r="B5589" s="121">
        <v>461</v>
      </c>
      <c r="C5589" s="121">
        <v>23</v>
      </c>
      <c r="D5589" s="734">
        <v>143.65955565743559</v>
      </c>
      <c r="E5589" s="733"/>
    </row>
    <row r="5590" spans="2:5">
      <c r="B5590" s="121">
        <v>461</v>
      </c>
      <c r="C5590" s="121">
        <v>24</v>
      </c>
      <c r="D5590" s="734">
        <v>141.33412485183266</v>
      </c>
      <c r="E5590" s="733"/>
    </row>
    <row r="5591" spans="2:5">
      <c r="B5591" s="121">
        <v>461</v>
      </c>
      <c r="C5591" s="121">
        <v>25</v>
      </c>
      <c r="D5591" s="734">
        <v>134.42061368794248</v>
      </c>
      <c r="E5591" s="733"/>
    </row>
    <row r="5592" spans="2:5">
      <c r="B5592" s="121">
        <v>461</v>
      </c>
      <c r="C5592" s="121">
        <v>26</v>
      </c>
      <c r="D5592" s="734">
        <v>139.33804449393472</v>
      </c>
      <c r="E5592" s="733"/>
    </row>
    <row r="5593" spans="2:5">
      <c r="B5593" s="121">
        <v>461</v>
      </c>
      <c r="C5593" s="121">
        <v>27</v>
      </c>
      <c r="D5593" s="734">
        <v>136.84354635232475</v>
      </c>
      <c r="E5593" s="733"/>
    </row>
    <row r="5594" spans="2:5">
      <c r="B5594" s="121">
        <v>461</v>
      </c>
      <c r="C5594" s="121">
        <v>28</v>
      </c>
      <c r="D5594" s="734">
        <v>144.00431507885497</v>
      </c>
      <c r="E5594" s="733"/>
    </row>
    <row r="5595" spans="2:5">
      <c r="B5595" s="121">
        <v>461</v>
      </c>
      <c r="C5595" s="121">
        <v>29</v>
      </c>
      <c r="D5595" s="734">
        <v>145.79223449739797</v>
      </c>
      <c r="E5595" s="733"/>
    </row>
    <row r="5596" spans="2:5">
      <c r="B5596" s="121">
        <v>461</v>
      </c>
      <c r="C5596" s="121">
        <v>30</v>
      </c>
      <c r="D5596" s="734">
        <v>135.78722339581643</v>
      </c>
      <c r="E5596" s="733"/>
    </row>
    <row r="5597" spans="2:5">
      <c r="B5597" s="121">
        <v>461</v>
      </c>
      <c r="C5597" s="121">
        <v>31</v>
      </c>
      <c r="D5597" s="734">
        <v>147.25381759268143</v>
      </c>
      <c r="E5597" s="733"/>
    </row>
    <row r="5598" spans="2:5">
      <c r="B5598" s="121">
        <v>461</v>
      </c>
      <c r="C5598" s="121">
        <v>32</v>
      </c>
      <c r="D5598" s="734">
        <v>146.99460006719136</v>
      </c>
      <c r="E5598" s="733"/>
    </row>
    <row r="5599" spans="2:5">
      <c r="B5599" s="121">
        <v>461</v>
      </c>
      <c r="C5599" s="121">
        <v>33</v>
      </c>
      <c r="D5599" s="734">
        <v>142.90462827501565</v>
      </c>
      <c r="E5599" s="733"/>
    </row>
    <row r="5600" spans="2:5">
      <c r="B5600" s="121">
        <v>461</v>
      </c>
      <c r="C5600" s="121">
        <v>34</v>
      </c>
      <c r="D5600" s="734">
        <v>139.73591626068338</v>
      </c>
      <c r="E5600" s="733"/>
    </row>
    <row r="5601" spans="2:5">
      <c r="B5601" s="121">
        <v>461</v>
      </c>
      <c r="C5601" s="121">
        <v>35</v>
      </c>
      <c r="D5601" s="734">
        <v>134.77866148717848</v>
      </c>
      <c r="E5601" s="733"/>
    </row>
    <row r="5602" spans="2:5">
      <c r="B5602" s="121">
        <v>461</v>
      </c>
      <c r="C5602" s="121">
        <v>36</v>
      </c>
      <c r="D5602" s="734">
        <v>140.55530033891321</v>
      </c>
      <c r="E5602" s="733"/>
    </row>
    <row r="5603" spans="2:5">
      <c r="B5603" s="121">
        <v>462</v>
      </c>
      <c r="C5603" s="121">
        <v>1</v>
      </c>
      <c r="D5603" s="734">
        <v>5</v>
      </c>
      <c r="E5603" s="733"/>
    </row>
    <row r="5604" spans="2:5">
      <c r="B5604" s="121">
        <v>462</v>
      </c>
      <c r="C5604" s="121">
        <v>2</v>
      </c>
      <c r="D5604" s="734">
        <v>97.148224246011523</v>
      </c>
      <c r="E5604" s="733"/>
    </row>
    <row r="5605" spans="2:5">
      <c r="B5605" s="121">
        <v>462</v>
      </c>
      <c r="C5605" s="121">
        <v>3</v>
      </c>
      <c r="D5605" s="734">
        <v>115.18152567903287</v>
      </c>
      <c r="E5605" s="733"/>
    </row>
    <row r="5606" spans="2:5">
      <c r="B5606" s="121">
        <v>462</v>
      </c>
      <c r="C5606" s="121">
        <v>4</v>
      </c>
      <c r="D5606" s="734">
        <v>139.30447069596033</v>
      </c>
      <c r="E5606" s="733"/>
    </row>
    <row r="5607" spans="2:5">
      <c r="B5607" s="121">
        <v>462</v>
      </c>
      <c r="C5607" s="121">
        <v>5</v>
      </c>
      <c r="D5607" s="734">
        <v>144.57266598738451</v>
      </c>
      <c r="E5607" s="733"/>
    </row>
    <row r="5608" spans="2:5">
      <c r="B5608" s="121">
        <v>462</v>
      </c>
      <c r="C5608" s="121">
        <v>6</v>
      </c>
      <c r="D5608" s="734">
        <v>136.84544865781049</v>
      </c>
      <c r="E5608" s="733"/>
    </row>
    <row r="5609" spans="2:5">
      <c r="B5609" s="121">
        <v>462</v>
      </c>
      <c r="C5609" s="121">
        <v>7</v>
      </c>
      <c r="D5609" s="734">
        <v>142.89036207408776</v>
      </c>
      <c r="E5609" s="733"/>
    </row>
    <row r="5610" spans="2:5">
      <c r="B5610" s="121">
        <v>462</v>
      </c>
      <c r="C5610" s="121">
        <v>8</v>
      </c>
      <c r="D5610" s="734">
        <v>136.1734191136523</v>
      </c>
      <c r="E5610" s="733"/>
    </row>
    <row r="5611" spans="2:5">
      <c r="B5611" s="121">
        <v>462</v>
      </c>
      <c r="C5611" s="121">
        <v>9</v>
      </c>
      <c r="D5611" s="734">
        <v>139.96834294271326</v>
      </c>
      <c r="E5611" s="733"/>
    </row>
    <row r="5612" spans="2:5">
      <c r="B5612" s="121">
        <v>462</v>
      </c>
      <c r="C5612" s="121">
        <v>10</v>
      </c>
      <c r="D5612" s="734">
        <v>141.5502959397275</v>
      </c>
      <c r="E5612" s="733"/>
    </row>
    <row r="5613" spans="2:5">
      <c r="B5613" s="121">
        <v>462</v>
      </c>
      <c r="C5613" s="121">
        <v>11</v>
      </c>
      <c r="D5613" s="734">
        <v>136.69729073313752</v>
      </c>
      <c r="E5613" s="733"/>
    </row>
    <row r="5614" spans="2:5">
      <c r="B5614" s="121">
        <v>462</v>
      </c>
      <c r="C5614" s="121">
        <v>12</v>
      </c>
      <c r="D5614" s="734">
        <v>142.93568369513051</v>
      </c>
      <c r="E5614" s="733"/>
    </row>
    <row r="5615" spans="2:5">
      <c r="B5615" s="121">
        <v>462</v>
      </c>
      <c r="C5615" s="121">
        <v>13</v>
      </c>
      <c r="D5615" s="734">
        <v>143.23229859687345</v>
      </c>
      <c r="E5615" s="733"/>
    </row>
    <row r="5616" spans="2:5">
      <c r="B5616" s="121">
        <v>462</v>
      </c>
      <c r="C5616" s="121">
        <v>14</v>
      </c>
      <c r="D5616" s="734">
        <v>141.20817136770944</v>
      </c>
      <c r="E5616" s="733"/>
    </row>
    <row r="5617" spans="2:5">
      <c r="B5617" s="121">
        <v>462</v>
      </c>
      <c r="C5617" s="121">
        <v>15</v>
      </c>
      <c r="D5617" s="734">
        <v>136.6569666865357</v>
      </c>
      <c r="E5617" s="733"/>
    </row>
    <row r="5618" spans="2:5">
      <c r="B5618" s="121">
        <v>462</v>
      </c>
      <c r="C5618" s="121">
        <v>16</v>
      </c>
      <c r="D5618" s="734">
        <v>136.43869813928043</v>
      </c>
      <c r="E5618" s="733"/>
    </row>
    <row r="5619" spans="2:5">
      <c r="B5619" s="121">
        <v>462</v>
      </c>
      <c r="C5619" s="121">
        <v>17</v>
      </c>
      <c r="D5619" s="734">
        <v>146.89994176859065</v>
      </c>
      <c r="E5619" s="733"/>
    </row>
    <row r="5620" spans="2:5">
      <c r="B5620" s="121">
        <v>462</v>
      </c>
      <c r="C5620" s="121">
        <v>18</v>
      </c>
      <c r="D5620" s="734">
        <v>138.86453831224435</v>
      </c>
      <c r="E5620" s="733"/>
    </row>
    <row r="5621" spans="2:5">
      <c r="B5621" s="121">
        <v>462</v>
      </c>
      <c r="C5621" s="121">
        <v>19</v>
      </c>
      <c r="D5621" s="734">
        <v>140.75869291219431</v>
      </c>
      <c r="E5621" s="733"/>
    </row>
    <row r="5622" spans="2:5">
      <c r="B5622" s="121">
        <v>462</v>
      </c>
      <c r="C5622" s="121">
        <v>20</v>
      </c>
      <c r="D5622" s="734">
        <v>141.3806340446296</v>
      </c>
      <c r="E5622" s="733"/>
    </row>
    <row r="5623" spans="2:5">
      <c r="B5623" s="121">
        <v>462</v>
      </c>
      <c r="C5623" s="121">
        <v>21</v>
      </c>
      <c r="D5623" s="734">
        <v>142.59165822836121</v>
      </c>
      <c r="E5623" s="733"/>
    </row>
    <row r="5624" spans="2:5">
      <c r="B5624" s="121">
        <v>462</v>
      </c>
      <c r="C5624" s="121">
        <v>22</v>
      </c>
      <c r="D5624" s="734">
        <v>143.69374075226975</v>
      </c>
      <c r="E5624" s="733"/>
    </row>
    <row r="5625" spans="2:5">
      <c r="B5625" s="121">
        <v>463</v>
      </c>
      <c r="C5625" s="121">
        <v>1</v>
      </c>
      <c r="D5625" s="734">
        <v>5</v>
      </c>
      <c r="E5625" s="733"/>
    </row>
    <row r="5626" spans="2:5">
      <c r="B5626" s="121">
        <v>464</v>
      </c>
      <c r="C5626" s="121">
        <v>1</v>
      </c>
      <c r="D5626" s="734">
        <v>5</v>
      </c>
      <c r="E5626" s="733"/>
    </row>
    <row r="5627" spans="2:5">
      <c r="B5627" s="121">
        <v>465</v>
      </c>
      <c r="C5627" s="121">
        <v>1</v>
      </c>
      <c r="D5627" s="734">
        <v>5</v>
      </c>
      <c r="E5627" s="733"/>
    </row>
    <row r="5628" spans="2:5">
      <c r="B5628" s="121">
        <v>466</v>
      </c>
      <c r="C5628" s="121">
        <v>1</v>
      </c>
      <c r="D5628" s="734">
        <v>5</v>
      </c>
      <c r="E5628" s="733"/>
    </row>
    <row r="5629" spans="2:5">
      <c r="B5629" s="121">
        <v>466</v>
      </c>
      <c r="C5629" s="121">
        <v>2</v>
      </c>
      <c r="D5629" s="734">
        <v>99.308907989090557</v>
      </c>
      <c r="E5629" s="733"/>
    </row>
    <row r="5630" spans="2:5">
      <c r="B5630" s="121">
        <v>466</v>
      </c>
      <c r="C5630" s="121">
        <v>3</v>
      </c>
      <c r="D5630" s="734">
        <v>124.00117416771842</v>
      </c>
      <c r="E5630" s="733"/>
    </row>
    <row r="5631" spans="2:5">
      <c r="B5631" s="121">
        <v>466</v>
      </c>
      <c r="C5631" s="121">
        <v>4</v>
      </c>
      <c r="D5631" s="734">
        <v>145.7386392263077</v>
      </c>
      <c r="E5631" s="733"/>
    </row>
    <row r="5632" spans="2:5">
      <c r="B5632" s="121">
        <v>466</v>
      </c>
      <c r="C5632" s="121">
        <v>5</v>
      </c>
      <c r="D5632" s="734">
        <v>137.66787402344846</v>
      </c>
      <c r="E5632" s="733"/>
    </row>
    <row r="5633" spans="2:5">
      <c r="B5633" s="121">
        <v>466</v>
      </c>
      <c r="C5633" s="121">
        <v>6</v>
      </c>
      <c r="D5633" s="734">
        <v>142.74046042266173</v>
      </c>
      <c r="E5633" s="733"/>
    </row>
    <row r="5634" spans="2:5">
      <c r="B5634" s="121">
        <v>466</v>
      </c>
      <c r="C5634" s="121">
        <v>7</v>
      </c>
      <c r="D5634" s="734">
        <v>134.81904009832635</v>
      </c>
      <c r="E5634" s="733"/>
    </row>
    <row r="5635" spans="2:5">
      <c r="B5635" s="121">
        <v>466</v>
      </c>
      <c r="C5635" s="121">
        <v>8</v>
      </c>
      <c r="D5635" s="734">
        <v>146.0397865103032</v>
      </c>
      <c r="E5635" s="733"/>
    </row>
    <row r="5636" spans="2:5">
      <c r="B5636" s="121">
        <v>466</v>
      </c>
      <c r="C5636" s="121">
        <v>9</v>
      </c>
      <c r="D5636" s="734">
        <v>139.30476726772275</v>
      </c>
      <c r="E5636" s="733"/>
    </row>
    <row r="5637" spans="2:5">
      <c r="B5637" s="121">
        <v>467</v>
      </c>
      <c r="C5637" s="121">
        <v>1</v>
      </c>
      <c r="D5637" s="734">
        <v>5</v>
      </c>
      <c r="E5637" s="733"/>
    </row>
    <row r="5638" spans="2:5">
      <c r="B5638" s="121">
        <v>468</v>
      </c>
      <c r="C5638" s="121">
        <v>1</v>
      </c>
      <c r="D5638" s="734">
        <v>5</v>
      </c>
      <c r="E5638" s="733"/>
    </row>
    <row r="5639" spans="2:5">
      <c r="B5639" s="121">
        <v>468</v>
      </c>
      <c r="C5639" s="121">
        <v>2</v>
      </c>
      <c r="D5639" s="734">
        <v>98.977795594398685</v>
      </c>
      <c r="E5639" s="733"/>
    </row>
    <row r="5640" spans="2:5">
      <c r="B5640" s="121">
        <v>468</v>
      </c>
      <c r="C5640" s="121">
        <v>3</v>
      </c>
      <c r="D5640" s="734">
        <v>116.59110040777081</v>
      </c>
      <c r="E5640" s="733"/>
    </row>
    <row r="5641" spans="2:5">
      <c r="B5641" s="121">
        <v>468</v>
      </c>
      <c r="C5641" s="121">
        <v>4</v>
      </c>
      <c r="D5641" s="734">
        <v>144.788314852045</v>
      </c>
      <c r="E5641" s="733"/>
    </row>
    <row r="5642" spans="2:5">
      <c r="B5642" s="121">
        <v>468</v>
      </c>
      <c r="C5642" s="121">
        <v>5</v>
      </c>
      <c r="D5642" s="734">
        <v>142.75039530951179</v>
      </c>
      <c r="E5642" s="733"/>
    </row>
    <row r="5643" spans="2:5">
      <c r="B5643" s="121">
        <v>468</v>
      </c>
      <c r="C5643" s="121">
        <v>6</v>
      </c>
      <c r="D5643" s="734">
        <v>146.3900534683344</v>
      </c>
      <c r="E5643" s="733"/>
    </row>
    <row r="5644" spans="2:5">
      <c r="B5644" s="121">
        <v>468</v>
      </c>
      <c r="C5644" s="121">
        <v>7</v>
      </c>
      <c r="D5644" s="734">
        <v>140.83850704858838</v>
      </c>
      <c r="E5644" s="733"/>
    </row>
    <row r="5645" spans="2:5">
      <c r="B5645" s="121">
        <v>468</v>
      </c>
      <c r="C5645" s="121">
        <v>8</v>
      </c>
      <c r="D5645" s="734">
        <v>135.61098811360822</v>
      </c>
      <c r="E5645" s="733"/>
    </row>
    <row r="5646" spans="2:5">
      <c r="B5646" s="121">
        <v>468</v>
      </c>
      <c r="C5646" s="121">
        <v>9</v>
      </c>
      <c r="D5646" s="734">
        <v>143.38862389457489</v>
      </c>
      <c r="E5646" s="733"/>
    </row>
    <row r="5647" spans="2:5">
      <c r="B5647" s="121">
        <v>468</v>
      </c>
      <c r="C5647" s="121">
        <v>10</v>
      </c>
      <c r="D5647" s="734">
        <v>137.26449154419299</v>
      </c>
      <c r="E5647" s="733"/>
    </row>
    <row r="5648" spans="2:5">
      <c r="B5648" s="121">
        <v>468</v>
      </c>
      <c r="C5648" s="121">
        <v>11</v>
      </c>
      <c r="D5648" s="734">
        <v>146.99609316353803</v>
      </c>
      <c r="E5648" s="733"/>
    </row>
    <row r="5649" spans="2:5">
      <c r="B5649" s="121">
        <v>468</v>
      </c>
      <c r="C5649" s="121">
        <v>12</v>
      </c>
      <c r="D5649" s="734">
        <v>146.33422798433386</v>
      </c>
      <c r="E5649" s="733"/>
    </row>
    <row r="5650" spans="2:5">
      <c r="B5650" s="121">
        <v>468</v>
      </c>
      <c r="C5650" s="121">
        <v>13</v>
      </c>
      <c r="D5650" s="734">
        <v>144.82290424191365</v>
      </c>
      <c r="E5650" s="733"/>
    </row>
    <row r="5651" spans="2:5">
      <c r="B5651" s="121">
        <v>468</v>
      </c>
      <c r="C5651" s="121">
        <v>14</v>
      </c>
      <c r="D5651" s="734">
        <v>136.85967373584282</v>
      </c>
      <c r="E5651" s="733"/>
    </row>
    <row r="5652" spans="2:5">
      <c r="B5652" s="121">
        <v>468</v>
      </c>
      <c r="C5652" s="121">
        <v>15</v>
      </c>
      <c r="D5652" s="734">
        <v>140.64075137930965</v>
      </c>
      <c r="E5652" s="733"/>
    </row>
    <row r="5653" spans="2:5">
      <c r="B5653" s="121">
        <v>468</v>
      </c>
      <c r="C5653" s="121">
        <v>16</v>
      </c>
      <c r="D5653" s="734">
        <v>140.31361150588458</v>
      </c>
      <c r="E5653" s="733"/>
    </row>
    <row r="5654" spans="2:5">
      <c r="B5654" s="121">
        <v>468</v>
      </c>
      <c r="C5654" s="121">
        <v>17</v>
      </c>
      <c r="D5654" s="734">
        <v>137.84100467982691</v>
      </c>
      <c r="E5654" s="733"/>
    </row>
    <row r="5655" spans="2:5">
      <c r="B5655" s="121">
        <v>468</v>
      </c>
      <c r="C5655" s="121">
        <v>18</v>
      </c>
      <c r="D5655" s="734">
        <v>142.86125623797471</v>
      </c>
      <c r="E5655" s="733"/>
    </row>
    <row r="5656" spans="2:5">
      <c r="B5656" s="121">
        <v>468</v>
      </c>
      <c r="C5656" s="121">
        <v>19</v>
      </c>
      <c r="D5656" s="734">
        <v>140.84663184184276</v>
      </c>
      <c r="E5656" s="733"/>
    </row>
    <row r="5657" spans="2:5">
      <c r="B5657" s="121">
        <v>468</v>
      </c>
      <c r="C5657" s="121">
        <v>20</v>
      </c>
      <c r="D5657" s="734">
        <v>137.36917545547095</v>
      </c>
      <c r="E5657" s="733"/>
    </row>
    <row r="5658" spans="2:5">
      <c r="B5658" s="121">
        <v>469</v>
      </c>
      <c r="C5658" s="121">
        <v>1</v>
      </c>
      <c r="D5658" s="734">
        <v>5</v>
      </c>
      <c r="E5658" s="733"/>
    </row>
    <row r="5659" spans="2:5">
      <c r="B5659" s="121">
        <v>470</v>
      </c>
      <c r="C5659" s="121">
        <v>1</v>
      </c>
      <c r="D5659" s="734">
        <v>5</v>
      </c>
      <c r="E5659" s="733"/>
    </row>
    <row r="5660" spans="2:5">
      <c r="B5660" s="121">
        <v>470</v>
      </c>
      <c r="C5660" s="121">
        <v>2</v>
      </c>
      <c r="D5660" s="734">
        <v>100.2162642668184</v>
      </c>
      <c r="E5660" s="733"/>
    </row>
    <row r="5661" spans="2:5">
      <c r="B5661" s="121">
        <v>470</v>
      </c>
      <c r="C5661" s="121">
        <v>3</v>
      </c>
      <c r="D5661" s="734">
        <v>118.9111871306207</v>
      </c>
      <c r="E5661" s="733"/>
    </row>
    <row r="5662" spans="2:5">
      <c r="B5662" s="121">
        <v>471</v>
      </c>
      <c r="C5662" s="121">
        <v>1</v>
      </c>
      <c r="D5662" s="734">
        <v>5</v>
      </c>
      <c r="E5662" s="733"/>
    </row>
    <row r="5663" spans="2:5">
      <c r="B5663" s="121">
        <v>471</v>
      </c>
      <c r="C5663" s="121">
        <v>2</v>
      </c>
      <c r="D5663" s="734">
        <v>96.048643418012446</v>
      </c>
      <c r="E5663" s="733"/>
    </row>
    <row r="5664" spans="2:5">
      <c r="B5664" s="121">
        <v>471</v>
      </c>
      <c r="C5664" s="121">
        <v>3</v>
      </c>
      <c r="D5664" s="734">
        <v>123.06052626171753</v>
      </c>
      <c r="E5664" s="733"/>
    </row>
    <row r="5665" spans="2:5">
      <c r="B5665" s="121">
        <v>471</v>
      </c>
      <c r="C5665" s="121">
        <v>4</v>
      </c>
      <c r="D5665" s="734">
        <v>138.20161598681037</v>
      </c>
      <c r="E5665" s="733"/>
    </row>
    <row r="5666" spans="2:5">
      <c r="B5666" s="121">
        <v>471</v>
      </c>
      <c r="C5666" s="121">
        <v>5</v>
      </c>
      <c r="D5666" s="734">
        <v>138.66362798098794</v>
      </c>
      <c r="E5666" s="733"/>
    </row>
    <row r="5667" spans="2:5">
      <c r="B5667" s="121">
        <v>471</v>
      </c>
      <c r="C5667" s="121">
        <v>6</v>
      </c>
      <c r="D5667" s="734">
        <v>146.93306780565567</v>
      </c>
      <c r="E5667" s="733"/>
    </row>
    <row r="5668" spans="2:5">
      <c r="B5668" s="121">
        <v>471</v>
      </c>
      <c r="C5668" s="121">
        <v>7</v>
      </c>
      <c r="D5668" s="734">
        <v>142.52206012914635</v>
      </c>
      <c r="E5668" s="733"/>
    </row>
    <row r="5669" spans="2:5">
      <c r="B5669" s="121">
        <v>471</v>
      </c>
      <c r="C5669" s="121">
        <v>8</v>
      </c>
      <c r="D5669" s="734">
        <v>146.60722250833118</v>
      </c>
      <c r="E5669" s="733"/>
    </row>
    <row r="5670" spans="2:5">
      <c r="B5670" s="121">
        <v>471</v>
      </c>
      <c r="C5670" s="121">
        <v>9</v>
      </c>
      <c r="D5670" s="734">
        <v>144.76089191097122</v>
      </c>
      <c r="E5670" s="733"/>
    </row>
    <row r="5671" spans="2:5">
      <c r="B5671" s="121">
        <v>471</v>
      </c>
      <c r="C5671" s="121">
        <v>10</v>
      </c>
      <c r="D5671" s="734">
        <v>136.68203685558527</v>
      </c>
      <c r="E5671" s="733"/>
    </row>
    <row r="5672" spans="2:5">
      <c r="B5672" s="121">
        <v>472</v>
      </c>
      <c r="C5672" s="121">
        <v>1</v>
      </c>
      <c r="D5672" s="734">
        <v>5</v>
      </c>
      <c r="E5672" s="733"/>
    </row>
    <row r="5673" spans="2:5">
      <c r="B5673" s="121">
        <v>472</v>
      </c>
      <c r="C5673" s="121">
        <v>2</v>
      </c>
      <c r="D5673" s="734">
        <v>96.583540150545502</v>
      </c>
      <c r="E5673" s="733"/>
    </row>
    <row r="5674" spans="2:5">
      <c r="B5674" s="121">
        <v>472</v>
      </c>
      <c r="C5674" s="121">
        <v>3</v>
      </c>
      <c r="D5674" s="734">
        <v>119.98391755202064</v>
      </c>
      <c r="E5674" s="733"/>
    </row>
    <row r="5675" spans="2:5">
      <c r="B5675" s="121">
        <v>472</v>
      </c>
      <c r="C5675" s="121">
        <v>4</v>
      </c>
      <c r="D5675" s="734">
        <v>137.98832641111474</v>
      </c>
      <c r="E5675" s="733"/>
    </row>
    <row r="5676" spans="2:5">
      <c r="B5676" s="121">
        <v>472</v>
      </c>
      <c r="C5676" s="121">
        <v>5</v>
      </c>
      <c r="D5676" s="734">
        <v>143.71407192985828</v>
      </c>
      <c r="E5676" s="733"/>
    </row>
    <row r="5677" spans="2:5">
      <c r="B5677" s="121">
        <v>472</v>
      </c>
      <c r="C5677" s="121">
        <v>6</v>
      </c>
      <c r="D5677" s="734">
        <v>141.86795052420806</v>
      </c>
      <c r="E5677" s="733"/>
    </row>
    <row r="5678" spans="2:5">
      <c r="B5678" s="121">
        <v>472</v>
      </c>
      <c r="C5678" s="121">
        <v>7</v>
      </c>
      <c r="D5678" s="734">
        <v>141.8074711490124</v>
      </c>
      <c r="E5678" s="733"/>
    </row>
    <row r="5679" spans="2:5">
      <c r="B5679" s="121">
        <v>473</v>
      </c>
      <c r="C5679" s="121">
        <v>1</v>
      </c>
      <c r="D5679" s="734">
        <v>5</v>
      </c>
      <c r="E5679" s="733"/>
    </row>
    <row r="5680" spans="2:5">
      <c r="B5680" s="121">
        <v>473</v>
      </c>
      <c r="C5680" s="121">
        <v>2</v>
      </c>
      <c r="D5680" s="734">
        <v>95.6606445425478</v>
      </c>
      <c r="E5680" s="733"/>
    </row>
    <row r="5681" spans="2:5">
      <c r="B5681" s="121">
        <v>473</v>
      </c>
      <c r="C5681" s="121">
        <v>3</v>
      </c>
      <c r="D5681" s="734">
        <v>117.64468886671716</v>
      </c>
      <c r="E5681" s="733"/>
    </row>
    <row r="5682" spans="2:5">
      <c r="B5682" s="121">
        <v>473</v>
      </c>
      <c r="C5682" s="121">
        <v>4</v>
      </c>
      <c r="D5682" s="734">
        <v>143.80244607305653</v>
      </c>
      <c r="E5682" s="733"/>
    </row>
    <row r="5683" spans="2:5">
      <c r="B5683" s="121">
        <v>474</v>
      </c>
      <c r="C5683" s="121">
        <v>1</v>
      </c>
      <c r="D5683" s="734">
        <v>5</v>
      </c>
      <c r="E5683" s="733"/>
    </row>
    <row r="5684" spans="2:5">
      <c r="B5684" s="121">
        <v>474</v>
      </c>
      <c r="C5684" s="121">
        <v>2</v>
      </c>
      <c r="D5684" s="734">
        <v>101.73572458910658</v>
      </c>
      <c r="E5684" s="733"/>
    </row>
    <row r="5685" spans="2:5">
      <c r="B5685" s="121">
        <v>474</v>
      </c>
      <c r="C5685" s="121">
        <v>3</v>
      </c>
      <c r="D5685" s="734">
        <v>117.90533056668836</v>
      </c>
      <c r="E5685" s="733"/>
    </row>
    <row r="5686" spans="2:5">
      <c r="B5686" s="121">
        <v>474</v>
      </c>
      <c r="C5686" s="121">
        <v>4</v>
      </c>
      <c r="D5686" s="734">
        <v>136.47609764338077</v>
      </c>
      <c r="E5686" s="733"/>
    </row>
    <row r="5687" spans="2:5">
      <c r="B5687" s="121">
        <v>474</v>
      </c>
      <c r="C5687" s="121">
        <v>5</v>
      </c>
      <c r="D5687" s="734">
        <v>144.27372776996097</v>
      </c>
      <c r="E5687" s="733"/>
    </row>
    <row r="5688" spans="2:5">
      <c r="B5688" s="121">
        <v>474</v>
      </c>
      <c r="C5688" s="121">
        <v>6</v>
      </c>
      <c r="D5688" s="734">
        <v>145.83931744202772</v>
      </c>
      <c r="E5688" s="733"/>
    </row>
    <row r="5689" spans="2:5">
      <c r="B5689" s="121">
        <v>474</v>
      </c>
      <c r="C5689" s="121">
        <v>7</v>
      </c>
      <c r="D5689" s="734">
        <v>134.94334199538864</v>
      </c>
      <c r="E5689" s="733"/>
    </row>
    <row r="5690" spans="2:5">
      <c r="B5690" s="121">
        <v>474</v>
      </c>
      <c r="C5690" s="121">
        <v>8</v>
      </c>
      <c r="D5690" s="734">
        <v>146.32030263008303</v>
      </c>
      <c r="E5690" s="733"/>
    </row>
    <row r="5691" spans="2:5">
      <c r="B5691" s="121">
        <v>474</v>
      </c>
      <c r="C5691" s="121">
        <v>9</v>
      </c>
      <c r="D5691" s="734">
        <v>147.24847058228445</v>
      </c>
      <c r="E5691" s="733"/>
    </row>
    <row r="5692" spans="2:5">
      <c r="B5692" s="121">
        <v>474</v>
      </c>
      <c r="C5692" s="121">
        <v>10</v>
      </c>
      <c r="D5692" s="734">
        <v>136.49031787301539</v>
      </c>
      <c r="E5692" s="733"/>
    </row>
    <row r="5693" spans="2:5">
      <c r="B5693" s="121">
        <v>474</v>
      </c>
      <c r="C5693" s="121">
        <v>11</v>
      </c>
      <c r="D5693" s="734">
        <v>133.93541765599861</v>
      </c>
      <c r="E5693" s="733"/>
    </row>
    <row r="5694" spans="2:5">
      <c r="B5694" s="121">
        <v>474</v>
      </c>
      <c r="C5694" s="121">
        <v>12</v>
      </c>
      <c r="D5694" s="734">
        <v>141.30338746204754</v>
      </c>
      <c r="E5694" s="733"/>
    </row>
    <row r="5695" spans="2:5">
      <c r="B5695" s="121">
        <v>475</v>
      </c>
      <c r="C5695" s="121">
        <v>1</v>
      </c>
      <c r="D5695" s="734">
        <v>5</v>
      </c>
      <c r="E5695" s="733"/>
    </row>
    <row r="5696" spans="2:5">
      <c r="B5696" s="121">
        <v>475</v>
      </c>
      <c r="C5696" s="121">
        <v>2</v>
      </c>
      <c r="D5696" s="734">
        <v>96.055211143132695</v>
      </c>
      <c r="E5696" s="733"/>
    </row>
    <row r="5697" spans="2:5">
      <c r="B5697" s="121">
        <v>475</v>
      </c>
      <c r="C5697" s="121">
        <v>3</v>
      </c>
      <c r="D5697" s="734">
        <v>114.91990023117302</v>
      </c>
      <c r="E5697" s="733"/>
    </row>
    <row r="5698" spans="2:5">
      <c r="B5698" s="121">
        <v>475</v>
      </c>
      <c r="C5698" s="121">
        <v>4</v>
      </c>
      <c r="D5698" s="734">
        <v>140.96998269710161</v>
      </c>
      <c r="E5698" s="733"/>
    </row>
    <row r="5699" spans="2:5">
      <c r="B5699" s="121">
        <v>475</v>
      </c>
      <c r="C5699" s="121">
        <v>5</v>
      </c>
      <c r="D5699" s="734">
        <v>139.04540483093774</v>
      </c>
      <c r="E5699" s="733"/>
    </row>
    <row r="5700" spans="2:5">
      <c r="B5700" s="121">
        <v>475</v>
      </c>
      <c r="C5700" s="121">
        <v>6</v>
      </c>
      <c r="D5700" s="734">
        <v>140.98882595758221</v>
      </c>
      <c r="E5700" s="733"/>
    </row>
    <row r="5701" spans="2:5">
      <c r="B5701" s="121">
        <v>475</v>
      </c>
      <c r="C5701" s="121">
        <v>7</v>
      </c>
      <c r="D5701" s="734">
        <v>136.75792569638165</v>
      </c>
      <c r="E5701" s="733"/>
    </row>
    <row r="5702" spans="2:5">
      <c r="B5702" s="121">
        <v>475</v>
      </c>
      <c r="C5702" s="121">
        <v>8</v>
      </c>
      <c r="D5702" s="734">
        <v>134.1700317294667</v>
      </c>
      <c r="E5702" s="733"/>
    </row>
    <row r="5703" spans="2:5">
      <c r="B5703" s="121">
        <v>475</v>
      </c>
      <c r="C5703" s="121">
        <v>9</v>
      </c>
      <c r="D5703" s="734">
        <v>138.52843040731958</v>
      </c>
      <c r="E5703" s="733"/>
    </row>
    <row r="5704" spans="2:5">
      <c r="B5704" s="121">
        <v>476</v>
      </c>
      <c r="C5704" s="121">
        <v>1</v>
      </c>
      <c r="D5704" s="734">
        <v>5</v>
      </c>
      <c r="E5704" s="733"/>
    </row>
    <row r="5705" spans="2:5">
      <c r="B5705" s="121">
        <v>477</v>
      </c>
      <c r="C5705" s="121">
        <v>1</v>
      </c>
      <c r="D5705" s="734">
        <v>5</v>
      </c>
      <c r="E5705" s="733"/>
    </row>
    <row r="5706" spans="2:5">
      <c r="B5706" s="121">
        <v>477</v>
      </c>
      <c r="C5706" s="121">
        <v>2</v>
      </c>
      <c r="D5706" s="734">
        <v>97.733458053753935</v>
      </c>
      <c r="E5706" s="733"/>
    </row>
    <row r="5707" spans="2:5">
      <c r="B5707" s="121">
        <v>477</v>
      </c>
      <c r="C5707" s="121">
        <v>3</v>
      </c>
      <c r="D5707" s="734">
        <v>118.44739018464921</v>
      </c>
      <c r="E5707" s="733"/>
    </row>
    <row r="5708" spans="2:5">
      <c r="B5708" s="121">
        <v>477</v>
      </c>
      <c r="C5708" s="121">
        <v>4</v>
      </c>
      <c r="D5708" s="734">
        <v>147.06948917100232</v>
      </c>
      <c r="E5708" s="733"/>
    </row>
    <row r="5709" spans="2:5">
      <c r="B5709" s="121">
        <v>477</v>
      </c>
      <c r="C5709" s="121">
        <v>5</v>
      </c>
      <c r="D5709" s="734">
        <v>143.69093483952804</v>
      </c>
      <c r="E5709" s="733"/>
    </row>
    <row r="5710" spans="2:5">
      <c r="B5710" s="121">
        <v>477</v>
      </c>
      <c r="C5710" s="121">
        <v>6</v>
      </c>
      <c r="D5710" s="734">
        <v>137.79528052295626</v>
      </c>
      <c r="E5710" s="733"/>
    </row>
    <row r="5711" spans="2:5">
      <c r="B5711" s="121">
        <v>477</v>
      </c>
      <c r="C5711" s="121">
        <v>7</v>
      </c>
      <c r="D5711" s="734">
        <v>140.76191570275213</v>
      </c>
      <c r="E5711" s="733"/>
    </row>
    <row r="5712" spans="2:5">
      <c r="B5712" s="121">
        <v>477</v>
      </c>
      <c r="C5712" s="121">
        <v>8</v>
      </c>
      <c r="D5712" s="734">
        <v>139.90644852799625</v>
      </c>
      <c r="E5712" s="733"/>
    </row>
    <row r="5713" spans="2:5">
      <c r="B5713" s="121">
        <v>477</v>
      </c>
      <c r="C5713" s="121">
        <v>9</v>
      </c>
      <c r="D5713" s="734">
        <v>144.44972579301506</v>
      </c>
      <c r="E5713" s="733"/>
    </row>
    <row r="5714" spans="2:5">
      <c r="B5714" s="121">
        <v>478</v>
      </c>
      <c r="C5714" s="121">
        <v>1</v>
      </c>
      <c r="D5714" s="734">
        <v>5</v>
      </c>
      <c r="E5714" s="733"/>
    </row>
    <row r="5715" spans="2:5">
      <c r="B5715" s="121">
        <v>478</v>
      </c>
      <c r="C5715" s="121">
        <v>2</v>
      </c>
      <c r="D5715" s="734">
        <v>99.032708527892595</v>
      </c>
      <c r="E5715" s="733"/>
    </row>
    <row r="5716" spans="2:5">
      <c r="B5716" s="121">
        <v>478</v>
      </c>
      <c r="C5716" s="121">
        <v>3</v>
      </c>
      <c r="D5716" s="734">
        <v>116.5994356572421</v>
      </c>
      <c r="E5716" s="733"/>
    </row>
    <row r="5717" spans="2:5">
      <c r="B5717" s="121">
        <v>478</v>
      </c>
      <c r="C5717" s="121">
        <v>4</v>
      </c>
      <c r="D5717" s="734">
        <v>137.84796309855935</v>
      </c>
      <c r="E5717" s="733"/>
    </row>
    <row r="5718" spans="2:5">
      <c r="B5718" s="121">
        <v>478</v>
      </c>
      <c r="C5718" s="121">
        <v>5</v>
      </c>
      <c r="D5718" s="734">
        <v>144.51272953149564</v>
      </c>
      <c r="E5718" s="733"/>
    </row>
    <row r="5719" spans="2:5">
      <c r="B5719" s="121">
        <v>478</v>
      </c>
      <c r="C5719" s="121">
        <v>6</v>
      </c>
      <c r="D5719" s="734">
        <v>136.7283416846268</v>
      </c>
      <c r="E5719" s="733"/>
    </row>
    <row r="5720" spans="2:5">
      <c r="B5720" s="121">
        <v>478</v>
      </c>
      <c r="C5720" s="121">
        <v>7</v>
      </c>
      <c r="D5720" s="734">
        <v>141.23089836336351</v>
      </c>
      <c r="E5720" s="733"/>
    </row>
    <row r="5721" spans="2:5">
      <c r="B5721" s="121">
        <v>478</v>
      </c>
      <c r="C5721" s="121">
        <v>8</v>
      </c>
      <c r="D5721" s="734">
        <v>141.78611060044753</v>
      </c>
      <c r="E5721" s="733"/>
    </row>
    <row r="5722" spans="2:5">
      <c r="B5722" s="121">
        <v>478</v>
      </c>
      <c r="C5722" s="121">
        <v>9</v>
      </c>
      <c r="D5722" s="734">
        <v>146.74084154947559</v>
      </c>
      <c r="E5722" s="733"/>
    </row>
    <row r="5723" spans="2:5">
      <c r="B5723" s="121">
        <v>478</v>
      </c>
      <c r="C5723" s="121">
        <v>10</v>
      </c>
      <c r="D5723" s="734">
        <v>137.60752403688505</v>
      </c>
      <c r="E5723" s="733"/>
    </row>
    <row r="5724" spans="2:5">
      <c r="B5724" s="121">
        <v>478</v>
      </c>
      <c r="C5724" s="121">
        <v>11</v>
      </c>
      <c r="D5724" s="734">
        <v>138.8070252044819</v>
      </c>
      <c r="E5724" s="733"/>
    </row>
    <row r="5725" spans="2:5">
      <c r="B5725" s="121">
        <v>478</v>
      </c>
      <c r="C5725" s="121">
        <v>12</v>
      </c>
      <c r="D5725" s="734">
        <v>139.98084266267875</v>
      </c>
      <c r="E5725" s="733"/>
    </row>
    <row r="5726" spans="2:5">
      <c r="B5726" s="121">
        <v>478</v>
      </c>
      <c r="C5726" s="121">
        <v>13</v>
      </c>
      <c r="D5726" s="734">
        <v>142.80570953934659</v>
      </c>
      <c r="E5726" s="733"/>
    </row>
    <row r="5727" spans="2:5">
      <c r="B5727" s="121">
        <v>478</v>
      </c>
      <c r="C5727" s="121">
        <v>14</v>
      </c>
      <c r="D5727" s="734">
        <v>136.5812116413166</v>
      </c>
      <c r="E5727" s="733"/>
    </row>
    <row r="5728" spans="2:5">
      <c r="B5728" s="121">
        <v>478</v>
      </c>
      <c r="C5728" s="121">
        <v>15</v>
      </c>
      <c r="D5728" s="734">
        <v>139.31201875164646</v>
      </c>
      <c r="E5728" s="733"/>
    </row>
    <row r="5729" spans="2:5">
      <c r="B5729" s="121">
        <v>478</v>
      </c>
      <c r="C5729" s="121">
        <v>16</v>
      </c>
      <c r="D5729" s="734">
        <v>139.90580736533184</v>
      </c>
      <c r="E5729" s="733"/>
    </row>
    <row r="5730" spans="2:5">
      <c r="B5730" s="121">
        <v>478</v>
      </c>
      <c r="C5730" s="121">
        <v>17</v>
      </c>
      <c r="D5730" s="734">
        <v>146.94434958668683</v>
      </c>
      <c r="E5730" s="733"/>
    </row>
    <row r="5731" spans="2:5">
      <c r="B5731" s="121">
        <v>478</v>
      </c>
      <c r="C5731" s="121">
        <v>18</v>
      </c>
      <c r="D5731" s="734">
        <v>138.93325973940375</v>
      </c>
      <c r="E5731" s="733"/>
    </row>
    <row r="5732" spans="2:5">
      <c r="B5732" s="121">
        <v>478</v>
      </c>
      <c r="C5732" s="121">
        <v>19</v>
      </c>
      <c r="D5732" s="734">
        <v>138.67499612142859</v>
      </c>
      <c r="E5732" s="733"/>
    </row>
    <row r="5733" spans="2:5">
      <c r="B5733" s="121">
        <v>478</v>
      </c>
      <c r="C5733" s="121">
        <v>20</v>
      </c>
      <c r="D5733" s="734">
        <v>145.30943890095142</v>
      </c>
      <c r="E5733" s="733"/>
    </row>
    <row r="5734" spans="2:5">
      <c r="B5734" s="121">
        <v>478</v>
      </c>
      <c r="C5734" s="121">
        <v>21</v>
      </c>
      <c r="D5734" s="734">
        <v>139.33547870924625</v>
      </c>
      <c r="E5734" s="733"/>
    </row>
    <row r="5735" spans="2:5">
      <c r="B5735" s="121">
        <v>478</v>
      </c>
      <c r="C5735" s="121">
        <v>22</v>
      </c>
      <c r="D5735" s="734">
        <v>135.04474757210437</v>
      </c>
      <c r="E5735" s="733"/>
    </row>
    <row r="5736" spans="2:5">
      <c r="B5736" s="121">
        <v>478</v>
      </c>
      <c r="C5736" s="121">
        <v>23</v>
      </c>
      <c r="D5736" s="734">
        <v>140.77901845040881</v>
      </c>
      <c r="E5736" s="733"/>
    </row>
    <row r="5737" spans="2:5">
      <c r="B5737" s="121">
        <v>478</v>
      </c>
      <c r="C5737" s="121">
        <v>24</v>
      </c>
      <c r="D5737" s="734">
        <v>145.58660948488401</v>
      </c>
      <c r="E5737" s="733"/>
    </row>
    <row r="5738" spans="2:5">
      <c r="B5738" s="121">
        <v>478</v>
      </c>
      <c r="C5738" s="121">
        <v>25</v>
      </c>
      <c r="D5738" s="734">
        <v>143.74641305456058</v>
      </c>
      <c r="E5738" s="733"/>
    </row>
    <row r="5739" spans="2:5">
      <c r="B5739" s="121">
        <v>478</v>
      </c>
      <c r="C5739" s="121">
        <v>26</v>
      </c>
      <c r="D5739" s="734">
        <v>133.73814432064921</v>
      </c>
      <c r="E5739" s="733"/>
    </row>
    <row r="5740" spans="2:5">
      <c r="B5740" s="121">
        <v>478</v>
      </c>
      <c r="C5740" s="121">
        <v>27</v>
      </c>
      <c r="D5740" s="734">
        <v>135.81787512140767</v>
      </c>
      <c r="E5740" s="733"/>
    </row>
    <row r="5741" spans="2:5">
      <c r="B5741" s="121">
        <v>478</v>
      </c>
      <c r="C5741" s="121">
        <v>28</v>
      </c>
      <c r="D5741" s="734">
        <v>141.30326298246061</v>
      </c>
      <c r="E5741" s="733"/>
    </row>
    <row r="5742" spans="2:5">
      <c r="B5742" s="121">
        <v>478</v>
      </c>
      <c r="C5742" s="121">
        <v>29</v>
      </c>
      <c r="D5742" s="734">
        <v>143.70304486634777</v>
      </c>
      <c r="E5742" s="733"/>
    </row>
    <row r="5743" spans="2:5">
      <c r="B5743" s="121">
        <v>478</v>
      </c>
      <c r="C5743" s="121">
        <v>30</v>
      </c>
      <c r="D5743" s="734">
        <v>138.320348280036</v>
      </c>
      <c r="E5743" s="733"/>
    </row>
    <row r="5744" spans="2:5">
      <c r="B5744" s="121">
        <v>478</v>
      </c>
      <c r="C5744" s="121">
        <v>31</v>
      </c>
      <c r="D5744" s="734">
        <v>145.09332774969079</v>
      </c>
      <c r="E5744" s="733"/>
    </row>
    <row r="5745" spans="2:5">
      <c r="B5745" s="121">
        <v>478</v>
      </c>
      <c r="C5745" s="121">
        <v>32</v>
      </c>
      <c r="D5745" s="734">
        <v>140.2141652204545</v>
      </c>
      <c r="E5745" s="733"/>
    </row>
    <row r="5746" spans="2:5">
      <c r="B5746" s="121">
        <v>478</v>
      </c>
      <c r="C5746" s="121">
        <v>33</v>
      </c>
      <c r="D5746" s="734">
        <v>143.9998073820326</v>
      </c>
      <c r="E5746" s="733"/>
    </row>
    <row r="5747" spans="2:5">
      <c r="B5747" s="121">
        <v>478</v>
      </c>
      <c r="C5747" s="121">
        <v>34</v>
      </c>
      <c r="D5747" s="734">
        <v>138.81164956239445</v>
      </c>
      <c r="E5747" s="733"/>
    </row>
    <row r="5748" spans="2:5">
      <c r="B5748" s="121">
        <v>478</v>
      </c>
      <c r="C5748" s="121">
        <v>35</v>
      </c>
      <c r="D5748" s="734">
        <v>137.87173402772137</v>
      </c>
      <c r="E5748" s="733"/>
    </row>
    <row r="5749" spans="2:5">
      <c r="B5749" s="121">
        <v>478</v>
      </c>
      <c r="C5749" s="121">
        <v>36</v>
      </c>
      <c r="D5749" s="734">
        <v>146.70392786884307</v>
      </c>
      <c r="E5749" s="733"/>
    </row>
    <row r="5750" spans="2:5">
      <c r="B5750" s="121">
        <v>479</v>
      </c>
      <c r="C5750" s="121">
        <v>1</v>
      </c>
      <c r="D5750" s="734">
        <v>5</v>
      </c>
      <c r="E5750" s="733"/>
    </row>
    <row r="5751" spans="2:5">
      <c r="B5751" s="121">
        <v>480</v>
      </c>
      <c r="C5751" s="121">
        <v>1</v>
      </c>
      <c r="D5751" s="734">
        <v>5</v>
      </c>
      <c r="E5751" s="733"/>
    </row>
    <row r="5752" spans="2:5">
      <c r="B5752" s="121">
        <v>480</v>
      </c>
      <c r="C5752" s="121">
        <v>2</v>
      </c>
      <c r="D5752" s="734">
        <v>100.87013158087672</v>
      </c>
      <c r="E5752" s="733"/>
    </row>
    <row r="5753" spans="2:5">
      <c r="B5753" s="121">
        <v>480</v>
      </c>
      <c r="C5753" s="121">
        <v>3</v>
      </c>
      <c r="D5753" s="734">
        <v>115.69535954044356</v>
      </c>
      <c r="E5753" s="733"/>
    </row>
    <row r="5754" spans="2:5">
      <c r="B5754" s="121">
        <v>480</v>
      </c>
      <c r="C5754" s="121">
        <v>4</v>
      </c>
      <c r="D5754" s="734">
        <v>136.8501954036312</v>
      </c>
      <c r="E5754" s="733"/>
    </row>
    <row r="5755" spans="2:5">
      <c r="B5755" s="121">
        <v>480</v>
      </c>
      <c r="C5755" s="121">
        <v>5</v>
      </c>
      <c r="D5755" s="734">
        <v>145.80419234821318</v>
      </c>
      <c r="E5755" s="733"/>
    </row>
    <row r="5756" spans="2:5">
      <c r="B5756" s="121">
        <v>480</v>
      </c>
      <c r="C5756" s="121">
        <v>6</v>
      </c>
      <c r="D5756" s="734">
        <v>139.65313402882754</v>
      </c>
      <c r="E5756" s="733"/>
    </row>
    <row r="5757" spans="2:5">
      <c r="B5757" s="121">
        <v>480</v>
      </c>
      <c r="C5757" s="121">
        <v>7</v>
      </c>
      <c r="D5757" s="734">
        <v>138.48096804049428</v>
      </c>
      <c r="E5757" s="733"/>
    </row>
    <row r="5758" spans="2:5">
      <c r="B5758" s="121">
        <v>480</v>
      </c>
      <c r="C5758" s="121">
        <v>8</v>
      </c>
      <c r="D5758" s="734">
        <v>141.96275460426233</v>
      </c>
      <c r="E5758" s="733"/>
    </row>
    <row r="5759" spans="2:5">
      <c r="B5759" s="121">
        <v>480</v>
      </c>
      <c r="C5759" s="121">
        <v>9</v>
      </c>
      <c r="D5759" s="734">
        <v>142.57823704533186</v>
      </c>
      <c r="E5759" s="733"/>
    </row>
    <row r="5760" spans="2:5">
      <c r="B5760" s="121">
        <v>480</v>
      </c>
      <c r="C5760" s="121">
        <v>10</v>
      </c>
      <c r="D5760" s="734">
        <v>146.09551520339409</v>
      </c>
      <c r="E5760" s="733"/>
    </row>
    <row r="5761" spans="2:5">
      <c r="B5761" s="121">
        <v>480</v>
      </c>
      <c r="C5761" s="121">
        <v>11</v>
      </c>
      <c r="D5761" s="734">
        <v>139.92599777396308</v>
      </c>
      <c r="E5761" s="733"/>
    </row>
    <row r="5762" spans="2:5">
      <c r="B5762" s="121">
        <v>480</v>
      </c>
      <c r="C5762" s="121">
        <v>12</v>
      </c>
      <c r="D5762" s="734">
        <v>134.1783753810781</v>
      </c>
      <c r="E5762" s="733"/>
    </row>
    <row r="5763" spans="2:5">
      <c r="B5763" s="121">
        <v>480</v>
      </c>
      <c r="C5763" s="121">
        <v>13</v>
      </c>
      <c r="D5763" s="734">
        <v>144.23948097903138</v>
      </c>
      <c r="E5763" s="733"/>
    </row>
    <row r="5764" spans="2:5">
      <c r="B5764" s="121">
        <v>480</v>
      </c>
      <c r="C5764" s="121">
        <v>14</v>
      </c>
      <c r="D5764" s="734">
        <v>143.99706456694045</v>
      </c>
      <c r="E5764" s="733"/>
    </row>
    <row r="5765" spans="2:5">
      <c r="B5765" s="121">
        <v>480</v>
      </c>
      <c r="C5765" s="121">
        <v>15</v>
      </c>
      <c r="D5765" s="734">
        <v>136.27467634692766</v>
      </c>
      <c r="E5765" s="733"/>
    </row>
    <row r="5766" spans="2:5">
      <c r="B5766" s="121">
        <v>480</v>
      </c>
      <c r="C5766" s="121">
        <v>16</v>
      </c>
      <c r="D5766" s="734">
        <v>133.68177644434388</v>
      </c>
      <c r="E5766" s="733"/>
    </row>
    <row r="5767" spans="2:5">
      <c r="B5767" s="121">
        <v>480</v>
      </c>
      <c r="C5767" s="121">
        <v>17</v>
      </c>
      <c r="D5767" s="734">
        <v>140.57007232567793</v>
      </c>
      <c r="E5767" s="733"/>
    </row>
    <row r="5768" spans="2:5">
      <c r="B5768" s="121">
        <v>480</v>
      </c>
      <c r="C5768" s="121">
        <v>18</v>
      </c>
      <c r="D5768" s="734">
        <v>142.78759175871571</v>
      </c>
      <c r="E5768" s="733"/>
    </row>
    <row r="5769" spans="2:5">
      <c r="B5769" s="121">
        <v>481</v>
      </c>
      <c r="C5769" s="121">
        <v>1</v>
      </c>
      <c r="D5769" s="734">
        <v>5</v>
      </c>
      <c r="E5769" s="733"/>
    </row>
    <row r="5770" spans="2:5">
      <c r="B5770" s="121">
        <v>481</v>
      </c>
      <c r="C5770" s="121">
        <v>2</v>
      </c>
      <c r="D5770" s="734">
        <v>99.192197411200269</v>
      </c>
      <c r="E5770" s="733"/>
    </row>
    <row r="5771" spans="2:5">
      <c r="B5771" s="121">
        <v>481</v>
      </c>
      <c r="C5771" s="121">
        <v>3</v>
      </c>
      <c r="D5771" s="734">
        <v>122.42893033626977</v>
      </c>
      <c r="E5771" s="733"/>
    </row>
    <row r="5772" spans="2:5">
      <c r="B5772" s="121">
        <v>481</v>
      </c>
      <c r="C5772" s="121">
        <v>4</v>
      </c>
      <c r="D5772" s="734">
        <v>141.8706683370965</v>
      </c>
      <c r="E5772" s="733"/>
    </row>
    <row r="5773" spans="2:5">
      <c r="B5773" s="121">
        <v>481</v>
      </c>
      <c r="C5773" s="121">
        <v>5</v>
      </c>
      <c r="D5773" s="734">
        <v>136.21257093791047</v>
      </c>
      <c r="E5773" s="733"/>
    </row>
    <row r="5774" spans="2:5">
      <c r="B5774" s="121">
        <v>481</v>
      </c>
      <c r="C5774" s="121">
        <v>6</v>
      </c>
      <c r="D5774" s="734">
        <v>134.53339314054361</v>
      </c>
      <c r="E5774" s="733"/>
    </row>
    <row r="5775" spans="2:5">
      <c r="B5775" s="121">
        <v>481</v>
      </c>
      <c r="C5775" s="121">
        <v>7</v>
      </c>
      <c r="D5775" s="734">
        <v>146.77339150242344</v>
      </c>
      <c r="E5775" s="733"/>
    </row>
    <row r="5776" spans="2:5">
      <c r="B5776" s="121">
        <v>481</v>
      </c>
      <c r="C5776" s="121">
        <v>8</v>
      </c>
      <c r="D5776" s="734">
        <v>142.72278519428227</v>
      </c>
      <c r="E5776" s="733"/>
    </row>
    <row r="5777" spans="2:5">
      <c r="B5777" s="121">
        <v>481</v>
      </c>
      <c r="C5777" s="121">
        <v>9</v>
      </c>
      <c r="D5777" s="734">
        <v>145.36694146641105</v>
      </c>
      <c r="E5777" s="733"/>
    </row>
    <row r="5778" spans="2:5">
      <c r="B5778" s="121">
        <v>481</v>
      </c>
      <c r="C5778" s="121">
        <v>10</v>
      </c>
      <c r="D5778" s="734">
        <v>144.49209452668751</v>
      </c>
      <c r="E5778" s="733"/>
    </row>
    <row r="5779" spans="2:5">
      <c r="B5779" s="121">
        <v>481</v>
      </c>
      <c r="C5779" s="121">
        <v>11</v>
      </c>
      <c r="D5779" s="734">
        <v>143.78517063880847</v>
      </c>
      <c r="E5779" s="733"/>
    </row>
    <row r="5780" spans="2:5">
      <c r="B5780" s="121">
        <v>481</v>
      </c>
      <c r="C5780" s="121">
        <v>12</v>
      </c>
      <c r="D5780" s="734">
        <v>136.43772182122609</v>
      </c>
      <c r="E5780" s="733"/>
    </row>
    <row r="5781" spans="2:5">
      <c r="B5781" s="121">
        <v>481</v>
      </c>
      <c r="C5781" s="121">
        <v>13</v>
      </c>
      <c r="D5781" s="734">
        <v>144.3491627441816</v>
      </c>
      <c r="E5781" s="733"/>
    </row>
    <row r="5782" spans="2:5">
      <c r="B5782" s="121">
        <v>481</v>
      </c>
      <c r="C5782" s="121">
        <v>14</v>
      </c>
      <c r="D5782" s="734">
        <v>134.24505221821207</v>
      </c>
      <c r="E5782" s="733"/>
    </row>
    <row r="5783" spans="2:5">
      <c r="B5783" s="121">
        <v>481</v>
      </c>
      <c r="C5783" s="121">
        <v>15</v>
      </c>
      <c r="D5783" s="734">
        <v>145.76116429326478</v>
      </c>
      <c r="E5783" s="733"/>
    </row>
    <row r="5784" spans="2:5">
      <c r="B5784" s="121">
        <v>481</v>
      </c>
      <c r="C5784" s="121">
        <v>16</v>
      </c>
      <c r="D5784" s="734">
        <v>142.52615485222017</v>
      </c>
      <c r="E5784" s="733"/>
    </row>
    <row r="5785" spans="2:5">
      <c r="B5785" s="121">
        <v>481</v>
      </c>
      <c r="C5785" s="121">
        <v>17</v>
      </c>
      <c r="D5785" s="734">
        <v>140.22615595365272</v>
      </c>
      <c r="E5785" s="733"/>
    </row>
    <row r="5786" spans="2:5">
      <c r="B5786" s="121">
        <v>481</v>
      </c>
      <c r="C5786" s="121">
        <v>18</v>
      </c>
      <c r="D5786" s="734">
        <v>137.52936742972886</v>
      </c>
      <c r="E5786" s="733"/>
    </row>
    <row r="5787" spans="2:5">
      <c r="B5787" s="121">
        <v>481</v>
      </c>
      <c r="C5787" s="121">
        <v>19</v>
      </c>
      <c r="D5787" s="734">
        <v>146.45044347490719</v>
      </c>
      <c r="E5787" s="733"/>
    </row>
    <row r="5788" spans="2:5">
      <c r="B5788" s="121">
        <v>481</v>
      </c>
      <c r="C5788" s="121">
        <v>20</v>
      </c>
      <c r="D5788" s="734">
        <v>136.47350893465375</v>
      </c>
      <c r="E5788" s="733"/>
    </row>
    <row r="5789" spans="2:5">
      <c r="B5789" s="121">
        <v>481</v>
      </c>
      <c r="C5789" s="121">
        <v>21</v>
      </c>
      <c r="D5789" s="734">
        <v>141.76196913548091</v>
      </c>
      <c r="E5789" s="733"/>
    </row>
    <row r="5790" spans="2:5">
      <c r="B5790" s="121">
        <v>481</v>
      </c>
      <c r="C5790" s="121">
        <v>22</v>
      </c>
      <c r="D5790" s="734">
        <v>137.57954375981612</v>
      </c>
      <c r="E5790" s="733"/>
    </row>
    <row r="5791" spans="2:5">
      <c r="B5791" s="121">
        <v>481</v>
      </c>
      <c r="C5791" s="121">
        <v>23</v>
      </c>
      <c r="D5791" s="734">
        <v>140.44605828749741</v>
      </c>
      <c r="E5791" s="733"/>
    </row>
    <row r="5792" spans="2:5">
      <c r="B5792" s="121">
        <v>481</v>
      </c>
      <c r="C5792" s="121">
        <v>24</v>
      </c>
      <c r="D5792" s="734">
        <v>135.91115810960108</v>
      </c>
      <c r="E5792" s="733"/>
    </row>
    <row r="5793" spans="2:5">
      <c r="B5793" s="121">
        <v>481</v>
      </c>
      <c r="C5793" s="121">
        <v>25</v>
      </c>
      <c r="D5793" s="734">
        <v>141.68893695908218</v>
      </c>
      <c r="E5793" s="733"/>
    </row>
    <row r="5794" spans="2:5">
      <c r="B5794" s="121">
        <v>481</v>
      </c>
      <c r="C5794" s="121">
        <v>26</v>
      </c>
      <c r="D5794" s="734">
        <v>135.8859679580502</v>
      </c>
      <c r="E5794" s="733"/>
    </row>
    <row r="5795" spans="2:5">
      <c r="B5795" s="121">
        <v>481</v>
      </c>
      <c r="C5795" s="121">
        <v>27</v>
      </c>
      <c r="D5795" s="734">
        <v>138.91645034292188</v>
      </c>
      <c r="E5795" s="733"/>
    </row>
    <row r="5796" spans="2:5">
      <c r="B5796" s="121">
        <v>481</v>
      </c>
      <c r="C5796" s="121">
        <v>28</v>
      </c>
      <c r="D5796" s="734">
        <v>137.81304308524489</v>
      </c>
      <c r="E5796" s="733"/>
    </row>
    <row r="5797" spans="2:5">
      <c r="B5797" s="121">
        <v>481</v>
      </c>
      <c r="C5797" s="121">
        <v>29</v>
      </c>
      <c r="D5797" s="734">
        <v>134.53680010589562</v>
      </c>
      <c r="E5797" s="733"/>
    </row>
    <row r="5798" spans="2:5">
      <c r="B5798" s="121">
        <v>481</v>
      </c>
      <c r="C5798" s="121">
        <v>30</v>
      </c>
      <c r="D5798" s="734">
        <v>145.94511334265724</v>
      </c>
      <c r="E5798" s="733"/>
    </row>
    <row r="5799" spans="2:5">
      <c r="B5799" s="121">
        <v>481</v>
      </c>
      <c r="C5799" s="121">
        <v>31</v>
      </c>
      <c r="D5799" s="734">
        <v>136.963905728003</v>
      </c>
      <c r="E5799" s="733"/>
    </row>
    <row r="5800" spans="2:5">
      <c r="B5800" s="121">
        <v>481</v>
      </c>
      <c r="C5800" s="121">
        <v>32</v>
      </c>
      <c r="D5800" s="734">
        <v>140.4196501218407</v>
      </c>
      <c r="E5800" s="733"/>
    </row>
    <row r="5801" spans="2:5">
      <c r="B5801" s="121">
        <v>482</v>
      </c>
      <c r="C5801" s="121">
        <v>1</v>
      </c>
      <c r="D5801" s="734">
        <v>5</v>
      </c>
      <c r="E5801" s="733"/>
    </row>
    <row r="5802" spans="2:5">
      <c r="B5802" s="121">
        <v>483</v>
      </c>
      <c r="C5802" s="121">
        <v>1</v>
      </c>
      <c r="D5802" s="734">
        <v>5</v>
      </c>
      <c r="E5802" s="733"/>
    </row>
    <row r="5803" spans="2:5">
      <c r="B5803" s="121">
        <v>483</v>
      </c>
      <c r="C5803" s="121">
        <v>2</v>
      </c>
      <c r="D5803" s="734">
        <v>102.99032007362547</v>
      </c>
      <c r="E5803" s="733"/>
    </row>
    <row r="5804" spans="2:5">
      <c r="B5804" s="121">
        <v>483</v>
      </c>
      <c r="C5804" s="121">
        <v>3</v>
      </c>
      <c r="D5804" s="734">
        <v>122.21806054926648</v>
      </c>
      <c r="E5804" s="733"/>
    </row>
    <row r="5805" spans="2:5">
      <c r="B5805" s="121">
        <v>483</v>
      </c>
      <c r="C5805" s="121">
        <v>4</v>
      </c>
      <c r="D5805" s="734">
        <v>139.65588880643668</v>
      </c>
      <c r="E5805" s="733"/>
    </row>
    <row r="5806" spans="2:5">
      <c r="B5806" s="121">
        <v>483</v>
      </c>
      <c r="C5806" s="121">
        <v>5</v>
      </c>
      <c r="D5806" s="734">
        <v>145.78033430755372</v>
      </c>
      <c r="E5806" s="733"/>
    </row>
    <row r="5807" spans="2:5">
      <c r="B5807" s="121">
        <v>483</v>
      </c>
      <c r="C5807" s="121">
        <v>6</v>
      </c>
      <c r="D5807" s="734">
        <v>142.36463800295795</v>
      </c>
      <c r="E5807" s="733"/>
    </row>
    <row r="5808" spans="2:5">
      <c r="B5808" s="121">
        <v>483</v>
      </c>
      <c r="C5808" s="121">
        <v>7</v>
      </c>
      <c r="D5808" s="734">
        <v>140.53122284039847</v>
      </c>
      <c r="E5808" s="733"/>
    </row>
    <row r="5809" spans="2:5">
      <c r="B5809" s="121">
        <v>483</v>
      </c>
      <c r="C5809" s="121">
        <v>8</v>
      </c>
      <c r="D5809" s="734">
        <v>135.32897483280868</v>
      </c>
      <c r="E5809" s="733"/>
    </row>
    <row r="5810" spans="2:5">
      <c r="B5810" s="121">
        <v>483</v>
      </c>
      <c r="C5810" s="121">
        <v>9</v>
      </c>
      <c r="D5810" s="734">
        <v>134.59693922315449</v>
      </c>
      <c r="E5810" s="733"/>
    </row>
    <row r="5811" spans="2:5">
      <c r="B5811" s="121">
        <v>484</v>
      </c>
      <c r="C5811" s="121">
        <v>1</v>
      </c>
      <c r="D5811" s="734">
        <v>5</v>
      </c>
      <c r="E5811" s="733"/>
    </row>
    <row r="5812" spans="2:5">
      <c r="B5812" s="121">
        <v>484</v>
      </c>
      <c r="C5812" s="121">
        <v>2</v>
      </c>
      <c r="D5812" s="734">
        <v>98.968744939758551</v>
      </c>
      <c r="E5812" s="733"/>
    </row>
    <row r="5813" spans="2:5">
      <c r="B5813" s="121">
        <v>484</v>
      </c>
      <c r="C5813" s="121">
        <v>3</v>
      </c>
      <c r="D5813" s="734">
        <v>124.98781507713142</v>
      </c>
      <c r="E5813" s="733"/>
    </row>
    <row r="5814" spans="2:5">
      <c r="B5814" s="121">
        <v>484</v>
      </c>
      <c r="C5814" s="121">
        <v>4</v>
      </c>
      <c r="D5814" s="734">
        <v>133.92340728158675</v>
      </c>
      <c r="E5814" s="733"/>
    </row>
    <row r="5815" spans="2:5">
      <c r="B5815" s="121">
        <v>484</v>
      </c>
      <c r="C5815" s="121">
        <v>5</v>
      </c>
      <c r="D5815" s="734">
        <v>134.87182509753291</v>
      </c>
      <c r="E5815" s="733"/>
    </row>
    <row r="5816" spans="2:5">
      <c r="B5816" s="121">
        <v>484</v>
      </c>
      <c r="C5816" s="121">
        <v>6</v>
      </c>
      <c r="D5816" s="734">
        <v>137.98290776900302</v>
      </c>
      <c r="E5816" s="733"/>
    </row>
    <row r="5817" spans="2:5">
      <c r="B5817" s="121">
        <v>484</v>
      </c>
      <c r="C5817" s="121">
        <v>7</v>
      </c>
      <c r="D5817" s="734">
        <v>137.800500724172</v>
      </c>
      <c r="E5817" s="733"/>
    </row>
    <row r="5818" spans="2:5">
      <c r="B5818" s="121">
        <v>484</v>
      </c>
      <c r="C5818" s="121">
        <v>8</v>
      </c>
      <c r="D5818" s="734">
        <v>146.76544954616188</v>
      </c>
      <c r="E5818" s="733"/>
    </row>
    <row r="5819" spans="2:5">
      <c r="B5819" s="121">
        <v>484</v>
      </c>
      <c r="C5819" s="121">
        <v>9</v>
      </c>
      <c r="D5819" s="734">
        <v>144.70693415393075</v>
      </c>
      <c r="E5819" s="733"/>
    </row>
    <row r="5820" spans="2:5">
      <c r="B5820" s="121">
        <v>484</v>
      </c>
      <c r="C5820" s="121">
        <v>10</v>
      </c>
      <c r="D5820" s="734">
        <v>146.24008273030742</v>
      </c>
      <c r="E5820" s="733"/>
    </row>
    <row r="5821" spans="2:5">
      <c r="B5821" s="121">
        <v>484</v>
      </c>
      <c r="C5821" s="121">
        <v>11</v>
      </c>
      <c r="D5821" s="734">
        <v>137.54852863243653</v>
      </c>
      <c r="E5821" s="733"/>
    </row>
    <row r="5822" spans="2:5">
      <c r="B5822" s="121">
        <v>484</v>
      </c>
      <c r="C5822" s="121">
        <v>12</v>
      </c>
      <c r="D5822" s="734">
        <v>138.92853889780199</v>
      </c>
      <c r="E5822" s="733"/>
    </row>
    <row r="5823" spans="2:5">
      <c r="B5823" s="121">
        <v>484</v>
      </c>
      <c r="C5823" s="121">
        <v>13</v>
      </c>
      <c r="D5823" s="734">
        <v>135.98258436609333</v>
      </c>
      <c r="E5823" s="733"/>
    </row>
    <row r="5824" spans="2:5">
      <c r="B5824" s="121">
        <v>484</v>
      </c>
      <c r="C5824" s="121">
        <v>14</v>
      </c>
      <c r="D5824" s="734">
        <v>135.98930441368091</v>
      </c>
      <c r="E5824" s="733"/>
    </row>
    <row r="5825" spans="2:5">
      <c r="B5825" s="121">
        <v>484</v>
      </c>
      <c r="C5825" s="121">
        <v>15</v>
      </c>
      <c r="D5825" s="734">
        <v>135.74087511540472</v>
      </c>
      <c r="E5825" s="733"/>
    </row>
    <row r="5826" spans="2:5">
      <c r="B5826" s="121">
        <v>484</v>
      </c>
      <c r="C5826" s="121">
        <v>16</v>
      </c>
      <c r="D5826" s="734">
        <v>144.3521093818097</v>
      </c>
      <c r="E5826" s="733"/>
    </row>
    <row r="5827" spans="2:5">
      <c r="B5827" s="121">
        <v>484</v>
      </c>
      <c r="C5827" s="121">
        <v>17</v>
      </c>
      <c r="D5827" s="734">
        <v>135.61325112512301</v>
      </c>
      <c r="E5827" s="733"/>
    </row>
    <row r="5828" spans="2:5">
      <c r="B5828" s="121">
        <v>484</v>
      </c>
      <c r="C5828" s="121">
        <v>18</v>
      </c>
      <c r="D5828" s="734">
        <v>142.3169436394771</v>
      </c>
      <c r="E5828" s="733"/>
    </row>
    <row r="5829" spans="2:5">
      <c r="B5829" s="121">
        <v>484</v>
      </c>
      <c r="C5829" s="121">
        <v>19</v>
      </c>
      <c r="D5829" s="734">
        <v>137.2736695324212</v>
      </c>
      <c r="E5829" s="733"/>
    </row>
    <row r="5830" spans="2:5">
      <c r="B5830" s="121">
        <v>484</v>
      </c>
      <c r="C5830" s="121">
        <v>20</v>
      </c>
      <c r="D5830" s="734">
        <v>146.32485729518078</v>
      </c>
      <c r="E5830" s="733"/>
    </row>
    <row r="5831" spans="2:5">
      <c r="B5831" s="121">
        <v>484</v>
      </c>
      <c r="C5831" s="121">
        <v>21</v>
      </c>
      <c r="D5831" s="734">
        <v>143.05685171682816</v>
      </c>
      <c r="E5831" s="733"/>
    </row>
    <row r="5832" spans="2:5">
      <c r="B5832" s="121">
        <v>484</v>
      </c>
      <c r="C5832" s="121">
        <v>22</v>
      </c>
      <c r="D5832" s="734">
        <v>144.37786530798388</v>
      </c>
      <c r="E5832" s="733"/>
    </row>
    <row r="5833" spans="2:5">
      <c r="B5833" s="121">
        <v>484</v>
      </c>
      <c r="C5833" s="121">
        <v>23</v>
      </c>
      <c r="D5833" s="734">
        <v>141.90356432252901</v>
      </c>
      <c r="E5833" s="733"/>
    </row>
    <row r="5834" spans="2:5">
      <c r="B5834" s="121">
        <v>484</v>
      </c>
      <c r="C5834" s="121">
        <v>24</v>
      </c>
      <c r="D5834" s="734">
        <v>142.23202414445646</v>
      </c>
      <c r="E5834" s="733"/>
    </row>
    <row r="5835" spans="2:5">
      <c r="B5835" s="121">
        <v>484</v>
      </c>
      <c r="C5835" s="121">
        <v>25</v>
      </c>
      <c r="D5835" s="734">
        <v>140.63018766474522</v>
      </c>
      <c r="E5835" s="733"/>
    </row>
    <row r="5836" spans="2:5">
      <c r="B5836" s="121">
        <v>485</v>
      </c>
      <c r="C5836" s="121">
        <v>1</v>
      </c>
      <c r="D5836" s="734">
        <v>5</v>
      </c>
      <c r="E5836" s="733"/>
    </row>
    <row r="5837" spans="2:5">
      <c r="B5837" s="121">
        <v>485</v>
      </c>
      <c r="C5837" s="121">
        <v>2</v>
      </c>
      <c r="D5837" s="734">
        <v>98.716344904066503</v>
      </c>
      <c r="E5837" s="733"/>
    </row>
    <row r="5838" spans="2:5">
      <c r="B5838" s="121">
        <v>485</v>
      </c>
      <c r="C5838" s="121">
        <v>3</v>
      </c>
      <c r="D5838" s="734">
        <v>118.17172521474478</v>
      </c>
      <c r="E5838" s="733"/>
    </row>
    <row r="5839" spans="2:5">
      <c r="B5839" s="121">
        <v>485</v>
      </c>
      <c r="C5839" s="121">
        <v>4</v>
      </c>
      <c r="D5839" s="734">
        <v>144.76016712186652</v>
      </c>
      <c r="E5839" s="733"/>
    </row>
    <row r="5840" spans="2:5">
      <c r="B5840" s="121">
        <v>485</v>
      </c>
      <c r="C5840" s="121">
        <v>5</v>
      </c>
      <c r="D5840" s="734">
        <v>137.84703148442043</v>
      </c>
      <c r="E5840" s="733"/>
    </row>
    <row r="5841" spans="2:5">
      <c r="B5841" s="121">
        <v>485</v>
      </c>
      <c r="C5841" s="121">
        <v>6</v>
      </c>
      <c r="D5841" s="734">
        <v>133.7142148885232</v>
      </c>
      <c r="E5841" s="733"/>
    </row>
    <row r="5842" spans="2:5">
      <c r="B5842" s="121">
        <v>485</v>
      </c>
      <c r="C5842" s="121">
        <v>7</v>
      </c>
      <c r="D5842" s="734">
        <v>141.72418649637112</v>
      </c>
      <c r="E5842" s="733"/>
    </row>
    <row r="5843" spans="2:5">
      <c r="B5843" s="121">
        <v>485</v>
      </c>
      <c r="C5843" s="121">
        <v>8</v>
      </c>
      <c r="D5843" s="734">
        <v>134.445718360786</v>
      </c>
      <c r="E5843" s="733"/>
    </row>
    <row r="5844" spans="2:5">
      <c r="B5844" s="121">
        <v>485</v>
      </c>
      <c r="C5844" s="121">
        <v>9</v>
      </c>
      <c r="D5844" s="734">
        <v>135.68924151657666</v>
      </c>
      <c r="E5844" s="733"/>
    </row>
    <row r="5845" spans="2:5">
      <c r="B5845" s="121">
        <v>485</v>
      </c>
      <c r="C5845" s="121">
        <v>10</v>
      </c>
      <c r="D5845" s="734">
        <v>136.97868001972458</v>
      </c>
      <c r="E5845" s="733"/>
    </row>
    <row r="5846" spans="2:5">
      <c r="B5846" s="121">
        <v>485</v>
      </c>
      <c r="C5846" s="121">
        <v>11</v>
      </c>
      <c r="D5846" s="734">
        <v>138.91469090592207</v>
      </c>
      <c r="E5846" s="733"/>
    </row>
    <row r="5847" spans="2:5">
      <c r="B5847" s="121">
        <v>485</v>
      </c>
      <c r="C5847" s="121">
        <v>12</v>
      </c>
      <c r="D5847" s="734">
        <v>145.38918592006965</v>
      </c>
      <c r="E5847" s="733"/>
    </row>
    <row r="5848" spans="2:5">
      <c r="B5848" s="121">
        <v>485</v>
      </c>
      <c r="C5848" s="121">
        <v>13</v>
      </c>
      <c r="D5848" s="734">
        <v>146.71721151225199</v>
      </c>
      <c r="E5848" s="733"/>
    </row>
    <row r="5849" spans="2:5">
      <c r="B5849" s="121">
        <v>485</v>
      </c>
      <c r="C5849" s="121">
        <v>14</v>
      </c>
      <c r="D5849" s="734">
        <v>142.75242551440695</v>
      </c>
      <c r="E5849" s="733"/>
    </row>
    <row r="5850" spans="2:5">
      <c r="B5850" s="121">
        <v>485</v>
      </c>
      <c r="C5850" s="121">
        <v>15</v>
      </c>
      <c r="D5850" s="734">
        <v>142.57766781116604</v>
      </c>
      <c r="E5850" s="733"/>
    </row>
    <row r="5851" spans="2:5">
      <c r="B5851" s="121">
        <v>485</v>
      </c>
      <c r="C5851" s="121">
        <v>16</v>
      </c>
      <c r="D5851" s="734">
        <v>144.62040650787205</v>
      </c>
      <c r="E5851" s="733"/>
    </row>
    <row r="5852" spans="2:5">
      <c r="B5852" s="121">
        <v>485</v>
      </c>
      <c r="C5852" s="121">
        <v>17</v>
      </c>
      <c r="D5852" s="734">
        <v>142.08131512972588</v>
      </c>
      <c r="E5852" s="733"/>
    </row>
    <row r="5853" spans="2:5">
      <c r="B5853" s="121">
        <v>485</v>
      </c>
      <c r="C5853" s="121">
        <v>18</v>
      </c>
      <c r="D5853" s="734">
        <v>142.78907975247444</v>
      </c>
      <c r="E5853" s="733"/>
    </row>
    <row r="5854" spans="2:5">
      <c r="B5854" s="121">
        <v>485</v>
      </c>
      <c r="C5854" s="121">
        <v>19</v>
      </c>
      <c r="D5854" s="734">
        <v>138.27647127225876</v>
      </c>
      <c r="E5854" s="733"/>
    </row>
    <row r="5855" spans="2:5">
      <c r="B5855" s="121">
        <v>485</v>
      </c>
      <c r="C5855" s="121">
        <v>20</v>
      </c>
      <c r="D5855" s="734">
        <v>139.36392356231877</v>
      </c>
      <c r="E5855" s="733"/>
    </row>
    <row r="5856" spans="2:5">
      <c r="B5856" s="121">
        <v>485</v>
      </c>
      <c r="C5856" s="121">
        <v>21</v>
      </c>
      <c r="D5856" s="734">
        <v>133.99416522729106</v>
      </c>
      <c r="E5856" s="733"/>
    </row>
    <row r="5857" spans="2:5">
      <c r="B5857" s="121">
        <v>485</v>
      </c>
      <c r="C5857" s="121">
        <v>22</v>
      </c>
      <c r="D5857" s="734">
        <v>143.22852360568615</v>
      </c>
      <c r="E5857" s="733"/>
    </row>
    <row r="5858" spans="2:5">
      <c r="B5858" s="121">
        <v>485</v>
      </c>
      <c r="C5858" s="121">
        <v>23</v>
      </c>
      <c r="D5858" s="734">
        <v>142.81382094409318</v>
      </c>
      <c r="E5858" s="733"/>
    </row>
    <row r="5859" spans="2:5">
      <c r="B5859" s="121">
        <v>485</v>
      </c>
      <c r="C5859" s="121">
        <v>24</v>
      </c>
      <c r="D5859" s="734">
        <v>138.78380294882834</v>
      </c>
      <c r="E5859" s="733"/>
    </row>
    <row r="5860" spans="2:5">
      <c r="B5860" s="121">
        <v>485</v>
      </c>
      <c r="C5860" s="121">
        <v>25</v>
      </c>
      <c r="D5860" s="734">
        <v>135.81627745773017</v>
      </c>
      <c r="E5860" s="733"/>
    </row>
    <row r="5861" spans="2:5">
      <c r="B5861" s="121">
        <v>485</v>
      </c>
      <c r="C5861" s="121">
        <v>26</v>
      </c>
      <c r="D5861" s="734">
        <v>140.81347767676806</v>
      </c>
      <c r="E5861" s="733"/>
    </row>
    <row r="5862" spans="2:5">
      <c r="B5862" s="121">
        <v>485</v>
      </c>
      <c r="C5862" s="121">
        <v>27</v>
      </c>
      <c r="D5862" s="734">
        <v>142.74613096181844</v>
      </c>
      <c r="E5862" s="733"/>
    </row>
    <row r="5863" spans="2:5">
      <c r="B5863" s="121">
        <v>485</v>
      </c>
      <c r="C5863" s="121">
        <v>28</v>
      </c>
      <c r="D5863" s="734">
        <v>135.95995215098068</v>
      </c>
      <c r="E5863" s="733"/>
    </row>
    <row r="5864" spans="2:5">
      <c r="B5864" s="121">
        <v>485</v>
      </c>
      <c r="C5864" s="121">
        <v>29</v>
      </c>
      <c r="D5864" s="734">
        <v>134.8760447752741</v>
      </c>
      <c r="E5864" s="733"/>
    </row>
    <row r="5865" spans="2:5">
      <c r="B5865" s="121">
        <v>485</v>
      </c>
      <c r="C5865" s="121">
        <v>30</v>
      </c>
      <c r="D5865" s="734">
        <v>146.788097120771</v>
      </c>
      <c r="E5865" s="733"/>
    </row>
    <row r="5866" spans="2:5">
      <c r="B5866" s="121">
        <v>485</v>
      </c>
      <c r="C5866" s="121">
        <v>31</v>
      </c>
      <c r="D5866" s="734">
        <v>134.38545431588881</v>
      </c>
      <c r="E5866" s="733"/>
    </row>
    <row r="5867" spans="2:5">
      <c r="B5867" s="121">
        <v>485</v>
      </c>
      <c r="C5867" s="121">
        <v>32</v>
      </c>
      <c r="D5867" s="734">
        <v>137.43545588482621</v>
      </c>
      <c r="E5867" s="733"/>
    </row>
    <row r="5868" spans="2:5">
      <c r="B5868" s="121">
        <v>485</v>
      </c>
      <c r="C5868" s="121">
        <v>33</v>
      </c>
      <c r="D5868" s="734">
        <v>138.05103958663707</v>
      </c>
      <c r="E5868" s="733"/>
    </row>
    <row r="5869" spans="2:5">
      <c r="B5869" s="121">
        <v>485</v>
      </c>
      <c r="C5869" s="121">
        <v>34</v>
      </c>
      <c r="D5869" s="734">
        <v>142.3374422713635</v>
      </c>
      <c r="E5869" s="733"/>
    </row>
    <row r="5870" spans="2:5">
      <c r="B5870" s="121">
        <v>485</v>
      </c>
      <c r="C5870" s="121">
        <v>35</v>
      </c>
      <c r="D5870" s="734">
        <v>143.56627181278799</v>
      </c>
      <c r="E5870" s="733"/>
    </row>
    <row r="5871" spans="2:5">
      <c r="B5871" s="121">
        <v>485</v>
      </c>
      <c r="C5871" s="121">
        <v>36</v>
      </c>
      <c r="D5871" s="734">
        <v>144.53355911207274</v>
      </c>
      <c r="E5871" s="733"/>
    </row>
    <row r="5872" spans="2:5">
      <c r="B5872" s="121">
        <v>486</v>
      </c>
      <c r="C5872" s="121">
        <v>1</v>
      </c>
      <c r="D5872" s="734">
        <v>5</v>
      </c>
      <c r="E5872" s="733"/>
    </row>
    <row r="5873" spans="2:5">
      <c r="B5873" s="121">
        <v>486</v>
      </c>
      <c r="C5873" s="121">
        <v>2</v>
      </c>
      <c r="D5873" s="734">
        <v>98.871879874711809</v>
      </c>
      <c r="E5873" s="733"/>
    </row>
    <row r="5874" spans="2:5">
      <c r="B5874" s="121">
        <v>487</v>
      </c>
      <c r="C5874" s="121">
        <v>1</v>
      </c>
      <c r="D5874" s="734">
        <v>5</v>
      </c>
      <c r="E5874" s="733"/>
    </row>
    <row r="5875" spans="2:5">
      <c r="B5875" s="121">
        <v>487</v>
      </c>
      <c r="C5875" s="121">
        <v>2</v>
      </c>
      <c r="D5875" s="734">
        <v>98.716687746316325</v>
      </c>
      <c r="E5875" s="733"/>
    </row>
    <row r="5876" spans="2:5">
      <c r="B5876" s="121">
        <v>487</v>
      </c>
      <c r="C5876" s="121">
        <v>3</v>
      </c>
      <c r="D5876" s="734">
        <v>121.99899842373713</v>
      </c>
      <c r="E5876" s="733"/>
    </row>
    <row r="5877" spans="2:5">
      <c r="B5877" s="121">
        <v>487</v>
      </c>
      <c r="C5877" s="121">
        <v>4</v>
      </c>
      <c r="D5877" s="734">
        <v>144.05263477432118</v>
      </c>
      <c r="E5877" s="733"/>
    </row>
    <row r="5878" spans="2:5">
      <c r="B5878" s="121">
        <v>487</v>
      </c>
      <c r="C5878" s="121">
        <v>5</v>
      </c>
      <c r="D5878" s="734">
        <v>136.37668323200276</v>
      </c>
      <c r="E5878" s="733"/>
    </row>
    <row r="5879" spans="2:5">
      <c r="B5879" s="121">
        <v>487</v>
      </c>
      <c r="C5879" s="121">
        <v>6</v>
      </c>
      <c r="D5879" s="734">
        <v>142.51777810264738</v>
      </c>
      <c r="E5879" s="733"/>
    </row>
    <row r="5880" spans="2:5">
      <c r="B5880" s="121">
        <v>487</v>
      </c>
      <c r="C5880" s="121">
        <v>7</v>
      </c>
      <c r="D5880" s="734">
        <v>139.76239693971337</v>
      </c>
      <c r="E5880" s="733"/>
    </row>
    <row r="5881" spans="2:5">
      <c r="B5881" s="121">
        <v>487</v>
      </c>
      <c r="C5881" s="121">
        <v>8</v>
      </c>
      <c r="D5881" s="734">
        <v>142.91170217806572</v>
      </c>
      <c r="E5881" s="733"/>
    </row>
    <row r="5882" spans="2:5">
      <c r="B5882" s="121">
        <v>487</v>
      </c>
      <c r="C5882" s="121">
        <v>9</v>
      </c>
      <c r="D5882" s="734">
        <v>138.27542375745227</v>
      </c>
      <c r="E5882" s="733"/>
    </row>
    <row r="5883" spans="2:5">
      <c r="B5883" s="121">
        <v>488</v>
      </c>
      <c r="C5883" s="121">
        <v>1</v>
      </c>
      <c r="D5883" s="734">
        <v>5</v>
      </c>
      <c r="E5883" s="733"/>
    </row>
    <row r="5884" spans="2:5">
      <c r="B5884" s="121">
        <v>488</v>
      </c>
      <c r="C5884" s="121">
        <v>2</v>
      </c>
      <c r="D5884" s="734">
        <v>94.078704458154178</v>
      </c>
      <c r="E5884" s="733"/>
    </row>
    <row r="5885" spans="2:5">
      <c r="B5885" s="121">
        <v>488</v>
      </c>
      <c r="C5885" s="121">
        <v>3</v>
      </c>
      <c r="D5885" s="734">
        <v>116.17017699978634</v>
      </c>
      <c r="E5885" s="733"/>
    </row>
    <row r="5886" spans="2:5">
      <c r="B5886" s="121">
        <v>488</v>
      </c>
      <c r="C5886" s="121">
        <v>4</v>
      </c>
      <c r="D5886" s="734">
        <v>136.2498517188626</v>
      </c>
      <c r="E5886" s="733"/>
    </row>
    <row r="5887" spans="2:5">
      <c r="B5887" s="121">
        <v>488</v>
      </c>
      <c r="C5887" s="121">
        <v>5</v>
      </c>
      <c r="D5887" s="734">
        <v>140.37836653006309</v>
      </c>
      <c r="E5887" s="733"/>
    </row>
    <row r="5888" spans="2:5">
      <c r="B5888" s="121">
        <v>488</v>
      </c>
      <c r="C5888" s="121">
        <v>6</v>
      </c>
      <c r="D5888" s="734">
        <v>142.43102365560992</v>
      </c>
      <c r="E5888" s="733"/>
    </row>
    <row r="5889" spans="2:5">
      <c r="B5889" s="121">
        <v>488</v>
      </c>
      <c r="C5889" s="121">
        <v>7</v>
      </c>
      <c r="D5889" s="734">
        <v>144.48033352809338</v>
      </c>
      <c r="E5889" s="733"/>
    </row>
    <row r="5890" spans="2:5">
      <c r="B5890" s="121">
        <v>488</v>
      </c>
      <c r="C5890" s="121">
        <v>8</v>
      </c>
      <c r="D5890" s="734">
        <v>146.34963794849847</v>
      </c>
      <c r="E5890" s="733"/>
    </row>
    <row r="5891" spans="2:5">
      <c r="B5891" s="121">
        <v>488</v>
      </c>
      <c r="C5891" s="121">
        <v>9</v>
      </c>
      <c r="D5891" s="734">
        <v>138.2211492559133</v>
      </c>
      <c r="E5891" s="733"/>
    </row>
    <row r="5892" spans="2:5">
      <c r="B5892" s="121">
        <v>488</v>
      </c>
      <c r="C5892" s="121">
        <v>10</v>
      </c>
      <c r="D5892" s="734">
        <v>142.76096225339481</v>
      </c>
      <c r="E5892" s="733"/>
    </row>
    <row r="5893" spans="2:5">
      <c r="B5893" s="121">
        <v>488</v>
      </c>
      <c r="C5893" s="121">
        <v>11</v>
      </c>
      <c r="D5893" s="734">
        <v>134.6285746931274</v>
      </c>
      <c r="E5893" s="733"/>
    </row>
    <row r="5894" spans="2:5">
      <c r="B5894" s="121">
        <v>488</v>
      </c>
      <c r="C5894" s="121">
        <v>12</v>
      </c>
      <c r="D5894" s="734">
        <v>145.03805066384678</v>
      </c>
      <c r="E5894" s="733"/>
    </row>
    <row r="5895" spans="2:5">
      <c r="B5895" s="121">
        <v>488</v>
      </c>
      <c r="C5895" s="121">
        <v>13</v>
      </c>
      <c r="D5895" s="734">
        <v>142.78625258718563</v>
      </c>
      <c r="E5895" s="733"/>
    </row>
    <row r="5896" spans="2:5">
      <c r="B5896" s="121">
        <v>488</v>
      </c>
      <c r="C5896" s="121">
        <v>14</v>
      </c>
      <c r="D5896" s="734">
        <v>144.44650886185786</v>
      </c>
      <c r="E5896" s="733"/>
    </row>
    <row r="5897" spans="2:5">
      <c r="B5897" s="121">
        <v>488</v>
      </c>
      <c r="C5897" s="121">
        <v>15</v>
      </c>
      <c r="D5897" s="734">
        <v>146.74506508442278</v>
      </c>
      <c r="E5897" s="733"/>
    </row>
    <row r="5898" spans="2:5">
      <c r="B5898" s="121">
        <v>489</v>
      </c>
      <c r="C5898" s="121">
        <v>1</v>
      </c>
      <c r="D5898" s="734">
        <v>5</v>
      </c>
      <c r="E5898" s="733"/>
    </row>
    <row r="5899" spans="2:5">
      <c r="B5899" s="121">
        <v>490</v>
      </c>
      <c r="C5899" s="121">
        <v>1</v>
      </c>
      <c r="D5899" s="734">
        <v>5</v>
      </c>
      <c r="E5899" s="733"/>
    </row>
    <row r="5900" spans="2:5">
      <c r="B5900" s="121">
        <v>490</v>
      </c>
      <c r="C5900" s="121">
        <v>2</v>
      </c>
      <c r="D5900" s="734">
        <v>101.67130594005698</v>
      </c>
      <c r="E5900" s="733"/>
    </row>
    <row r="5901" spans="2:5">
      <c r="B5901" s="121">
        <v>490</v>
      </c>
      <c r="C5901" s="121">
        <v>3</v>
      </c>
      <c r="D5901" s="734">
        <v>114.14781644355286</v>
      </c>
      <c r="E5901" s="733"/>
    </row>
    <row r="5902" spans="2:5">
      <c r="B5902" s="121">
        <v>490</v>
      </c>
      <c r="C5902" s="121">
        <v>4</v>
      </c>
      <c r="D5902" s="734">
        <v>141.33071585683751</v>
      </c>
      <c r="E5902" s="733"/>
    </row>
    <row r="5903" spans="2:5">
      <c r="B5903" s="121">
        <v>490</v>
      </c>
      <c r="C5903" s="121">
        <v>5</v>
      </c>
      <c r="D5903" s="734">
        <v>135.72904095087148</v>
      </c>
      <c r="E5903" s="733"/>
    </row>
    <row r="5904" spans="2:5">
      <c r="B5904" s="121">
        <v>490</v>
      </c>
      <c r="C5904" s="121">
        <v>6</v>
      </c>
      <c r="D5904" s="734">
        <v>135.67769598353615</v>
      </c>
      <c r="E5904" s="733"/>
    </row>
    <row r="5905" spans="2:5">
      <c r="B5905" s="121">
        <v>490</v>
      </c>
      <c r="C5905" s="121">
        <v>7</v>
      </c>
      <c r="D5905" s="734">
        <v>141.8406419562445</v>
      </c>
      <c r="E5905" s="733"/>
    </row>
    <row r="5906" spans="2:5">
      <c r="B5906" s="121">
        <v>490</v>
      </c>
      <c r="C5906" s="121">
        <v>8</v>
      </c>
      <c r="D5906" s="734">
        <v>142.92757140027371</v>
      </c>
      <c r="E5906" s="733"/>
    </row>
    <row r="5907" spans="2:5">
      <c r="B5907" s="121">
        <v>490</v>
      </c>
      <c r="C5907" s="121">
        <v>9</v>
      </c>
      <c r="D5907" s="734">
        <v>139.92942084335323</v>
      </c>
      <c r="E5907" s="733"/>
    </row>
    <row r="5908" spans="2:5">
      <c r="B5908" s="121">
        <v>490</v>
      </c>
      <c r="C5908" s="121">
        <v>10</v>
      </c>
      <c r="D5908" s="734">
        <v>137.49262537810023</v>
      </c>
      <c r="E5908" s="733"/>
    </row>
    <row r="5909" spans="2:5">
      <c r="B5909" s="121">
        <v>490</v>
      </c>
      <c r="C5909" s="121">
        <v>11</v>
      </c>
      <c r="D5909" s="734">
        <v>142.71846873525709</v>
      </c>
      <c r="E5909" s="733"/>
    </row>
    <row r="5910" spans="2:5">
      <c r="B5910" s="121">
        <v>490</v>
      </c>
      <c r="C5910" s="121">
        <v>12</v>
      </c>
      <c r="D5910" s="734">
        <v>135.01062267672606</v>
      </c>
      <c r="E5910" s="733"/>
    </row>
    <row r="5911" spans="2:5">
      <c r="B5911" s="121">
        <v>490</v>
      </c>
      <c r="C5911" s="121">
        <v>13</v>
      </c>
      <c r="D5911" s="734">
        <v>138.36541554183682</v>
      </c>
      <c r="E5911" s="733"/>
    </row>
    <row r="5912" spans="2:5">
      <c r="B5912" s="121">
        <v>490</v>
      </c>
      <c r="C5912" s="121">
        <v>14</v>
      </c>
      <c r="D5912" s="734">
        <v>140.07956597089961</v>
      </c>
      <c r="E5912" s="733"/>
    </row>
    <row r="5913" spans="2:5">
      <c r="B5913" s="121">
        <v>490</v>
      </c>
      <c r="C5913" s="121">
        <v>15</v>
      </c>
      <c r="D5913" s="734">
        <v>135.68931150133935</v>
      </c>
      <c r="E5913" s="733"/>
    </row>
    <row r="5914" spans="2:5">
      <c r="B5914" s="121">
        <v>490</v>
      </c>
      <c r="C5914" s="121">
        <v>16</v>
      </c>
      <c r="D5914" s="734">
        <v>137.89011960933206</v>
      </c>
      <c r="E5914" s="733"/>
    </row>
    <row r="5915" spans="2:5">
      <c r="B5915" s="121">
        <v>490</v>
      </c>
      <c r="C5915" s="121">
        <v>17</v>
      </c>
      <c r="D5915" s="734">
        <v>146.4537367974086</v>
      </c>
      <c r="E5915" s="733"/>
    </row>
    <row r="5916" spans="2:5">
      <c r="B5916" s="121">
        <v>490</v>
      </c>
      <c r="C5916" s="121">
        <v>18</v>
      </c>
      <c r="D5916" s="734">
        <v>138.88629199201347</v>
      </c>
      <c r="E5916" s="733"/>
    </row>
    <row r="5917" spans="2:5">
      <c r="B5917" s="121">
        <v>490</v>
      </c>
      <c r="C5917" s="121">
        <v>19</v>
      </c>
      <c r="D5917" s="734">
        <v>141.73341205860461</v>
      </c>
      <c r="E5917" s="733"/>
    </row>
    <row r="5918" spans="2:5">
      <c r="B5918" s="121">
        <v>490</v>
      </c>
      <c r="C5918" s="121">
        <v>20</v>
      </c>
      <c r="D5918" s="734">
        <v>135.44358083509201</v>
      </c>
      <c r="E5918" s="733"/>
    </row>
    <row r="5919" spans="2:5">
      <c r="B5919" s="121">
        <v>491</v>
      </c>
      <c r="C5919" s="121">
        <v>1</v>
      </c>
      <c r="D5919" s="734">
        <v>5</v>
      </c>
      <c r="E5919" s="733"/>
    </row>
    <row r="5920" spans="2:5">
      <c r="B5920" s="121">
        <v>492</v>
      </c>
      <c r="C5920" s="121">
        <v>1</v>
      </c>
      <c r="D5920" s="734">
        <v>5</v>
      </c>
      <c r="E5920" s="733"/>
    </row>
    <row r="5921" spans="2:5">
      <c r="B5921" s="121">
        <v>493</v>
      </c>
      <c r="C5921" s="121">
        <v>1</v>
      </c>
      <c r="D5921" s="734">
        <v>5</v>
      </c>
      <c r="E5921" s="733"/>
    </row>
    <row r="5922" spans="2:5">
      <c r="B5922" s="121">
        <v>493</v>
      </c>
      <c r="C5922" s="121">
        <v>2</v>
      </c>
      <c r="D5922" s="734">
        <v>97.189492021002025</v>
      </c>
      <c r="E5922" s="733"/>
    </row>
    <row r="5923" spans="2:5">
      <c r="B5923" s="121">
        <v>493</v>
      </c>
      <c r="C5923" s="121">
        <v>3</v>
      </c>
      <c r="D5923" s="734">
        <v>123.66526177803932</v>
      </c>
      <c r="E5923" s="733"/>
    </row>
    <row r="5924" spans="2:5">
      <c r="B5924" s="121">
        <v>493</v>
      </c>
      <c r="C5924" s="121">
        <v>4</v>
      </c>
      <c r="D5924" s="734">
        <v>137.64673988694042</v>
      </c>
      <c r="E5924" s="733"/>
    </row>
    <row r="5925" spans="2:5">
      <c r="B5925" s="121">
        <v>493</v>
      </c>
      <c r="C5925" s="121">
        <v>5</v>
      </c>
      <c r="D5925" s="734">
        <v>141.81009437139528</v>
      </c>
      <c r="E5925" s="733"/>
    </row>
    <row r="5926" spans="2:5">
      <c r="B5926" s="121">
        <v>493</v>
      </c>
      <c r="C5926" s="121">
        <v>6</v>
      </c>
      <c r="D5926" s="734">
        <v>146.54252492761364</v>
      </c>
      <c r="E5926" s="733"/>
    </row>
    <row r="5927" spans="2:5">
      <c r="B5927" s="121">
        <v>493</v>
      </c>
      <c r="C5927" s="121">
        <v>7</v>
      </c>
      <c r="D5927" s="734">
        <v>145.80042808907956</v>
      </c>
      <c r="E5927" s="733"/>
    </row>
    <row r="5928" spans="2:5">
      <c r="B5928" s="121">
        <v>493</v>
      </c>
      <c r="C5928" s="121">
        <v>8</v>
      </c>
      <c r="D5928" s="734">
        <v>134.6838154104241</v>
      </c>
      <c r="E5928" s="733"/>
    </row>
    <row r="5929" spans="2:5">
      <c r="B5929" s="121">
        <v>493</v>
      </c>
      <c r="C5929" s="121">
        <v>9</v>
      </c>
      <c r="D5929" s="734">
        <v>136.70512595548547</v>
      </c>
      <c r="E5929" s="733"/>
    </row>
    <row r="5930" spans="2:5">
      <c r="B5930" s="121">
        <v>493</v>
      </c>
      <c r="C5930" s="121">
        <v>10</v>
      </c>
      <c r="D5930" s="734">
        <v>144.46644371299806</v>
      </c>
      <c r="E5930" s="733"/>
    </row>
    <row r="5931" spans="2:5">
      <c r="B5931" s="121">
        <v>494</v>
      </c>
      <c r="C5931" s="121">
        <v>1</v>
      </c>
      <c r="D5931" s="734">
        <v>5</v>
      </c>
      <c r="E5931" s="733"/>
    </row>
    <row r="5932" spans="2:5">
      <c r="B5932" s="121">
        <v>494</v>
      </c>
      <c r="C5932" s="121">
        <v>2</v>
      </c>
      <c r="D5932" s="734">
        <v>102.59262791785562</v>
      </c>
      <c r="E5932" s="733"/>
    </row>
    <row r="5933" spans="2:5">
      <c r="B5933" s="121">
        <v>494</v>
      </c>
      <c r="C5933" s="121">
        <v>3</v>
      </c>
      <c r="D5933" s="734">
        <v>117.90720759718555</v>
      </c>
      <c r="E5933" s="733"/>
    </row>
    <row r="5934" spans="2:5">
      <c r="B5934" s="121">
        <v>494</v>
      </c>
      <c r="C5934" s="121">
        <v>4</v>
      </c>
      <c r="D5934" s="734">
        <v>142.74689132571658</v>
      </c>
      <c r="E5934" s="733"/>
    </row>
    <row r="5935" spans="2:5">
      <c r="B5935" s="121">
        <v>494</v>
      </c>
      <c r="C5935" s="121">
        <v>5</v>
      </c>
      <c r="D5935" s="734">
        <v>135.3202346617278</v>
      </c>
      <c r="E5935" s="733"/>
    </row>
    <row r="5936" spans="2:5">
      <c r="B5936" s="121">
        <v>494</v>
      </c>
      <c r="C5936" s="121">
        <v>6</v>
      </c>
      <c r="D5936" s="734">
        <v>138.72202780584522</v>
      </c>
      <c r="E5936" s="733"/>
    </row>
    <row r="5937" spans="2:5">
      <c r="B5937" s="121">
        <v>494</v>
      </c>
      <c r="C5937" s="121">
        <v>7</v>
      </c>
      <c r="D5937" s="734">
        <v>135.91866169043064</v>
      </c>
      <c r="E5937" s="733"/>
    </row>
    <row r="5938" spans="2:5">
      <c r="B5938" s="121">
        <v>494</v>
      </c>
      <c r="C5938" s="121">
        <v>8</v>
      </c>
      <c r="D5938" s="734">
        <v>136.02222978156573</v>
      </c>
      <c r="E5938" s="733"/>
    </row>
    <row r="5939" spans="2:5">
      <c r="B5939" s="121">
        <v>494</v>
      </c>
      <c r="C5939" s="121">
        <v>9</v>
      </c>
      <c r="D5939" s="734">
        <v>136.36656938673298</v>
      </c>
      <c r="E5939" s="733"/>
    </row>
    <row r="5940" spans="2:5">
      <c r="B5940" s="121">
        <v>494</v>
      </c>
      <c r="C5940" s="121">
        <v>10</v>
      </c>
      <c r="D5940" s="734">
        <v>135.48813471856587</v>
      </c>
      <c r="E5940" s="733"/>
    </row>
    <row r="5941" spans="2:5">
      <c r="B5941" s="121">
        <v>494</v>
      </c>
      <c r="C5941" s="121">
        <v>11</v>
      </c>
      <c r="D5941" s="734">
        <v>137.90972389136579</v>
      </c>
      <c r="E5941" s="733"/>
    </row>
    <row r="5942" spans="2:5">
      <c r="B5942" s="121">
        <v>494</v>
      </c>
      <c r="C5942" s="121">
        <v>12</v>
      </c>
      <c r="D5942" s="734">
        <v>139.8780195970395</v>
      </c>
      <c r="E5942" s="733"/>
    </row>
    <row r="5943" spans="2:5">
      <c r="B5943" s="121">
        <v>494</v>
      </c>
      <c r="C5943" s="121">
        <v>13</v>
      </c>
      <c r="D5943" s="734">
        <v>142.70772094048405</v>
      </c>
      <c r="E5943" s="733"/>
    </row>
    <row r="5944" spans="2:5">
      <c r="B5944" s="121">
        <v>494</v>
      </c>
      <c r="C5944" s="121">
        <v>14</v>
      </c>
      <c r="D5944" s="734">
        <v>134.26160943104105</v>
      </c>
      <c r="E5944" s="733"/>
    </row>
    <row r="5945" spans="2:5">
      <c r="B5945" s="121">
        <v>494</v>
      </c>
      <c r="C5945" s="121">
        <v>15</v>
      </c>
      <c r="D5945" s="734">
        <v>136.91235292710397</v>
      </c>
      <c r="E5945" s="733"/>
    </row>
    <row r="5946" spans="2:5">
      <c r="B5946" s="121">
        <v>494</v>
      </c>
      <c r="C5946" s="121">
        <v>16</v>
      </c>
      <c r="D5946" s="734">
        <v>144.37020330413117</v>
      </c>
      <c r="E5946" s="733"/>
    </row>
    <row r="5947" spans="2:5">
      <c r="B5947" s="121">
        <v>494</v>
      </c>
      <c r="C5947" s="121">
        <v>17</v>
      </c>
      <c r="D5947" s="734">
        <v>140.7433741637646</v>
      </c>
      <c r="E5947" s="733"/>
    </row>
    <row r="5948" spans="2:5">
      <c r="B5948" s="121">
        <v>494</v>
      </c>
      <c r="C5948" s="121">
        <v>18</v>
      </c>
      <c r="D5948" s="734">
        <v>141.97470113249148</v>
      </c>
      <c r="E5948" s="733"/>
    </row>
    <row r="5949" spans="2:5">
      <c r="B5949" s="121">
        <v>494</v>
      </c>
      <c r="C5949" s="121">
        <v>19</v>
      </c>
      <c r="D5949" s="734">
        <v>134.21121630844209</v>
      </c>
      <c r="E5949" s="733"/>
    </row>
    <row r="5950" spans="2:5">
      <c r="B5950" s="121">
        <v>494</v>
      </c>
      <c r="C5950" s="121">
        <v>20</v>
      </c>
      <c r="D5950" s="734">
        <v>135.18623967598572</v>
      </c>
      <c r="E5950" s="733"/>
    </row>
    <row r="5951" spans="2:5">
      <c r="B5951" s="121">
        <v>494</v>
      </c>
      <c r="C5951" s="121">
        <v>21</v>
      </c>
      <c r="D5951" s="734">
        <v>145.62688660485568</v>
      </c>
      <c r="E5951" s="733"/>
    </row>
    <row r="5952" spans="2:5">
      <c r="B5952" s="121">
        <v>494</v>
      </c>
      <c r="C5952" s="121">
        <v>22</v>
      </c>
      <c r="D5952" s="734">
        <v>141.38518098237014</v>
      </c>
      <c r="E5952" s="733"/>
    </row>
    <row r="5953" spans="2:5">
      <c r="B5953" s="121">
        <v>494</v>
      </c>
      <c r="C5953" s="121">
        <v>23</v>
      </c>
      <c r="D5953" s="734">
        <v>144.99205185186099</v>
      </c>
      <c r="E5953" s="733"/>
    </row>
    <row r="5954" spans="2:5">
      <c r="B5954" s="121">
        <v>494</v>
      </c>
      <c r="C5954" s="121">
        <v>24</v>
      </c>
      <c r="D5954" s="734">
        <v>144.75800776319898</v>
      </c>
      <c r="E5954" s="733"/>
    </row>
    <row r="5955" spans="2:5">
      <c r="B5955" s="121">
        <v>494</v>
      </c>
      <c r="C5955" s="121">
        <v>25</v>
      </c>
      <c r="D5955" s="734">
        <v>142.26408246287454</v>
      </c>
      <c r="E5955" s="733"/>
    </row>
    <row r="5956" spans="2:5">
      <c r="B5956" s="121">
        <v>494</v>
      </c>
      <c r="C5956" s="121">
        <v>26</v>
      </c>
      <c r="D5956" s="734">
        <v>147.28226537088781</v>
      </c>
      <c r="E5956" s="733"/>
    </row>
    <row r="5957" spans="2:5">
      <c r="B5957" s="121">
        <v>494</v>
      </c>
      <c r="C5957" s="121">
        <v>27</v>
      </c>
      <c r="D5957" s="734">
        <v>134.83286285589364</v>
      </c>
      <c r="E5957" s="733"/>
    </row>
    <row r="5958" spans="2:5">
      <c r="B5958" s="121">
        <v>495</v>
      </c>
      <c r="C5958" s="121">
        <v>1</v>
      </c>
      <c r="D5958" s="734">
        <v>5</v>
      </c>
      <c r="E5958" s="733"/>
    </row>
    <row r="5959" spans="2:5">
      <c r="B5959" s="121">
        <v>495</v>
      </c>
      <c r="C5959" s="121">
        <v>2</v>
      </c>
      <c r="D5959" s="734">
        <v>103.4823093094372</v>
      </c>
      <c r="E5959" s="733"/>
    </row>
    <row r="5960" spans="2:5">
      <c r="B5960" s="121">
        <v>495</v>
      </c>
      <c r="C5960" s="121">
        <v>3</v>
      </c>
      <c r="D5960" s="734">
        <v>117.0703731685438</v>
      </c>
      <c r="E5960" s="733"/>
    </row>
    <row r="5961" spans="2:5">
      <c r="B5961" s="121">
        <v>495</v>
      </c>
      <c r="C5961" s="121">
        <v>4</v>
      </c>
      <c r="D5961" s="734">
        <v>143.2862339303864</v>
      </c>
      <c r="E5961" s="733"/>
    </row>
    <row r="5962" spans="2:5">
      <c r="B5962" s="121">
        <v>495</v>
      </c>
      <c r="C5962" s="121">
        <v>5</v>
      </c>
      <c r="D5962" s="734">
        <v>134.75367496271596</v>
      </c>
      <c r="E5962" s="733"/>
    </row>
    <row r="5963" spans="2:5">
      <c r="B5963" s="121">
        <v>495</v>
      </c>
      <c r="C5963" s="121">
        <v>6</v>
      </c>
      <c r="D5963" s="734">
        <v>144.31000181087188</v>
      </c>
      <c r="E5963" s="733"/>
    </row>
    <row r="5964" spans="2:5">
      <c r="B5964" s="121">
        <v>495</v>
      </c>
      <c r="C5964" s="121">
        <v>7</v>
      </c>
      <c r="D5964" s="734">
        <v>146.76757001793283</v>
      </c>
      <c r="E5964" s="733"/>
    </row>
    <row r="5965" spans="2:5">
      <c r="B5965" s="121">
        <v>495</v>
      </c>
      <c r="C5965" s="121">
        <v>8</v>
      </c>
      <c r="D5965" s="734">
        <v>147.10299061879735</v>
      </c>
      <c r="E5965" s="733"/>
    </row>
    <row r="5966" spans="2:5">
      <c r="B5966" s="121">
        <v>495</v>
      </c>
      <c r="C5966" s="121">
        <v>9</v>
      </c>
      <c r="D5966" s="734">
        <v>146.03882323358823</v>
      </c>
      <c r="E5966" s="733"/>
    </row>
    <row r="5967" spans="2:5">
      <c r="B5967" s="121">
        <v>495</v>
      </c>
      <c r="C5967" s="121">
        <v>10</v>
      </c>
      <c r="D5967" s="734">
        <v>136.83571919930566</v>
      </c>
      <c r="E5967" s="733"/>
    </row>
    <row r="5968" spans="2:5">
      <c r="B5968" s="121">
        <v>495</v>
      </c>
      <c r="C5968" s="121">
        <v>11</v>
      </c>
      <c r="D5968" s="734">
        <v>138.94711321514683</v>
      </c>
      <c r="E5968" s="733"/>
    </row>
    <row r="5969" spans="2:5">
      <c r="B5969" s="121">
        <v>495</v>
      </c>
      <c r="C5969" s="121">
        <v>12</v>
      </c>
      <c r="D5969" s="734">
        <v>134.58303603195421</v>
      </c>
      <c r="E5969" s="733"/>
    </row>
    <row r="5970" spans="2:5">
      <c r="B5970" s="121">
        <v>495</v>
      </c>
      <c r="C5970" s="121">
        <v>13</v>
      </c>
      <c r="D5970" s="734">
        <v>138.31970327448411</v>
      </c>
      <c r="E5970" s="733"/>
    </row>
    <row r="5971" spans="2:5">
      <c r="B5971" s="121">
        <v>495</v>
      </c>
      <c r="C5971" s="121">
        <v>14</v>
      </c>
      <c r="D5971" s="734">
        <v>134.76093236429671</v>
      </c>
      <c r="E5971" s="733"/>
    </row>
    <row r="5972" spans="2:5">
      <c r="B5972" s="121">
        <v>495</v>
      </c>
      <c r="C5972" s="121">
        <v>15</v>
      </c>
      <c r="D5972" s="734">
        <v>143.08201395740537</v>
      </c>
      <c r="E5972" s="733"/>
    </row>
    <row r="5973" spans="2:5">
      <c r="B5973" s="121">
        <v>495</v>
      </c>
      <c r="C5973" s="121">
        <v>16</v>
      </c>
      <c r="D5973" s="734">
        <v>144.85890003970854</v>
      </c>
      <c r="E5973" s="733"/>
    </row>
    <row r="5974" spans="2:5">
      <c r="B5974" s="121">
        <v>495</v>
      </c>
      <c r="C5974" s="121">
        <v>17</v>
      </c>
      <c r="D5974" s="734">
        <v>145.54769149675744</v>
      </c>
      <c r="E5974" s="733"/>
    </row>
    <row r="5975" spans="2:5">
      <c r="B5975" s="121">
        <v>495</v>
      </c>
      <c r="C5975" s="121">
        <v>18</v>
      </c>
      <c r="D5975" s="734">
        <v>134.4029250592192</v>
      </c>
      <c r="E5975" s="733"/>
    </row>
    <row r="5976" spans="2:5">
      <c r="B5976" s="121">
        <v>495</v>
      </c>
      <c r="C5976" s="121">
        <v>19</v>
      </c>
      <c r="D5976" s="734">
        <v>143.00874178236003</v>
      </c>
      <c r="E5976" s="733"/>
    </row>
    <row r="5977" spans="2:5">
      <c r="B5977" s="121">
        <v>495</v>
      </c>
      <c r="C5977" s="121">
        <v>20</v>
      </c>
      <c r="D5977" s="734">
        <v>144.94306201514806</v>
      </c>
      <c r="E5977" s="733"/>
    </row>
    <row r="5978" spans="2:5">
      <c r="B5978" s="121">
        <v>495</v>
      </c>
      <c r="C5978" s="121">
        <v>21</v>
      </c>
      <c r="D5978" s="734">
        <v>145.79190005499046</v>
      </c>
      <c r="E5978" s="733"/>
    </row>
    <row r="5979" spans="2:5">
      <c r="B5979" s="121">
        <v>495</v>
      </c>
      <c r="C5979" s="121">
        <v>22</v>
      </c>
      <c r="D5979" s="734">
        <v>134.95666031598159</v>
      </c>
      <c r="E5979" s="733"/>
    </row>
    <row r="5980" spans="2:5">
      <c r="B5980" s="121">
        <v>495</v>
      </c>
      <c r="C5980" s="121">
        <v>23</v>
      </c>
      <c r="D5980" s="734">
        <v>137.03243960469834</v>
      </c>
      <c r="E5980" s="733"/>
    </row>
    <row r="5981" spans="2:5">
      <c r="B5981" s="121">
        <v>495</v>
      </c>
      <c r="C5981" s="121">
        <v>24</v>
      </c>
      <c r="D5981" s="734">
        <v>134.6070017778288</v>
      </c>
      <c r="E5981" s="733"/>
    </row>
    <row r="5982" spans="2:5">
      <c r="B5982" s="121">
        <v>495</v>
      </c>
      <c r="C5982" s="121">
        <v>25</v>
      </c>
      <c r="D5982" s="734">
        <v>141.44086697085817</v>
      </c>
      <c r="E5982" s="733"/>
    </row>
    <row r="5983" spans="2:5">
      <c r="B5983" s="121">
        <v>495</v>
      </c>
      <c r="C5983" s="121">
        <v>26</v>
      </c>
      <c r="D5983" s="734">
        <v>142.28933901737582</v>
      </c>
      <c r="E5983" s="733"/>
    </row>
    <row r="5984" spans="2:5">
      <c r="B5984" s="121">
        <v>495</v>
      </c>
      <c r="C5984" s="121">
        <v>27</v>
      </c>
      <c r="D5984" s="734">
        <v>142.78489802151361</v>
      </c>
      <c r="E5984" s="733"/>
    </row>
    <row r="5985" spans="2:5">
      <c r="B5985" s="121">
        <v>495</v>
      </c>
      <c r="C5985" s="121">
        <v>28</v>
      </c>
      <c r="D5985" s="734">
        <v>139.80695418211855</v>
      </c>
      <c r="E5985" s="733"/>
    </row>
    <row r="5986" spans="2:5">
      <c r="B5986" s="121">
        <v>495</v>
      </c>
      <c r="C5986" s="121">
        <v>29</v>
      </c>
      <c r="D5986" s="734">
        <v>143.69948416633332</v>
      </c>
      <c r="E5986" s="733"/>
    </row>
    <row r="5987" spans="2:5">
      <c r="B5987" s="121">
        <v>495</v>
      </c>
      <c r="C5987" s="121">
        <v>30</v>
      </c>
      <c r="D5987" s="734">
        <v>139.19419015956603</v>
      </c>
      <c r="E5987" s="733"/>
    </row>
    <row r="5988" spans="2:5">
      <c r="B5988" s="121">
        <v>496</v>
      </c>
      <c r="C5988" s="121">
        <v>1</v>
      </c>
      <c r="D5988" s="734">
        <v>5</v>
      </c>
      <c r="E5988" s="733"/>
    </row>
    <row r="5989" spans="2:5">
      <c r="B5989" s="121">
        <v>497</v>
      </c>
      <c r="C5989" s="121">
        <v>1</v>
      </c>
      <c r="D5989" s="734">
        <v>5</v>
      </c>
      <c r="E5989" s="733"/>
    </row>
    <row r="5990" spans="2:5">
      <c r="B5990" s="121">
        <v>497</v>
      </c>
      <c r="C5990" s="121">
        <v>2</v>
      </c>
      <c r="D5990" s="734">
        <v>95.288162766844451</v>
      </c>
      <c r="E5990" s="733"/>
    </row>
    <row r="5991" spans="2:5">
      <c r="B5991" s="121">
        <v>497</v>
      </c>
      <c r="C5991" s="121">
        <v>3</v>
      </c>
      <c r="D5991" s="734">
        <v>114.9870475695589</v>
      </c>
      <c r="E5991" s="733"/>
    </row>
    <row r="5992" spans="2:5">
      <c r="B5992" s="121">
        <v>497</v>
      </c>
      <c r="C5992" s="121">
        <v>4</v>
      </c>
      <c r="D5992" s="734">
        <v>137.32529991351197</v>
      </c>
      <c r="E5992" s="733"/>
    </row>
    <row r="5993" spans="2:5">
      <c r="B5993" s="121">
        <v>497</v>
      </c>
      <c r="C5993" s="121">
        <v>5</v>
      </c>
      <c r="D5993" s="734">
        <v>136.66486123046562</v>
      </c>
      <c r="E5993" s="733"/>
    </row>
    <row r="5994" spans="2:5">
      <c r="B5994" s="121">
        <v>497</v>
      </c>
      <c r="C5994" s="121">
        <v>6</v>
      </c>
      <c r="D5994" s="734">
        <v>134.78458484675357</v>
      </c>
      <c r="E5994" s="733"/>
    </row>
    <row r="5995" spans="2:5">
      <c r="B5995" s="121">
        <v>497</v>
      </c>
      <c r="C5995" s="121">
        <v>7</v>
      </c>
      <c r="D5995" s="734">
        <v>134.41299554962549</v>
      </c>
      <c r="E5995" s="733"/>
    </row>
    <row r="5996" spans="2:5">
      <c r="B5996" s="121">
        <v>497</v>
      </c>
      <c r="C5996" s="121">
        <v>8</v>
      </c>
      <c r="D5996" s="734">
        <v>145.99541396234821</v>
      </c>
      <c r="E5996" s="733"/>
    </row>
    <row r="5997" spans="2:5">
      <c r="B5997" s="121">
        <v>497</v>
      </c>
      <c r="C5997" s="121">
        <v>9</v>
      </c>
      <c r="D5997" s="734">
        <v>137.82786682077267</v>
      </c>
      <c r="E5997" s="733"/>
    </row>
    <row r="5998" spans="2:5">
      <c r="B5998" s="121">
        <v>497</v>
      </c>
      <c r="C5998" s="121">
        <v>10</v>
      </c>
      <c r="D5998" s="734">
        <v>137.77489941620664</v>
      </c>
      <c r="E5998" s="733"/>
    </row>
    <row r="5999" spans="2:5">
      <c r="B5999" s="121">
        <v>497</v>
      </c>
      <c r="C5999" s="121">
        <v>11</v>
      </c>
      <c r="D5999" s="734">
        <v>144.85982447214022</v>
      </c>
      <c r="E5999" s="733"/>
    </row>
    <row r="6000" spans="2:5">
      <c r="B6000" s="121">
        <v>498</v>
      </c>
      <c r="C6000" s="121">
        <v>1</v>
      </c>
      <c r="D6000" s="734">
        <v>5</v>
      </c>
      <c r="E6000" s="733"/>
    </row>
    <row r="6001" spans="2:5">
      <c r="B6001" s="121">
        <v>498</v>
      </c>
      <c r="C6001" s="121">
        <v>2</v>
      </c>
      <c r="D6001" s="734">
        <v>100.55342260996963</v>
      </c>
      <c r="E6001" s="733"/>
    </row>
    <row r="6002" spans="2:5">
      <c r="B6002" s="121">
        <v>498</v>
      </c>
      <c r="C6002" s="121">
        <v>3</v>
      </c>
      <c r="D6002" s="734">
        <v>122.31713845656576</v>
      </c>
      <c r="E6002" s="733"/>
    </row>
    <row r="6003" spans="2:5">
      <c r="B6003" s="121">
        <v>498</v>
      </c>
      <c r="C6003" s="121">
        <v>4</v>
      </c>
      <c r="D6003" s="734">
        <v>146.8852585826144</v>
      </c>
      <c r="E6003" s="733"/>
    </row>
    <row r="6004" spans="2:5">
      <c r="B6004" s="121">
        <v>498</v>
      </c>
      <c r="C6004" s="121">
        <v>5</v>
      </c>
      <c r="D6004" s="734">
        <v>140.9486042806036</v>
      </c>
      <c r="E6004" s="733"/>
    </row>
    <row r="6005" spans="2:5">
      <c r="B6005" s="121">
        <v>498</v>
      </c>
      <c r="C6005" s="121">
        <v>6</v>
      </c>
      <c r="D6005" s="734">
        <v>134.28608163633405</v>
      </c>
      <c r="E6005" s="733"/>
    </row>
    <row r="6006" spans="2:5">
      <c r="B6006" s="121">
        <v>498</v>
      </c>
      <c r="C6006" s="121">
        <v>7</v>
      </c>
      <c r="D6006" s="734">
        <v>136.62252776926857</v>
      </c>
      <c r="E6006" s="733"/>
    </row>
    <row r="6007" spans="2:5">
      <c r="B6007" s="121">
        <v>498</v>
      </c>
      <c r="C6007" s="121">
        <v>8</v>
      </c>
      <c r="D6007" s="734">
        <v>145.75412191204896</v>
      </c>
      <c r="E6007" s="733"/>
    </row>
    <row r="6008" spans="2:5">
      <c r="B6008" s="121">
        <v>498</v>
      </c>
      <c r="C6008" s="121">
        <v>9</v>
      </c>
      <c r="D6008" s="734">
        <v>145.72901412997064</v>
      </c>
      <c r="E6008" s="733"/>
    </row>
    <row r="6009" spans="2:5">
      <c r="B6009" s="121">
        <v>498</v>
      </c>
      <c r="C6009" s="121">
        <v>10</v>
      </c>
      <c r="D6009" s="734">
        <v>136.67588445491569</v>
      </c>
      <c r="E6009" s="733"/>
    </row>
    <row r="6010" spans="2:5">
      <c r="B6010" s="121">
        <v>498</v>
      </c>
      <c r="C6010" s="121">
        <v>11</v>
      </c>
      <c r="D6010" s="734">
        <v>140.01471841888309</v>
      </c>
      <c r="E6010" s="733"/>
    </row>
    <row r="6011" spans="2:5">
      <c r="B6011" s="121">
        <v>498</v>
      </c>
      <c r="C6011" s="121">
        <v>12</v>
      </c>
      <c r="D6011" s="734">
        <v>143.88848617003265</v>
      </c>
      <c r="E6011" s="733"/>
    </row>
    <row r="6012" spans="2:5">
      <c r="B6012" s="121">
        <v>498</v>
      </c>
      <c r="C6012" s="121">
        <v>13</v>
      </c>
      <c r="D6012" s="734">
        <v>143.7018505016313</v>
      </c>
      <c r="E6012" s="733"/>
    </row>
    <row r="6013" spans="2:5">
      <c r="B6013" s="121">
        <v>498</v>
      </c>
      <c r="C6013" s="121">
        <v>14</v>
      </c>
      <c r="D6013" s="734">
        <v>138.85946445800076</v>
      </c>
      <c r="E6013" s="733"/>
    </row>
    <row r="6014" spans="2:5">
      <c r="B6014" s="121">
        <v>499</v>
      </c>
      <c r="C6014" s="121">
        <v>1</v>
      </c>
      <c r="D6014" s="734">
        <v>5</v>
      </c>
      <c r="E6014" s="733"/>
    </row>
    <row r="6015" spans="2:5">
      <c r="B6015" s="121">
        <v>499</v>
      </c>
      <c r="C6015" s="121">
        <v>2</v>
      </c>
      <c r="D6015" s="734">
        <v>96.059347365430682</v>
      </c>
      <c r="E6015" s="733"/>
    </row>
    <row r="6016" spans="2:5">
      <c r="B6016" s="121">
        <v>499</v>
      </c>
      <c r="C6016" s="121">
        <v>3</v>
      </c>
      <c r="D6016" s="734">
        <v>121.74884536487272</v>
      </c>
      <c r="E6016" s="733"/>
    </row>
    <row r="6017" spans="2:5">
      <c r="B6017" s="121">
        <v>499</v>
      </c>
      <c r="C6017" s="121">
        <v>4</v>
      </c>
      <c r="D6017" s="734">
        <v>141.51075758758137</v>
      </c>
      <c r="E6017" s="733"/>
    </row>
    <row r="6018" spans="2:5">
      <c r="B6018" s="121">
        <v>499</v>
      </c>
      <c r="C6018" s="121">
        <v>5</v>
      </c>
      <c r="D6018" s="734">
        <v>145.67330048653184</v>
      </c>
      <c r="E6018" s="733"/>
    </row>
    <row r="6019" spans="2:5">
      <c r="B6019" s="121">
        <v>499</v>
      </c>
      <c r="C6019" s="121">
        <v>6</v>
      </c>
      <c r="D6019" s="734">
        <v>143.84969678431946</v>
      </c>
      <c r="E6019" s="733"/>
    </row>
    <row r="6020" spans="2:5">
      <c r="B6020" s="121">
        <v>499</v>
      </c>
      <c r="C6020" s="121">
        <v>7</v>
      </c>
      <c r="D6020" s="734">
        <v>144.60453175695704</v>
      </c>
      <c r="E6020" s="733"/>
    </row>
    <row r="6021" spans="2:5">
      <c r="B6021" s="121">
        <v>499</v>
      </c>
      <c r="C6021" s="121">
        <v>8</v>
      </c>
      <c r="D6021" s="734">
        <v>146.44472943113789</v>
      </c>
      <c r="E6021" s="733"/>
    </row>
    <row r="6022" spans="2:5">
      <c r="B6022" s="121">
        <v>499</v>
      </c>
      <c r="C6022" s="121">
        <v>9</v>
      </c>
      <c r="D6022" s="734">
        <v>146.35890119698445</v>
      </c>
      <c r="E6022" s="733"/>
    </row>
    <row r="6023" spans="2:5">
      <c r="B6023" s="121">
        <v>499</v>
      </c>
      <c r="C6023" s="121">
        <v>10</v>
      </c>
      <c r="D6023" s="734">
        <v>140.42204305690166</v>
      </c>
      <c r="E6023" s="733"/>
    </row>
    <row r="6024" spans="2:5">
      <c r="B6024" s="121">
        <v>500</v>
      </c>
      <c r="C6024" s="121">
        <v>1</v>
      </c>
      <c r="D6024" s="734">
        <v>5</v>
      </c>
      <c r="E6024" s="733"/>
    </row>
    <row r="6025" spans="2:5">
      <c r="B6025" s="121">
        <v>500</v>
      </c>
      <c r="C6025" s="121">
        <v>2</v>
      </c>
      <c r="D6025" s="734">
        <v>98.178293821557389</v>
      </c>
      <c r="E6025" s="733"/>
    </row>
    <row r="6026" spans="2:5">
      <c r="B6026" s="121">
        <v>500</v>
      </c>
      <c r="C6026" s="121">
        <v>3</v>
      </c>
      <c r="D6026" s="734">
        <v>123.42751310496155</v>
      </c>
      <c r="E6026" s="733"/>
    </row>
    <row r="6027" spans="2:5">
      <c r="B6027" s="121">
        <v>500</v>
      </c>
      <c r="C6027" s="121">
        <v>4</v>
      </c>
      <c r="D6027" s="734">
        <v>142.3830868503114</v>
      </c>
      <c r="E6027" s="733"/>
    </row>
    <row r="6028" spans="2:5">
      <c r="B6028" s="121">
        <v>500</v>
      </c>
      <c r="C6028" s="121">
        <v>5</v>
      </c>
      <c r="D6028" s="734">
        <v>141.96232059485794</v>
      </c>
      <c r="E6028" s="733"/>
    </row>
    <row r="6029" spans="2:5">
      <c r="B6029" s="121">
        <v>500</v>
      </c>
      <c r="C6029" s="121">
        <v>6</v>
      </c>
      <c r="D6029" s="734">
        <v>137.56735761436059</v>
      </c>
      <c r="E6029" s="733"/>
    </row>
    <row r="6030" spans="2:5">
      <c r="B6030" s="121">
        <v>500</v>
      </c>
      <c r="C6030" s="121">
        <v>7</v>
      </c>
      <c r="D6030" s="734">
        <v>142.30457304425124</v>
      </c>
      <c r="E6030" s="733"/>
    </row>
    <row r="6031" spans="2:5">
      <c r="B6031" s="121">
        <v>500</v>
      </c>
      <c r="C6031" s="121">
        <v>8</v>
      </c>
      <c r="D6031" s="734">
        <v>143.20031393633658</v>
      </c>
      <c r="E6031" s="733"/>
    </row>
    <row r="6032" spans="2:5">
      <c r="B6032" s="121">
        <v>500</v>
      </c>
      <c r="C6032" s="121">
        <v>9</v>
      </c>
      <c r="D6032" s="734">
        <v>146.85130459476451</v>
      </c>
      <c r="E6032" s="733"/>
    </row>
    <row r="6033" spans="2:5">
      <c r="B6033" s="121">
        <v>500</v>
      </c>
      <c r="C6033" s="121">
        <v>10</v>
      </c>
      <c r="D6033" s="734">
        <v>138.83716607761087</v>
      </c>
      <c r="E6033" s="733"/>
    </row>
    <row r="6034" spans="2:5">
      <c r="B6034" s="121">
        <v>500</v>
      </c>
      <c r="C6034" s="121">
        <v>11</v>
      </c>
      <c r="D6034" s="734">
        <v>145.64325578321061</v>
      </c>
      <c r="E6034" s="733"/>
    </row>
    <row r="6035" spans="2:5">
      <c r="B6035" s="121">
        <v>500</v>
      </c>
      <c r="C6035" s="121">
        <v>12</v>
      </c>
      <c r="D6035" s="734">
        <v>146.6149518860272</v>
      </c>
      <c r="E6035" s="733"/>
    </row>
    <row r="6036" spans="2:5">
      <c r="B6036" s="121">
        <v>500</v>
      </c>
      <c r="C6036" s="121">
        <v>13</v>
      </c>
      <c r="D6036" s="734">
        <v>141.87607306226215</v>
      </c>
      <c r="E6036" s="733"/>
    </row>
    <row r="6037" spans="2:5">
      <c r="B6037" s="121">
        <v>500</v>
      </c>
      <c r="C6037" s="121">
        <v>14</v>
      </c>
      <c r="D6037" s="734">
        <v>141.69591598927173</v>
      </c>
      <c r="E6037" s="733"/>
    </row>
    <row r="6038" spans="2:5">
      <c r="B6038" s="121">
        <v>500</v>
      </c>
      <c r="C6038" s="121">
        <v>15</v>
      </c>
      <c r="D6038" s="734">
        <v>146.27431731481934</v>
      </c>
      <c r="E6038" s="733"/>
    </row>
    <row r="6039" spans="2:5">
      <c r="B6039" s="121">
        <v>500</v>
      </c>
      <c r="C6039" s="121">
        <v>16</v>
      </c>
      <c r="D6039" s="734">
        <v>138.27685608117835</v>
      </c>
      <c r="E6039" s="733"/>
    </row>
    <row r="6040" spans="2:5">
      <c r="B6040" s="121">
        <v>500</v>
      </c>
      <c r="C6040" s="121">
        <v>17</v>
      </c>
      <c r="D6040" s="734">
        <v>138.42870167252897</v>
      </c>
      <c r="E6040" s="733"/>
    </row>
    <row r="6041" spans="2:5">
      <c r="B6041" s="121">
        <v>500</v>
      </c>
      <c r="C6041" s="121">
        <v>18</v>
      </c>
      <c r="D6041" s="734">
        <v>145.41174157215994</v>
      </c>
      <c r="E6041" s="733"/>
    </row>
    <row r="6042" spans="2:5">
      <c r="B6042" s="121">
        <v>500</v>
      </c>
      <c r="C6042" s="121">
        <v>19</v>
      </c>
      <c r="D6042" s="734">
        <v>141.88764610080864</v>
      </c>
      <c r="E6042" s="733"/>
    </row>
    <row r="6043" spans="2:5">
      <c r="B6043" s="121">
        <v>500</v>
      </c>
      <c r="C6043" s="121">
        <v>20</v>
      </c>
      <c r="D6043" s="734">
        <v>137.36625313414839</v>
      </c>
      <c r="E6043" s="733"/>
    </row>
    <row r="6044" spans="2:5">
      <c r="B6044" s="121">
        <v>500</v>
      </c>
      <c r="C6044" s="121">
        <v>21</v>
      </c>
      <c r="D6044" s="734">
        <v>146.57873208391908</v>
      </c>
      <c r="E6044" s="733"/>
    </row>
    <row r="6045" spans="2:5">
      <c r="B6045" s="121">
        <v>500</v>
      </c>
      <c r="C6045" s="121">
        <v>22</v>
      </c>
      <c r="D6045" s="734">
        <v>143.98968818540973</v>
      </c>
      <c r="E6045" s="733"/>
    </row>
    <row r="6046" spans="2:5">
      <c r="B6046" s="121">
        <v>500</v>
      </c>
      <c r="C6046" s="121">
        <v>23</v>
      </c>
      <c r="D6046" s="734">
        <v>138.57589837329132</v>
      </c>
      <c r="E6046" s="733"/>
    </row>
    <row r="6047" spans="2:5">
      <c r="B6047" s="121">
        <v>500</v>
      </c>
      <c r="C6047" s="121">
        <v>24</v>
      </c>
      <c r="D6047" s="734">
        <v>134.85739093237552</v>
      </c>
      <c r="E6047" s="733"/>
    </row>
    <row r="6048" spans="2:5">
      <c r="B6048" s="121">
        <v>500</v>
      </c>
      <c r="C6048" s="121">
        <v>25</v>
      </c>
      <c r="D6048" s="734">
        <v>138.26158202823399</v>
      </c>
      <c r="E6048" s="733"/>
    </row>
    <row r="6049" spans="2:5">
      <c r="B6049" s="121">
        <v>500</v>
      </c>
      <c r="C6049" s="121">
        <v>26</v>
      </c>
      <c r="D6049" s="734">
        <v>136.71757394966031</v>
      </c>
      <c r="E6049" s="733"/>
    </row>
    <row r="6050" spans="2:5">
      <c r="B6050" s="121">
        <v>500</v>
      </c>
      <c r="C6050" s="121">
        <v>27</v>
      </c>
      <c r="D6050" s="734">
        <v>138.40732388706795</v>
      </c>
      <c r="E6050" s="733"/>
    </row>
    <row r="6051" spans="2:5">
      <c r="B6051" s="121">
        <v>500</v>
      </c>
      <c r="C6051" s="121">
        <v>28</v>
      </c>
      <c r="D6051" s="734">
        <v>137.99282417528013</v>
      </c>
      <c r="E6051" s="733"/>
    </row>
    <row r="6052" spans="2:5">
      <c r="B6052" s="121">
        <v>500</v>
      </c>
      <c r="C6052" s="121">
        <v>29</v>
      </c>
      <c r="D6052" s="734">
        <v>135.3076042124431</v>
      </c>
      <c r="E6052" s="733"/>
    </row>
    <row r="6053" spans="2:5">
      <c r="B6053" s="121">
        <v>500</v>
      </c>
      <c r="C6053" s="121">
        <v>30</v>
      </c>
      <c r="D6053" s="734">
        <v>135.83367482350405</v>
      </c>
      <c r="E6053" s="733"/>
    </row>
    <row r="6054" spans="2:5">
      <c r="B6054" s="121">
        <v>500</v>
      </c>
      <c r="C6054" s="121">
        <v>31</v>
      </c>
      <c r="D6054" s="734">
        <v>135.24216925893867</v>
      </c>
      <c r="E6054" s="733"/>
    </row>
    <row r="6055" spans="2:5">
      <c r="B6055" s="121">
        <v>500</v>
      </c>
      <c r="C6055" s="121">
        <v>32</v>
      </c>
      <c r="D6055" s="734">
        <v>134.22634562539969</v>
      </c>
      <c r="E6055" s="733"/>
    </row>
    <row r="6056" spans="2:5">
      <c r="B6056" s="121">
        <v>500</v>
      </c>
      <c r="C6056" s="121">
        <v>33</v>
      </c>
      <c r="D6056" s="734">
        <v>142.83803387576165</v>
      </c>
      <c r="E6056" s="733"/>
    </row>
    <row r="6057" spans="2:5">
      <c r="B6057" s="121">
        <v>500</v>
      </c>
      <c r="C6057" s="121">
        <v>34</v>
      </c>
      <c r="D6057" s="734">
        <v>134.59299279189932</v>
      </c>
      <c r="E6057" s="733"/>
    </row>
    <row r="6058" spans="2:5">
      <c r="B6058" s="121">
        <v>500</v>
      </c>
      <c r="C6058" s="121">
        <v>35</v>
      </c>
      <c r="D6058" s="734">
        <v>143.77523247376556</v>
      </c>
      <c r="E6058" s="733"/>
    </row>
    <row r="6059" spans="2:5">
      <c r="B6059" s="121">
        <v>500</v>
      </c>
      <c r="C6059" s="121">
        <v>36</v>
      </c>
      <c r="D6059" s="734">
        <v>141.67967848824304</v>
      </c>
      <c r="E6059" s="733"/>
    </row>
    <row r="6060" spans="2:5">
      <c r="B6060" s="121">
        <v>501</v>
      </c>
      <c r="C6060" s="121">
        <v>1</v>
      </c>
      <c r="D6060" s="734">
        <v>5</v>
      </c>
      <c r="E6060" s="733"/>
    </row>
    <row r="6061" spans="2:5">
      <c r="B6061" s="121">
        <v>501</v>
      </c>
      <c r="C6061" s="121">
        <v>2</v>
      </c>
      <c r="D6061" s="734">
        <v>97.400959833791163</v>
      </c>
      <c r="E6061" s="733"/>
    </row>
    <row r="6062" spans="2:5">
      <c r="B6062" s="121">
        <v>501</v>
      </c>
      <c r="C6062" s="121">
        <v>3</v>
      </c>
      <c r="D6062" s="734">
        <v>124.13572209544319</v>
      </c>
      <c r="E6062" s="733"/>
    </row>
    <row r="6063" spans="2:5">
      <c r="B6063" s="121">
        <v>501</v>
      </c>
      <c r="C6063" s="121">
        <v>4</v>
      </c>
      <c r="D6063" s="734">
        <v>134.06065029549617</v>
      </c>
      <c r="E6063" s="733"/>
    </row>
    <row r="6064" spans="2:5">
      <c r="B6064" s="121">
        <v>501</v>
      </c>
      <c r="C6064" s="121">
        <v>5</v>
      </c>
      <c r="D6064" s="734">
        <v>137.23205751585908</v>
      </c>
      <c r="E6064" s="733"/>
    </row>
    <row r="6065" spans="2:5">
      <c r="B6065" s="121">
        <v>501</v>
      </c>
      <c r="C6065" s="121">
        <v>6</v>
      </c>
      <c r="D6065" s="734">
        <v>134.16724400527809</v>
      </c>
      <c r="E6065" s="733"/>
    </row>
    <row r="6066" spans="2:5">
      <c r="B6066" s="121">
        <v>501</v>
      </c>
      <c r="C6066" s="121">
        <v>7</v>
      </c>
      <c r="D6066" s="734">
        <v>136.06626613781049</v>
      </c>
      <c r="E6066" s="733"/>
    </row>
    <row r="6067" spans="2:5">
      <c r="B6067" s="121">
        <v>501</v>
      </c>
      <c r="C6067" s="121">
        <v>8</v>
      </c>
      <c r="D6067" s="734">
        <v>142.04125963173664</v>
      </c>
      <c r="E6067" s="733"/>
    </row>
    <row r="6068" spans="2:5">
      <c r="B6068" s="121">
        <v>501</v>
      </c>
      <c r="C6068" s="121">
        <v>9</v>
      </c>
      <c r="D6068" s="734">
        <v>145.88808539762877</v>
      </c>
      <c r="E6068" s="733"/>
    </row>
    <row r="6069" spans="2:5">
      <c r="B6069" s="121">
        <v>501</v>
      </c>
      <c r="C6069" s="121">
        <v>10</v>
      </c>
      <c r="D6069" s="734">
        <v>144.5480570255578</v>
      </c>
      <c r="E6069" s="733"/>
    </row>
    <row r="6070" spans="2:5">
      <c r="B6070" s="121">
        <v>501</v>
      </c>
      <c r="C6070" s="121">
        <v>11</v>
      </c>
      <c r="D6070" s="734">
        <v>134.38327988122356</v>
      </c>
      <c r="E6070" s="733"/>
    </row>
    <row r="6071" spans="2:5">
      <c r="B6071" s="121">
        <v>502</v>
      </c>
      <c r="C6071" s="121">
        <v>1</v>
      </c>
      <c r="D6071" s="734">
        <v>5</v>
      </c>
      <c r="E6071" s="733"/>
    </row>
    <row r="6072" spans="2:5">
      <c r="B6072" s="121">
        <v>503</v>
      </c>
      <c r="C6072" s="121">
        <v>1</v>
      </c>
      <c r="D6072" s="734">
        <v>5</v>
      </c>
      <c r="E6072" s="733"/>
    </row>
    <row r="6073" spans="2:5">
      <c r="B6073" s="121">
        <v>504</v>
      </c>
      <c r="C6073" s="121">
        <v>1</v>
      </c>
      <c r="D6073" s="734">
        <v>5</v>
      </c>
      <c r="E6073" s="733"/>
    </row>
    <row r="6074" spans="2:5">
      <c r="B6074" s="121">
        <v>504</v>
      </c>
      <c r="C6074" s="121">
        <v>2</v>
      </c>
      <c r="D6074" s="734">
        <v>96.654835735405214</v>
      </c>
      <c r="E6074" s="733"/>
    </row>
    <row r="6075" spans="2:5">
      <c r="B6075" s="121">
        <v>504</v>
      </c>
      <c r="C6075" s="121">
        <v>3</v>
      </c>
      <c r="D6075" s="734">
        <v>125.45056508246692</v>
      </c>
      <c r="E6075" s="733"/>
    </row>
    <row r="6076" spans="2:5">
      <c r="B6076" s="121">
        <v>504</v>
      </c>
      <c r="C6076" s="121">
        <v>4</v>
      </c>
      <c r="D6076" s="734">
        <v>142.77450826790832</v>
      </c>
      <c r="E6076" s="733"/>
    </row>
    <row r="6077" spans="2:5">
      <c r="B6077" s="121">
        <v>504</v>
      </c>
      <c r="C6077" s="121">
        <v>5</v>
      </c>
      <c r="D6077" s="734">
        <v>144.69428836518756</v>
      </c>
      <c r="E6077" s="733"/>
    </row>
    <row r="6078" spans="2:5">
      <c r="B6078" s="121">
        <v>504</v>
      </c>
      <c r="C6078" s="121">
        <v>6</v>
      </c>
      <c r="D6078" s="734">
        <v>139.95203552007555</v>
      </c>
      <c r="E6078" s="733"/>
    </row>
    <row r="6079" spans="2:5">
      <c r="B6079" s="121">
        <v>504</v>
      </c>
      <c r="C6079" s="121">
        <v>7</v>
      </c>
      <c r="D6079" s="734">
        <v>140.21417711615246</v>
      </c>
      <c r="E6079" s="733"/>
    </row>
    <row r="6080" spans="2:5">
      <c r="B6080" s="121">
        <v>504</v>
      </c>
      <c r="C6080" s="121">
        <v>8</v>
      </c>
      <c r="D6080" s="734">
        <v>135.88555641977081</v>
      </c>
      <c r="E6080" s="733"/>
    </row>
    <row r="6081" spans="2:5">
      <c r="B6081" s="121">
        <v>504</v>
      </c>
      <c r="C6081" s="121">
        <v>9</v>
      </c>
      <c r="D6081" s="734">
        <v>137.18800709231033</v>
      </c>
      <c r="E6081" s="733"/>
    </row>
    <row r="6082" spans="2:5">
      <c r="B6082" s="121">
        <v>504</v>
      </c>
      <c r="C6082" s="121">
        <v>10</v>
      </c>
      <c r="D6082" s="734">
        <v>142.28619562020728</v>
      </c>
      <c r="E6082" s="733"/>
    </row>
    <row r="6083" spans="2:5">
      <c r="B6083" s="121">
        <v>504</v>
      </c>
      <c r="C6083" s="121">
        <v>11</v>
      </c>
      <c r="D6083" s="734">
        <v>137.3101037408284</v>
      </c>
      <c r="E6083" s="733"/>
    </row>
    <row r="6084" spans="2:5">
      <c r="B6084" s="121">
        <v>504</v>
      </c>
      <c r="C6084" s="121">
        <v>12</v>
      </c>
      <c r="D6084" s="734">
        <v>138.80342480314175</v>
      </c>
      <c r="E6084" s="733"/>
    </row>
    <row r="6085" spans="2:5">
      <c r="B6085" s="121">
        <v>504</v>
      </c>
      <c r="C6085" s="121">
        <v>13</v>
      </c>
      <c r="D6085" s="734">
        <v>137.6964272208939</v>
      </c>
      <c r="E6085" s="733"/>
    </row>
    <row r="6086" spans="2:5">
      <c r="B6086" s="121">
        <v>504</v>
      </c>
      <c r="C6086" s="121">
        <v>14</v>
      </c>
      <c r="D6086" s="734">
        <v>146.77013882437382</v>
      </c>
      <c r="E6086" s="733"/>
    </row>
    <row r="6087" spans="2:5">
      <c r="B6087" s="121">
        <v>504</v>
      </c>
      <c r="C6087" s="121">
        <v>15</v>
      </c>
      <c r="D6087" s="734">
        <v>146.80397810088112</v>
      </c>
      <c r="E6087" s="733"/>
    </row>
    <row r="6088" spans="2:5">
      <c r="B6088" s="121">
        <v>504</v>
      </c>
      <c r="C6088" s="121">
        <v>16</v>
      </c>
      <c r="D6088" s="734">
        <v>140.68925342976232</v>
      </c>
      <c r="E6088" s="733"/>
    </row>
    <row r="6089" spans="2:5">
      <c r="B6089" s="121">
        <v>504</v>
      </c>
      <c r="C6089" s="121">
        <v>17</v>
      </c>
      <c r="D6089" s="734">
        <v>134.76060938157929</v>
      </c>
      <c r="E6089" s="733"/>
    </row>
    <row r="6090" spans="2:5">
      <c r="B6090" s="121">
        <v>504</v>
      </c>
      <c r="C6090" s="121">
        <v>18</v>
      </c>
      <c r="D6090" s="734">
        <v>146.00149117903604</v>
      </c>
      <c r="E6090" s="733"/>
    </row>
    <row r="6091" spans="2:5">
      <c r="B6091" s="121">
        <v>504</v>
      </c>
      <c r="C6091" s="121">
        <v>19</v>
      </c>
      <c r="D6091" s="734">
        <v>145.01792197808922</v>
      </c>
      <c r="E6091" s="733"/>
    </row>
    <row r="6092" spans="2:5">
      <c r="B6092" s="121">
        <v>504</v>
      </c>
      <c r="C6092" s="121">
        <v>20</v>
      </c>
      <c r="D6092" s="734">
        <v>147.21802312739575</v>
      </c>
      <c r="E6092" s="733"/>
    </row>
    <row r="6093" spans="2:5">
      <c r="B6093" s="121">
        <v>504</v>
      </c>
      <c r="C6093" s="121">
        <v>21</v>
      </c>
      <c r="D6093" s="734">
        <v>134.69067756692328</v>
      </c>
      <c r="E6093" s="733"/>
    </row>
    <row r="6094" spans="2:5">
      <c r="B6094" s="121">
        <v>504</v>
      </c>
      <c r="C6094" s="121">
        <v>22</v>
      </c>
      <c r="D6094" s="734">
        <v>136.52972607335531</v>
      </c>
      <c r="E6094" s="733"/>
    </row>
    <row r="6095" spans="2:5">
      <c r="B6095" s="121">
        <v>504</v>
      </c>
      <c r="C6095" s="121">
        <v>23</v>
      </c>
      <c r="D6095" s="734">
        <v>144.89017839627647</v>
      </c>
      <c r="E6095" s="733"/>
    </row>
    <row r="6096" spans="2:5">
      <c r="B6096" s="121">
        <v>504</v>
      </c>
      <c r="C6096" s="121">
        <v>24</v>
      </c>
      <c r="D6096" s="734">
        <v>143.81269019596303</v>
      </c>
      <c r="E6096" s="733"/>
    </row>
    <row r="6097" spans="2:5">
      <c r="B6097" s="121">
        <v>504</v>
      </c>
      <c r="C6097" s="121">
        <v>25</v>
      </c>
      <c r="D6097" s="734">
        <v>141.2314897710489</v>
      </c>
      <c r="E6097" s="733"/>
    </row>
    <row r="6098" spans="2:5">
      <c r="B6098" s="121">
        <v>505</v>
      </c>
      <c r="C6098" s="121">
        <v>1</v>
      </c>
      <c r="D6098" s="734">
        <v>5</v>
      </c>
      <c r="E6098" s="733"/>
    </row>
    <row r="6099" spans="2:5">
      <c r="B6099" s="121">
        <v>505</v>
      </c>
      <c r="C6099" s="121">
        <v>2</v>
      </c>
      <c r="D6099" s="734">
        <v>102.78537986916889</v>
      </c>
      <c r="E6099" s="733"/>
    </row>
    <row r="6100" spans="2:5">
      <c r="B6100" s="121">
        <v>505</v>
      </c>
      <c r="C6100" s="121">
        <v>3</v>
      </c>
      <c r="D6100" s="734">
        <v>115.54934352316756</v>
      </c>
      <c r="E6100" s="733"/>
    </row>
    <row r="6101" spans="2:5">
      <c r="B6101" s="121">
        <v>505</v>
      </c>
      <c r="C6101" s="121">
        <v>4</v>
      </c>
      <c r="D6101" s="734">
        <v>142.84942390748637</v>
      </c>
      <c r="E6101" s="733"/>
    </row>
    <row r="6102" spans="2:5">
      <c r="B6102" s="121">
        <v>505</v>
      </c>
      <c r="C6102" s="121">
        <v>5</v>
      </c>
      <c r="D6102" s="734">
        <v>143.66618911950641</v>
      </c>
      <c r="E6102" s="733"/>
    </row>
    <row r="6103" spans="2:5">
      <c r="B6103" s="121">
        <v>505</v>
      </c>
      <c r="C6103" s="121">
        <v>6</v>
      </c>
      <c r="D6103" s="734">
        <v>136.0284655980434</v>
      </c>
      <c r="E6103" s="733"/>
    </row>
    <row r="6104" spans="2:5">
      <c r="B6104" s="121">
        <v>505</v>
      </c>
      <c r="C6104" s="121">
        <v>7</v>
      </c>
      <c r="D6104" s="734">
        <v>144.93059924311888</v>
      </c>
      <c r="E6104" s="733"/>
    </row>
    <row r="6105" spans="2:5">
      <c r="B6105" s="121">
        <v>505</v>
      </c>
      <c r="C6105" s="121">
        <v>8</v>
      </c>
      <c r="D6105" s="734">
        <v>147.03495476544845</v>
      </c>
      <c r="E6105" s="733"/>
    </row>
    <row r="6106" spans="2:5">
      <c r="B6106" s="121">
        <v>505</v>
      </c>
      <c r="C6106" s="121">
        <v>9</v>
      </c>
      <c r="D6106" s="734">
        <v>145.62308821982751</v>
      </c>
      <c r="E6106" s="733"/>
    </row>
    <row r="6107" spans="2:5">
      <c r="B6107" s="121">
        <v>505</v>
      </c>
      <c r="C6107" s="121">
        <v>10</v>
      </c>
      <c r="D6107" s="734">
        <v>140.69536782551245</v>
      </c>
      <c r="E6107" s="733"/>
    </row>
    <row r="6108" spans="2:5">
      <c r="B6108" s="121">
        <v>505</v>
      </c>
      <c r="C6108" s="121">
        <v>11</v>
      </c>
      <c r="D6108" s="734">
        <v>144.0369187060106</v>
      </c>
      <c r="E6108" s="733"/>
    </row>
    <row r="6109" spans="2:5">
      <c r="B6109" s="121">
        <v>505</v>
      </c>
      <c r="C6109" s="121">
        <v>12</v>
      </c>
      <c r="D6109" s="734">
        <v>137.56124646417285</v>
      </c>
      <c r="E6109" s="733"/>
    </row>
    <row r="6110" spans="2:5">
      <c r="B6110" s="121">
        <v>505</v>
      </c>
      <c r="C6110" s="121">
        <v>13</v>
      </c>
      <c r="D6110" s="734">
        <v>146.85464655951765</v>
      </c>
      <c r="E6110" s="733"/>
    </row>
    <row r="6111" spans="2:5">
      <c r="B6111" s="121">
        <v>505</v>
      </c>
      <c r="C6111" s="121">
        <v>14</v>
      </c>
      <c r="D6111" s="734">
        <v>135.50338704513959</v>
      </c>
      <c r="E6111" s="733"/>
    </row>
    <row r="6112" spans="2:5">
      <c r="B6112" s="121">
        <v>505</v>
      </c>
      <c r="C6112" s="121">
        <v>15</v>
      </c>
      <c r="D6112" s="734">
        <v>141.07093366207425</v>
      </c>
      <c r="E6112" s="733"/>
    </row>
    <row r="6113" spans="2:5">
      <c r="B6113" s="121">
        <v>505</v>
      </c>
      <c r="C6113" s="121">
        <v>16</v>
      </c>
      <c r="D6113" s="734">
        <v>146.91241799683419</v>
      </c>
      <c r="E6113" s="733"/>
    </row>
    <row r="6114" spans="2:5">
      <c r="B6114" s="121">
        <v>505</v>
      </c>
      <c r="C6114" s="121">
        <v>17</v>
      </c>
      <c r="D6114" s="734">
        <v>136.48426793011822</v>
      </c>
      <c r="E6114" s="733"/>
    </row>
    <row r="6115" spans="2:5">
      <c r="B6115" s="121">
        <v>505</v>
      </c>
      <c r="C6115" s="121">
        <v>18</v>
      </c>
      <c r="D6115" s="734">
        <v>137.57759998347598</v>
      </c>
      <c r="E6115" s="733"/>
    </row>
    <row r="6116" spans="2:5">
      <c r="B6116" s="121">
        <v>505</v>
      </c>
      <c r="C6116" s="121">
        <v>19</v>
      </c>
      <c r="D6116" s="734">
        <v>135.26769530952279</v>
      </c>
      <c r="E6116" s="733"/>
    </row>
    <row r="6117" spans="2:5">
      <c r="B6117" s="121">
        <v>505</v>
      </c>
      <c r="C6117" s="121">
        <v>20</v>
      </c>
      <c r="D6117" s="734">
        <v>144.68952849108021</v>
      </c>
      <c r="E6117" s="733"/>
    </row>
    <row r="6118" spans="2:5">
      <c r="B6118" s="121">
        <v>505</v>
      </c>
      <c r="C6118" s="121">
        <v>21</v>
      </c>
      <c r="D6118" s="734">
        <v>144.9073627134602</v>
      </c>
      <c r="E6118" s="733"/>
    </row>
    <row r="6119" spans="2:5">
      <c r="B6119" s="121">
        <v>505</v>
      </c>
      <c r="C6119" s="121">
        <v>22</v>
      </c>
      <c r="D6119" s="734">
        <v>146.04330295076772</v>
      </c>
      <c r="E6119" s="733"/>
    </row>
    <row r="6120" spans="2:5">
      <c r="B6120" s="121">
        <v>505</v>
      </c>
      <c r="C6120" s="121">
        <v>23</v>
      </c>
      <c r="D6120" s="734">
        <v>142.48041014380385</v>
      </c>
      <c r="E6120" s="733"/>
    </row>
    <row r="6121" spans="2:5">
      <c r="B6121" s="121">
        <v>506</v>
      </c>
      <c r="C6121" s="121">
        <v>1</v>
      </c>
      <c r="D6121" s="734">
        <v>5</v>
      </c>
      <c r="E6121" s="733"/>
    </row>
    <row r="6122" spans="2:5">
      <c r="B6122" s="121">
        <v>507</v>
      </c>
      <c r="C6122" s="121">
        <v>1</v>
      </c>
      <c r="D6122" s="734">
        <v>5</v>
      </c>
      <c r="E6122" s="733"/>
    </row>
    <row r="6123" spans="2:5">
      <c r="B6123" s="121">
        <v>508</v>
      </c>
      <c r="C6123" s="121">
        <v>1</v>
      </c>
      <c r="D6123" s="734">
        <v>5</v>
      </c>
      <c r="E6123" s="733"/>
    </row>
    <row r="6124" spans="2:5">
      <c r="B6124" s="121">
        <v>508</v>
      </c>
      <c r="C6124" s="121">
        <v>2</v>
      </c>
      <c r="D6124" s="734">
        <v>98.31682688253774</v>
      </c>
      <c r="E6124" s="733"/>
    </row>
    <row r="6125" spans="2:5">
      <c r="B6125" s="121">
        <v>508</v>
      </c>
      <c r="C6125" s="121">
        <v>3</v>
      </c>
      <c r="D6125" s="734">
        <v>123.02388583416801</v>
      </c>
      <c r="E6125" s="733"/>
    </row>
    <row r="6126" spans="2:5">
      <c r="B6126" s="121">
        <v>509</v>
      </c>
      <c r="C6126" s="121">
        <v>1</v>
      </c>
      <c r="D6126" s="734">
        <v>5</v>
      </c>
      <c r="E6126" s="733"/>
    </row>
    <row r="6127" spans="2:5">
      <c r="B6127" s="121">
        <v>509</v>
      </c>
      <c r="C6127" s="121">
        <v>2</v>
      </c>
      <c r="D6127" s="734">
        <v>102.93060727275191</v>
      </c>
      <c r="E6127" s="733"/>
    </row>
    <row r="6128" spans="2:5">
      <c r="B6128" s="121">
        <v>509</v>
      </c>
      <c r="C6128" s="121">
        <v>3</v>
      </c>
      <c r="D6128" s="734">
        <v>115.06250939320017</v>
      </c>
      <c r="E6128" s="733"/>
    </row>
    <row r="6129" spans="2:5">
      <c r="B6129" s="121">
        <v>509</v>
      </c>
      <c r="C6129" s="121">
        <v>4</v>
      </c>
      <c r="D6129" s="734">
        <v>134.19910384683348</v>
      </c>
      <c r="E6129" s="733"/>
    </row>
    <row r="6130" spans="2:5">
      <c r="B6130" s="121">
        <v>509</v>
      </c>
      <c r="C6130" s="121">
        <v>5</v>
      </c>
      <c r="D6130" s="734">
        <v>143.446360945029</v>
      </c>
      <c r="E6130" s="733"/>
    </row>
    <row r="6131" spans="2:5">
      <c r="B6131" s="121">
        <v>509</v>
      </c>
      <c r="C6131" s="121">
        <v>6</v>
      </c>
      <c r="D6131" s="734">
        <v>147.27480289238034</v>
      </c>
      <c r="E6131" s="733"/>
    </row>
    <row r="6132" spans="2:5">
      <c r="B6132" s="121">
        <v>509</v>
      </c>
      <c r="C6132" s="121">
        <v>7</v>
      </c>
      <c r="D6132" s="734">
        <v>137.75384606059473</v>
      </c>
      <c r="E6132" s="733"/>
    </row>
    <row r="6133" spans="2:5">
      <c r="B6133" s="121">
        <v>509</v>
      </c>
      <c r="C6133" s="121">
        <v>8</v>
      </c>
      <c r="D6133" s="734">
        <v>140.82573946838275</v>
      </c>
      <c r="E6133" s="733"/>
    </row>
    <row r="6134" spans="2:5">
      <c r="B6134" s="121">
        <v>509</v>
      </c>
      <c r="C6134" s="121">
        <v>9</v>
      </c>
      <c r="D6134" s="734">
        <v>134.67760107153589</v>
      </c>
      <c r="E6134" s="733"/>
    </row>
    <row r="6135" spans="2:5">
      <c r="B6135" s="121">
        <v>509</v>
      </c>
      <c r="C6135" s="121">
        <v>10</v>
      </c>
      <c r="D6135" s="734">
        <v>144.5830704122663</v>
      </c>
      <c r="E6135" s="733"/>
    </row>
    <row r="6136" spans="2:5">
      <c r="B6136" s="121">
        <v>509</v>
      </c>
      <c r="C6136" s="121">
        <v>11</v>
      </c>
      <c r="D6136" s="734">
        <v>140.57855705806051</v>
      </c>
      <c r="E6136" s="733"/>
    </row>
    <row r="6137" spans="2:5">
      <c r="B6137" s="121">
        <v>509</v>
      </c>
      <c r="C6137" s="121">
        <v>12</v>
      </c>
      <c r="D6137" s="734">
        <v>137.2864960444673</v>
      </c>
      <c r="E6137" s="733"/>
    </row>
    <row r="6138" spans="2:5">
      <c r="B6138" s="121">
        <v>509</v>
      </c>
      <c r="C6138" s="121">
        <v>13</v>
      </c>
      <c r="D6138" s="734">
        <v>145.30863912397211</v>
      </c>
      <c r="E6138" s="733"/>
    </row>
    <row r="6139" spans="2:5">
      <c r="B6139" s="121">
        <v>509</v>
      </c>
      <c r="C6139" s="121">
        <v>14</v>
      </c>
      <c r="D6139" s="734">
        <v>137.357618295234</v>
      </c>
      <c r="E6139" s="733"/>
    </row>
    <row r="6140" spans="2:5">
      <c r="B6140" s="121">
        <v>509</v>
      </c>
      <c r="C6140" s="121">
        <v>15</v>
      </c>
      <c r="D6140" s="734">
        <v>146.55625724896743</v>
      </c>
      <c r="E6140" s="733"/>
    </row>
    <row r="6141" spans="2:5">
      <c r="B6141" s="121">
        <v>509</v>
      </c>
      <c r="C6141" s="121">
        <v>16</v>
      </c>
      <c r="D6141" s="734">
        <v>142.0200994019078</v>
      </c>
      <c r="E6141" s="733"/>
    </row>
    <row r="6142" spans="2:5">
      <c r="B6142" s="121">
        <v>509</v>
      </c>
      <c r="C6142" s="121">
        <v>17</v>
      </c>
      <c r="D6142" s="734">
        <v>140.63492390348762</v>
      </c>
      <c r="E6142" s="733"/>
    </row>
    <row r="6143" spans="2:5">
      <c r="B6143" s="121">
        <v>509</v>
      </c>
      <c r="C6143" s="121">
        <v>18</v>
      </c>
      <c r="D6143" s="734">
        <v>144.67018793310331</v>
      </c>
      <c r="E6143" s="733"/>
    </row>
    <row r="6144" spans="2:5">
      <c r="B6144" s="121">
        <v>509</v>
      </c>
      <c r="C6144" s="121">
        <v>19</v>
      </c>
      <c r="D6144" s="734">
        <v>136.00221745484575</v>
      </c>
      <c r="E6144" s="733"/>
    </row>
    <row r="6145" spans="2:5">
      <c r="B6145" s="121">
        <v>509</v>
      </c>
      <c r="C6145" s="121">
        <v>20</v>
      </c>
      <c r="D6145" s="734">
        <v>144.51077802847695</v>
      </c>
      <c r="E6145" s="733"/>
    </row>
    <row r="6146" spans="2:5">
      <c r="B6146" s="121">
        <v>509</v>
      </c>
      <c r="C6146" s="121">
        <v>21</v>
      </c>
      <c r="D6146" s="734">
        <v>138.41142972991676</v>
      </c>
      <c r="E6146" s="733"/>
    </row>
    <row r="6147" spans="2:5">
      <c r="B6147" s="121">
        <v>509</v>
      </c>
      <c r="C6147" s="121">
        <v>22</v>
      </c>
      <c r="D6147" s="734">
        <v>136.46924836856618</v>
      </c>
      <c r="E6147" s="733"/>
    </row>
    <row r="6148" spans="2:5">
      <c r="B6148" s="121">
        <v>510</v>
      </c>
      <c r="C6148" s="121">
        <v>1</v>
      </c>
      <c r="D6148" s="734">
        <v>5</v>
      </c>
      <c r="E6148" s="733"/>
    </row>
    <row r="6149" spans="2:5">
      <c r="B6149" s="121">
        <v>510</v>
      </c>
      <c r="C6149" s="121">
        <v>2</v>
      </c>
      <c r="D6149" s="734">
        <v>98.040270574111219</v>
      </c>
      <c r="E6149" s="733"/>
    </row>
    <row r="6150" spans="2:5">
      <c r="B6150" s="121">
        <v>510</v>
      </c>
      <c r="C6150" s="121">
        <v>3</v>
      </c>
      <c r="D6150" s="734">
        <v>118.97007985169259</v>
      </c>
      <c r="E6150" s="733"/>
    </row>
    <row r="6151" spans="2:5">
      <c r="B6151" s="121">
        <v>511</v>
      </c>
      <c r="C6151" s="121">
        <v>1</v>
      </c>
      <c r="D6151" s="734">
        <v>5</v>
      </c>
      <c r="E6151" s="733"/>
    </row>
    <row r="6152" spans="2:5">
      <c r="B6152" s="121">
        <v>512</v>
      </c>
      <c r="C6152" s="121">
        <v>1</v>
      </c>
      <c r="D6152" s="734">
        <v>5</v>
      </c>
      <c r="E6152" s="733"/>
    </row>
    <row r="6153" spans="2:5">
      <c r="B6153" s="121">
        <v>512</v>
      </c>
      <c r="C6153" s="121">
        <v>2</v>
      </c>
      <c r="D6153" s="734">
        <v>98.089938756170781</v>
      </c>
      <c r="E6153" s="733"/>
    </row>
    <row r="6154" spans="2:5">
      <c r="B6154" s="121">
        <v>512</v>
      </c>
      <c r="C6154" s="121">
        <v>3</v>
      </c>
      <c r="D6154" s="734">
        <v>119.56577547304121</v>
      </c>
      <c r="E6154" s="733"/>
    </row>
    <row r="6155" spans="2:5">
      <c r="B6155" s="121">
        <v>512</v>
      </c>
      <c r="C6155" s="121">
        <v>4</v>
      </c>
      <c r="D6155" s="734">
        <v>144.73393161655781</v>
      </c>
      <c r="E6155" s="733"/>
    </row>
    <row r="6156" spans="2:5">
      <c r="B6156" s="121">
        <v>512</v>
      </c>
      <c r="C6156" s="121">
        <v>5</v>
      </c>
      <c r="D6156" s="734">
        <v>139.00289087112327</v>
      </c>
      <c r="E6156" s="733"/>
    </row>
    <row r="6157" spans="2:5">
      <c r="B6157" s="121">
        <v>512</v>
      </c>
      <c r="C6157" s="121">
        <v>6</v>
      </c>
      <c r="D6157" s="734">
        <v>144.423181074816</v>
      </c>
      <c r="E6157" s="733"/>
    </row>
    <row r="6158" spans="2:5">
      <c r="B6158" s="121">
        <v>512</v>
      </c>
      <c r="C6158" s="121">
        <v>7</v>
      </c>
      <c r="D6158" s="734">
        <v>143.90719721111108</v>
      </c>
      <c r="E6158" s="733"/>
    </row>
    <row r="6159" spans="2:5">
      <c r="B6159" s="121">
        <v>512</v>
      </c>
      <c r="C6159" s="121">
        <v>8</v>
      </c>
      <c r="D6159" s="734">
        <v>144.80769562493859</v>
      </c>
      <c r="E6159" s="733"/>
    </row>
    <row r="6160" spans="2:5">
      <c r="B6160" s="121">
        <v>512</v>
      </c>
      <c r="C6160" s="121">
        <v>9</v>
      </c>
      <c r="D6160" s="734">
        <v>146.77161676764968</v>
      </c>
      <c r="E6160" s="733"/>
    </row>
    <row r="6161" spans="2:5">
      <c r="B6161" s="121">
        <v>512</v>
      </c>
      <c r="C6161" s="121">
        <v>10</v>
      </c>
      <c r="D6161" s="734">
        <v>135.75275993100976</v>
      </c>
      <c r="E6161" s="733"/>
    </row>
    <row r="6162" spans="2:5">
      <c r="B6162" s="121">
        <v>512</v>
      </c>
      <c r="C6162" s="121">
        <v>11</v>
      </c>
      <c r="D6162" s="734">
        <v>141.02862592587894</v>
      </c>
      <c r="E6162" s="733"/>
    </row>
    <row r="6163" spans="2:5">
      <c r="B6163" s="121">
        <v>512</v>
      </c>
      <c r="C6163" s="121">
        <v>12</v>
      </c>
      <c r="D6163" s="734">
        <v>140.59040797733761</v>
      </c>
      <c r="E6163" s="733"/>
    </row>
    <row r="6164" spans="2:5">
      <c r="B6164" s="121">
        <v>512</v>
      </c>
      <c r="C6164" s="121">
        <v>13</v>
      </c>
      <c r="D6164" s="734">
        <v>140.70997176639011</v>
      </c>
      <c r="E6164" s="733"/>
    </row>
    <row r="6165" spans="2:5">
      <c r="B6165" s="121">
        <v>512</v>
      </c>
      <c r="C6165" s="121">
        <v>14</v>
      </c>
      <c r="D6165" s="734">
        <v>143.49988691944225</v>
      </c>
      <c r="E6165" s="733"/>
    </row>
    <row r="6166" spans="2:5">
      <c r="B6166" s="121">
        <v>512</v>
      </c>
      <c r="C6166" s="121">
        <v>15</v>
      </c>
      <c r="D6166" s="734">
        <v>138.66332589419991</v>
      </c>
      <c r="E6166" s="733"/>
    </row>
    <row r="6167" spans="2:5">
      <c r="B6167" s="121">
        <v>512</v>
      </c>
      <c r="C6167" s="121">
        <v>16</v>
      </c>
      <c r="D6167" s="734">
        <v>140.06788239267169</v>
      </c>
      <c r="E6167" s="733"/>
    </row>
    <row r="6168" spans="2:5">
      <c r="B6168" s="121">
        <v>512</v>
      </c>
      <c r="C6168" s="121">
        <v>17</v>
      </c>
      <c r="D6168" s="734">
        <v>145.69599078886998</v>
      </c>
      <c r="E6168" s="733"/>
    </row>
    <row r="6169" spans="2:5">
      <c r="B6169" s="121">
        <v>512</v>
      </c>
      <c r="C6169" s="121">
        <v>18</v>
      </c>
      <c r="D6169" s="734">
        <v>137.92143323491709</v>
      </c>
      <c r="E6169" s="733"/>
    </row>
    <row r="6170" spans="2:5">
      <c r="B6170" s="121">
        <v>512</v>
      </c>
      <c r="C6170" s="121">
        <v>19</v>
      </c>
      <c r="D6170" s="734">
        <v>144.97564011975135</v>
      </c>
      <c r="E6170" s="733"/>
    </row>
    <row r="6171" spans="2:5">
      <c r="B6171" s="121">
        <v>512</v>
      </c>
      <c r="C6171" s="121">
        <v>20</v>
      </c>
      <c r="D6171" s="734">
        <v>137.85425176058487</v>
      </c>
      <c r="E6171" s="733"/>
    </row>
    <row r="6172" spans="2:5">
      <c r="B6172" s="121">
        <v>512</v>
      </c>
      <c r="C6172" s="121">
        <v>21</v>
      </c>
      <c r="D6172" s="734">
        <v>137.33204083179805</v>
      </c>
      <c r="E6172" s="733"/>
    </row>
    <row r="6173" spans="2:5">
      <c r="B6173" s="121">
        <v>512</v>
      </c>
      <c r="C6173" s="121">
        <v>22</v>
      </c>
      <c r="D6173" s="734">
        <v>137.94113108120825</v>
      </c>
      <c r="E6173" s="733"/>
    </row>
    <row r="6174" spans="2:5">
      <c r="B6174" s="121">
        <v>512</v>
      </c>
      <c r="C6174" s="121">
        <v>23</v>
      </c>
      <c r="D6174" s="734">
        <v>144.75233238022264</v>
      </c>
      <c r="E6174" s="733"/>
    </row>
    <row r="6175" spans="2:5">
      <c r="B6175" s="121">
        <v>513</v>
      </c>
      <c r="C6175" s="121">
        <v>1</v>
      </c>
      <c r="D6175" s="734">
        <v>5</v>
      </c>
      <c r="E6175" s="733"/>
    </row>
    <row r="6176" spans="2:5">
      <c r="B6176" s="121">
        <v>514</v>
      </c>
      <c r="C6176" s="121">
        <v>1</v>
      </c>
      <c r="D6176" s="734">
        <v>5</v>
      </c>
      <c r="E6176" s="733"/>
    </row>
    <row r="6177" spans="2:5">
      <c r="B6177" s="121">
        <v>515</v>
      </c>
      <c r="C6177" s="121">
        <v>1</v>
      </c>
      <c r="D6177" s="734">
        <v>5</v>
      </c>
      <c r="E6177" s="733"/>
    </row>
    <row r="6178" spans="2:5">
      <c r="B6178" s="121">
        <v>515</v>
      </c>
      <c r="C6178" s="121">
        <v>2</v>
      </c>
      <c r="D6178" s="734">
        <v>100.89537423815098</v>
      </c>
      <c r="E6178" s="733"/>
    </row>
    <row r="6179" spans="2:5">
      <c r="B6179" s="121">
        <v>515</v>
      </c>
      <c r="C6179" s="121">
        <v>3</v>
      </c>
      <c r="D6179" s="734">
        <v>122.1181078102546</v>
      </c>
      <c r="E6179" s="733"/>
    </row>
    <row r="6180" spans="2:5">
      <c r="B6180" s="121">
        <v>515</v>
      </c>
      <c r="C6180" s="121">
        <v>4</v>
      </c>
      <c r="D6180" s="734">
        <v>146.23320398563013</v>
      </c>
      <c r="E6180" s="733"/>
    </row>
    <row r="6181" spans="2:5">
      <c r="B6181" s="121">
        <v>515</v>
      </c>
      <c r="C6181" s="121">
        <v>5</v>
      </c>
      <c r="D6181" s="734">
        <v>137.22219312278037</v>
      </c>
      <c r="E6181" s="733"/>
    </row>
    <row r="6182" spans="2:5">
      <c r="B6182" s="121">
        <v>515</v>
      </c>
      <c r="C6182" s="121">
        <v>6</v>
      </c>
      <c r="D6182" s="734">
        <v>134.67593288338563</v>
      </c>
      <c r="E6182" s="733"/>
    </row>
    <row r="6183" spans="2:5">
      <c r="B6183" s="121">
        <v>515</v>
      </c>
      <c r="C6183" s="121">
        <v>7</v>
      </c>
      <c r="D6183" s="734">
        <v>140.74628578562456</v>
      </c>
      <c r="E6183" s="733"/>
    </row>
    <row r="6184" spans="2:5">
      <c r="B6184" s="121">
        <v>515</v>
      </c>
      <c r="C6184" s="121">
        <v>8</v>
      </c>
      <c r="D6184" s="734">
        <v>138.21136217485503</v>
      </c>
      <c r="E6184" s="733"/>
    </row>
    <row r="6185" spans="2:5">
      <c r="B6185" s="121">
        <v>515</v>
      </c>
      <c r="C6185" s="121">
        <v>9</v>
      </c>
      <c r="D6185" s="734">
        <v>146.60504772277048</v>
      </c>
      <c r="E6185" s="733"/>
    </row>
    <row r="6186" spans="2:5">
      <c r="B6186" s="121">
        <v>515</v>
      </c>
      <c r="C6186" s="121">
        <v>10</v>
      </c>
      <c r="D6186" s="734">
        <v>141.97369674442911</v>
      </c>
      <c r="E6186" s="733"/>
    </row>
    <row r="6187" spans="2:5">
      <c r="B6187" s="121">
        <v>515</v>
      </c>
      <c r="C6187" s="121">
        <v>11</v>
      </c>
      <c r="D6187" s="734">
        <v>146.8153297347219</v>
      </c>
      <c r="E6187" s="733"/>
    </row>
    <row r="6188" spans="2:5">
      <c r="B6188" s="121">
        <v>515</v>
      </c>
      <c r="C6188" s="121">
        <v>12</v>
      </c>
      <c r="D6188" s="734">
        <v>141.07574125465919</v>
      </c>
      <c r="E6188" s="733"/>
    </row>
    <row r="6189" spans="2:5">
      <c r="B6189" s="121">
        <v>515</v>
      </c>
      <c r="C6189" s="121">
        <v>13</v>
      </c>
      <c r="D6189" s="734">
        <v>138.66505697153224</v>
      </c>
      <c r="E6189" s="733"/>
    </row>
    <row r="6190" spans="2:5">
      <c r="B6190" s="121">
        <v>515</v>
      </c>
      <c r="C6190" s="121">
        <v>14</v>
      </c>
      <c r="D6190" s="734">
        <v>135.73910839418642</v>
      </c>
      <c r="E6190" s="733"/>
    </row>
    <row r="6191" spans="2:5">
      <c r="B6191" s="121">
        <v>515</v>
      </c>
      <c r="C6191" s="121">
        <v>15</v>
      </c>
      <c r="D6191" s="734">
        <v>143.44249648781209</v>
      </c>
      <c r="E6191" s="733"/>
    </row>
    <row r="6192" spans="2:5">
      <c r="B6192" s="121">
        <v>515</v>
      </c>
      <c r="C6192" s="121">
        <v>16</v>
      </c>
      <c r="D6192" s="734">
        <v>144.54456519413694</v>
      </c>
      <c r="E6192" s="733"/>
    </row>
    <row r="6193" spans="2:5">
      <c r="B6193" s="121">
        <v>515</v>
      </c>
      <c r="C6193" s="121">
        <v>17</v>
      </c>
      <c r="D6193" s="734">
        <v>145.43717620461416</v>
      </c>
      <c r="E6193" s="733"/>
    </row>
    <row r="6194" spans="2:5">
      <c r="B6194" s="121">
        <v>516</v>
      </c>
      <c r="C6194" s="121">
        <v>1</v>
      </c>
      <c r="D6194" s="734">
        <v>5</v>
      </c>
      <c r="E6194" s="733"/>
    </row>
    <row r="6195" spans="2:5">
      <c r="B6195" s="121">
        <v>516</v>
      </c>
      <c r="C6195" s="121">
        <v>2</v>
      </c>
      <c r="D6195" s="734">
        <v>99.869517875747277</v>
      </c>
      <c r="E6195" s="733"/>
    </row>
    <row r="6196" spans="2:5">
      <c r="B6196" s="121">
        <v>516</v>
      </c>
      <c r="C6196" s="121">
        <v>3</v>
      </c>
      <c r="D6196" s="734">
        <v>114.71655618754183</v>
      </c>
      <c r="E6196" s="733"/>
    </row>
    <row r="6197" spans="2:5">
      <c r="B6197" s="121">
        <v>516</v>
      </c>
      <c r="C6197" s="121">
        <v>4</v>
      </c>
      <c r="D6197" s="734">
        <v>145.4647801487238</v>
      </c>
      <c r="E6197" s="733"/>
    </row>
    <row r="6198" spans="2:5">
      <c r="B6198" s="121">
        <v>516</v>
      </c>
      <c r="C6198" s="121">
        <v>5</v>
      </c>
      <c r="D6198" s="734">
        <v>133.73191242362662</v>
      </c>
      <c r="E6198" s="733"/>
    </row>
    <row r="6199" spans="2:5">
      <c r="B6199" s="121">
        <v>516</v>
      </c>
      <c r="C6199" s="121">
        <v>6</v>
      </c>
      <c r="D6199" s="734">
        <v>141.99378818855737</v>
      </c>
      <c r="E6199" s="733"/>
    </row>
    <row r="6200" spans="2:5">
      <c r="B6200" s="121">
        <v>516</v>
      </c>
      <c r="C6200" s="121">
        <v>7</v>
      </c>
      <c r="D6200" s="734">
        <v>140.71558503403531</v>
      </c>
      <c r="E6200" s="733"/>
    </row>
    <row r="6201" spans="2:5">
      <c r="B6201" s="121">
        <v>516</v>
      </c>
      <c r="C6201" s="121">
        <v>8</v>
      </c>
      <c r="D6201" s="734">
        <v>138.96409396870897</v>
      </c>
      <c r="E6201" s="733"/>
    </row>
    <row r="6202" spans="2:5">
      <c r="B6202" s="121">
        <v>516</v>
      </c>
      <c r="C6202" s="121">
        <v>9</v>
      </c>
      <c r="D6202" s="734">
        <v>139.98573265688856</v>
      </c>
      <c r="E6202" s="733"/>
    </row>
    <row r="6203" spans="2:5">
      <c r="B6203" s="121">
        <v>516</v>
      </c>
      <c r="C6203" s="121">
        <v>10</v>
      </c>
      <c r="D6203" s="734">
        <v>141.40761061767881</v>
      </c>
      <c r="E6203" s="733"/>
    </row>
    <row r="6204" spans="2:5">
      <c r="B6204" s="121">
        <v>516</v>
      </c>
      <c r="C6204" s="121">
        <v>11</v>
      </c>
      <c r="D6204" s="734">
        <v>143.50784930935114</v>
      </c>
      <c r="E6204" s="733"/>
    </row>
    <row r="6205" spans="2:5">
      <c r="B6205" s="121">
        <v>516</v>
      </c>
      <c r="C6205" s="121">
        <v>12</v>
      </c>
      <c r="D6205" s="734">
        <v>139.65647800163001</v>
      </c>
      <c r="E6205" s="733"/>
    </row>
    <row r="6206" spans="2:5">
      <c r="B6206" s="121">
        <v>516</v>
      </c>
      <c r="C6206" s="121">
        <v>13</v>
      </c>
      <c r="D6206" s="734">
        <v>140.78389200948874</v>
      </c>
      <c r="E6206" s="733"/>
    </row>
    <row r="6207" spans="2:5">
      <c r="B6207" s="121">
        <v>516</v>
      </c>
      <c r="C6207" s="121">
        <v>14</v>
      </c>
      <c r="D6207" s="734">
        <v>146.22036035614394</v>
      </c>
      <c r="E6207" s="733"/>
    </row>
    <row r="6208" spans="2:5">
      <c r="B6208" s="121">
        <v>516</v>
      </c>
      <c r="C6208" s="121">
        <v>15</v>
      </c>
      <c r="D6208" s="734">
        <v>141.83905212813798</v>
      </c>
      <c r="E6208" s="733"/>
    </row>
    <row r="6209" spans="2:5">
      <c r="B6209" s="121">
        <v>517</v>
      </c>
      <c r="C6209" s="121">
        <v>1</v>
      </c>
      <c r="D6209" s="734">
        <v>5</v>
      </c>
      <c r="E6209" s="733"/>
    </row>
    <row r="6210" spans="2:5">
      <c r="B6210" s="121">
        <v>517</v>
      </c>
      <c r="C6210" s="121">
        <v>2</v>
      </c>
      <c r="D6210" s="734">
        <v>95.356565244220519</v>
      </c>
      <c r="E6210" s="733"/>
    </row>
    <row r="6211" spans="2:5">
      <c r="B6211" s="121">
        <v>517</v>
      </c>
      <c r="C6211" s="121">
        <v>3</v>
      </c>
      <c r="D6211" s="734">
        <v>115.44642417055965</v>
      </c>
      <c r="E6211" s="733"/>
    </row>
    <row r="6212" spans="2:5">
      <c r="B6212" s="121">
        <v>517</v>
      </c>
      <c r="C6212" s="121">
        <v>4</v>
      </c>
      <c r="D6212" s="734">
        <v>144.99178636831223</v>
      </c>
      <c r="E6212" s="733"/>
    </row>
    <row r="6213" spans="2:5">
      <c r="B6213" s="121">
        <v>517</v>
      </c>
      <c r="C6213" s="121">
        <v>5</v>
      </c>
      <c r="D6213" s="734">
        <v>134.35881777738945</v>
      </c>
      <c r="E6213" s="733"/>
    </row>
    <row r="6214" spans="2:5">
      <c r="B6214" s="121">
        <v>517</v>
      </c>
      <c r="C6214" s="121">
        <v>6</v>
      </c>
      <c r="D6214" s="734">
        <v>143.2803040313494</v>
      </c>
      <c r="E6214" s="733"/>
    </row>
    <row r="6215" spans="2:5">
      <c r="B6215" s="121">
        <v>517</v>
      </c>
      <c r="C6215" s="121">
        <v>7</v>
      </c>
      <c r="D6215" s="734">
        <v>137.71313258031051</v>
      </c>
      <c r="E6215" s="733"/>
    </row>
    <row r="6216" spans="2:5">
      <c r="B6216" s="121">
        <v>517</v>
      </c>
      <c r="C6216" s="121">
        <v>8</v>
      </c>
      <c r="D6216" s="734">
        <v>139.95214842488323</v>
      </c>
      <c r="E6216" s="733"/>
    </row>
    <row r="6217" spans="2:5">
      <c r="B6217" s="121">
        <v>517</v>
      </c>
      <c r="C6217" s="121">
        <v>9</v>
      </c>
      <c r="D6217" s="734">
        <v>137.74462374534275</v>
      </c>
      <c r="E6217" s="733"/>
    </row>
    <row r="6218" spans="2:5">
      <c r="B6218" s="121">
        <v>517</v>
      </c>
      <c r="C6218" s="121">
        <v>10</v>
      </c>
      <c r="D6218" s="734">
        <v>137.86190182154849</v>
      </c>
      <c r="E6218" s="733"/>
    </row>
    <row r="6219" spans="2:5">
      <c r="B6219" s="121">
        <v>517</v>
      </c>
      <c r="C6219" s="121">
        <v>11</v>
      </c>
      <c r="D6219" s="734">
        <v>138.58826992452759</v>
      </c>
      <c r="E6219" s="733"/>
    </row>
    <row r="6220" spans="2:5">
      <c r="B6220" s="121">
        <v>517</v>
      </c>
      <c r="C6220" s="121">
        <v>12</v>
      </c>
      <c r="D6220" s="734">
        <v>144.73469249160911</v>
      </c>
      <c r="E6220" s="733"/>
    </row>
    <row r="6221" spans="2:5">
      <c r="B6221" s="121">
        <v>517</v>
      </c>
      <c r="C6221" s="121">
        <v>13</v>
      </c>
      <c r="D6221" s="734">
        <v>146.4283434861016</v>
      </c>
      <c r="E6221" s="733"/>
    </row>
    <row r="6222" spans="2:5">
      <c r="B6222" s="121">
        <v>517</v>
      </c>
      <c r="C6222" s="121">
        <v>14</v>
      </c>
      <c r="D6222" s="734">
        <v>138.97604955269762</v>
      </c>
      <c r="E6222" s="733"/>
    </row>
    <row r="6223" spans="2:5">
      <c r="B6223" s="121">
        <v>517</v>
      </c>
      <c r="C6223" s="121">
        <v>15</v>
      </c>
      <c r="D6223" s="734">
        <v>142.24809438865952</v>
      </c>
      <c r="E6223" s="733"/>
    </row>
    <row r="6224" spans="2:5">
      <c r="B6224" s="121">
        <v>517</v>
      </c>
      <c r="C6224" s="121">
        <v>16</v>
      </c>
      <c r="D6224" s="734">
        <v>143.6876253070572</v>
      </c>
      <c r="E6224" s="733"/>
    </row>
    <row r="6225" spans="2:5">
      <c r="B6225" s="121">
        <v>518</v>
      </c>
      <c r="C6225" s="121">
        <v>1</v>
      </c>
      <c r="D6225" s="734">
        <v>5</v>
      </c>
      <c r="E6225" s="733"/>
    </row>
    <row r="6226" spans="2:5">
      <c r="B6226" s="121">
        <v>518</v>
      </c>
      <c r="C6226" s="121">
        <v>2</v>
      </c>
      <c r="D6226" s="734">
        <v>95.662685267579008</v>
      </c>
      <c r="E6226" s="733"/>
    </row>
    <row r="6227" spans="2:5">
      <c r="B6227" s="121">
        <v>519</v>
      </c>
      <c r="C6227" s="121">
        <v>1</v>
      </c>
      <c r="D6227" s="734">
        <v>5</v>
      </c>
      <c r="E6227" s="733"/>
    </row>
    <row r="6228" spans="2:5">
      <c r="B6228" s="121">
        <v>520</v>
      </c>
      <c r="C6228" s="121">
        <v>1</v>
      </c>
      <c r="D6228" s="734">
        <v>5</v>
      </c>
      <c r="E6228" s="733"/>
    </row>
    <row r="6229" spans="2:5">
      <c r="B6229" s="121">
        <v>520</v>
      </c>
      <c r="C6229" s="121">
        <v>2</v>
      </c>
      <c r="D6229" s="734">
        <v>95.712939851923224</v>
      </c>
      <c r="E6229" s="733"/>
    </row>
    <row r="6230" spans="2:5">
      <c r="B6230" s="121">
        <v>520</v>
      </c>
      <c r="C6230" s="121">
        <v>3</v>
      </c>
      <c r="D6230" s="734">
        <v>115.55313821930757</v>
      </c>
      <c r="E6230" s="733"/>
    </row>
    <row r="6231" spans="2:5">
      <c r="B6231" s="121">
        <v>520</v>
      </c>
      <c r="C6231" s="121">
        <v>4</v>
      </c>
      <c r="D6231" s="734">
        <v>142.27967336113178</v>
      </c>
      <c r="E6231" s="733"/>
    </row>
    <row r="6232" spans="2:5">
      <c r="B6232" s="121">
        <v>520</v>
      </c>
      <c r="C6232" s="121">
        <v>5</v>
      </c>
      <c r="D6232" s="734">
        <v>134.26010751817677</v>
      </c>
      <c r="E6232" s="733"/>
    </row>
    <row r="6233" spans="2:5">
      <c r="B6233" s="121">
        <v>520</v>
      </c>
      <c r="C6233" s="121">
        <v>6</v>
      </c>
      <c r="D6233" s="734">
        <v>140.1965876865616</v>
      </c>
      <c r="E6233" s="733"/>
    </row>
    <row r="6234" spans="2:5">
      <c r="B6234" s="121">
        <v>520</v>
      </c>
      <c r="C6234" s="121">
        <v>7</v>
      </c>
      <c r="D6234" s="734">
        <v>137.26972135975072</v>
      </c>
      <c r="E6234" s="733"/>
    </row>
    <row r="6235" spans="2:5">
      <c r="B6235" s="121">
        <v>520</v>
      </c>
      <c r="C6235" s="121">
        <v>8</v>
      </c>
      <c r="D6235" s="734">
        <v>136.75864826253209</v>
      </c>
      <c r="E6235" s="733"/>
    </row>
    <row r="6236" spans="2:5">
      <c r="B6236" s="121">
        <v>520</v>
      </c>
      <c r="C6236" s="121">
        <v>9</v>
      </c>
      <c r="D6236" s="734">
        <v>140.87211669603707</v>
      </c>
      <c r="E6236" s="733"/>
    </row>
    <row r="6237" spans="2:5">
      <c r="B6237" s="121">
        <v>520</v>
      </c>
      <c r="C6237" s="121">
        <v>10</v>
      </c>
      <c r="D6237" s="734">
        <v>142.88758723631182</v>
      </c>
      <c r="E6237" s="733"/>
    </row>
    <row r="6238" spans="2:5">
      <c r="B6238" s="121">
        <v>520</v>
      </c>
      <c r="C6238" s="121">
        <v>11</v>
      </c>
      <c r="D6238" s="734">
        <v>140.4800107063129</v>
      </c>
      <c r="E6238" s="733"/>
    </row>
    <row r="6239" spans="2:5">
      <c r="B6239" s="121">
        <v>520</v>
      </c>
      <c r="C6239" s="121">
        <v>12</v>
      </c>
      <c r="D6239" s="734">
        <v>138.46957302325316</v>
      </c>
      <c r="E6239" s="733"/>
    </row>
    <row r="6240" spans="2:5">
      <c r="B6240" s="121">
        <v>520</v>
      </c>
      <c r="C6240" s="121">
        <v>13</v>
      </c>
      <c r="D6240" s="734">
        <v>141.21972062506134</v>
      </c>
      <c r="E6240" s="733"/>
    </row>
    <row r="6241" spans="2:5">
      <c r="B6241" s="121">
        <v>520</v>
      </c>
      <c r="C6241" s="121">
        <v>14</v>
      </c>
      <c r="D6241" s="734">
        <v>137.38567532975952</v>
      </c>
      <c r="E6241" s="733"/>
    </row>
    <row r="6242" spans="2:5">
      <c r="B6242" s="121">
        <v>520</v>
      </c>
      <c r="C6242" s="121">
        <v>15</v>
      </c>
      <c r="D6242" s="734">
        <v>144.53286008256256</v>
      </c>
      <c r="E6242" s="733"/>
    </row>
    <row r="6243" spans="2:5">
      <c r="B6243" s="121">
        <v>520</v>
      </c>
      <c r="C6243" s="121">
        <v>16</v>
      </c>
      <c r="D6243" s="734">
        <v>136.80094153309494</v>
      </c>
      <c r="E6243" s="733"/>
    </row>
    <row r="6244" spans="2:5">
      <c r="B6244" s="121">
        <v>520</v>
      </c>
      <c r="C6244" s="121">
        <v>17</v>
      </c>
      <c r="D6244" s="734">
        <v>138.39577302456632</v>
      </c>
      <c r="E6244" s="733"/>
    </row>
    <row r="6245" spans="2:5">
      <c r="B6245" s="121">
        <v>520</v>
      </c>
      <c r="C6245" s="121">
        <v>18</v>
      </c>
      <c r="D6245" s="734">
        <v>143.97657485616443</v>
      </c>
      <c r="E6245" s="733"/>
    </row>
    <row r="6246" spans="2:5">
      <c r="B6246" s="121">
        <v>520</v>
      </c>
      <c r="C6246" s="121">
        <v>19</v>
      </c>
      <c r="D6246" s="734">
        <v>143.58982026065146</v>
      </c>
      <c r="E6246" s="733"/>
    </row>
    <row r="6247" spans="2:5">
      <c r="B6247" s="121">
        <v>520</v>
      </c>
      <c r="C6247" s="121">
        <v>20</v>
      </c>
      <c r="D6247" s="734">
        <v>139.85506219671456</v>
      </c>
      <c r="E6247" s="733"/>
    </row>
    <row r="6248" spans="2:5">
      <c r="B6248" s="121">
        <v>520</v>
      </c>
      <c r="C6248" s="121">
        <v>21</v>
      </c>
      <c r="D6248" s="734">
        <v>140.71097796517475</v>
      </c>
      <c r="E6248" s="733"/>
    </row>
    <row r="6249" spans="2:5">
      <c r="B6249" s="121">
        <v>520</v>
      </c>
      <c r="C6249" s="121">
        <v>22</v>
      </c>
      <c r="D6249" s="734">
        <v>134.62916257363307</v>
      </c>
      <c r="E6249" s="733"/>
    </row>
    <row r="6250" spans="2:5">
      <c r="B6250" s="121">
        <v>520</v>
      </c>
      <c r="C6250" s="121">
        <v>23</v>
      </c>
      <c r="D6250" s="734">
        <v>145.3277952129643</v>
      </c>
      <c r="E6250" s="733"/>
    </row>
    <row r="6251" spans="2:5">
      <c r="B6251" s="121">
        <v>520</v>
      </c>
      <c r="C6251" s="121">
        <v>24</v>
      </c>
      <c r="D6251" s="734">
        <v>144.90415688379912</v>
      </c>
      <c r="E6251" s="733"/>
    </row>
    <row r="6252" spans="2:5">
      <c r="B6252" s="121">
        <v>520</v>
      </c>
      <c r="C6252" s="121">
        <v>25</v>
      </c>
      <c r="D6252" s="734">
        <v>140.66054865633393</v>
      </c>
      <c r="E6252" s="733"/>
    </row>
    <row r="6253" spans="2:5">
      <c r="B6253" s="121">
        <v>520</v>
      </c>
      <c r="C6253" s="121">
        <v>26</v>
      </c>
      <c r="D6253" s="734">
        <v>137.31261169102771</v>
      </c>
      <c r="E6253" s="733"/>
    </row>
    <row r="6254" spans="2:5">
      <c r="B6254" s="121">
        <v>520</v>
      </c>
      <c r="C6254" s="121">
        <v>27</v>
      </c>
      <c r="D6254" s="734">
        <v>144.37791511013137</v>
      </c>
      <c r="E6254" s="733"/>
    </row>
    <row r="6255" spans="2:5">
      <c r="B6255" s="121">
        <v>520</v>
      </c>
      <c r="C6255" s="121">
        <v>28</v>
      </c>
      <c r="D6255" s="734">
        <v>137.80356703629624</v>
      </c>
      <c r="E6255" s="733"/>
    </row>
    <row r="6256" spans="2:5">
      <c r="B6256" s="121">
        <v>520</v>
      </c>
      <c r="C6256" s="121">
        <v>29</v>
      </c>
      <c r="D6256" s="734">
        <v>137.18567185928325</v>
      </c>
      <c r="E6256" s="733"/>
    </row>
    <row r="6257" spans="2:5">
      <c r="B6257" s="121">
        <v>520</v>
      </c>
      <c r="C6257" s="121">
        <v>30</v>
      </c>
      <c r="D6257" s="734">
        <v>137.31820371843</v>
      </c>
      <c r="E6257" s="733"/>
    </row>
    <row r="6258" spans="2:5">
      <c r="B6258" s="121">
        <v>520</v>
      </c>
      <c r="C6258" s="121">
        <v>31</v>
      </c>
      <c r="D6258" s="734">
        <v>134.71301482599819</v>
      </c>
      <c r="E6258" s="733"/>
    </row>
    <row r="6259" spans="2:5">
      <c r="B6259" s="121">
        <v>520</v>
      </c>
      <c r="C6259" s="121">
        <v>32</v>
      </c>
      <c r="D6259" s="734">
        <v>140.6131688733573</v>
      </c>
      <c r="E6259" s="733"/>
    </row>
    <row r="6260" spans="2:5">
      <c r="B6260" s="121">
        <v>520</v>
      </c>
      <c r="C6260" s="121">
        <v>33</v>
      </c>
      <c r="D6260" s="734">
        <v>144.48407644795918</v>
      </c>
      <c r="E6260" s="733"/>
    </row>
    <row r="6261" spans="2:5">
      <c r="B6261" s="121">
        <v>520</v>
      </c>
      <c r="C6261" s="121">
        <v>34</v>
      </c>
      <c r="D6261" s="734">
        <v>139.87600403992738</v>
      </c>
      <c r="E6261" s="733"/>
    </row>
    <row r="6262" spans="2:5">
      <c r="B6262" s="121">
        <v>520</v>
      </c>
      <c r="C6262" s="121">
        <v>35</v>
      </c>
      <c r="D6262" s="734">
        <v>134.90030234620696</v>
      </c>
      <c r="E6262" s="733"/>
    </row>
    <row r="6263" spans="2:5">
      <c r="B6263" s="121">
        <v>520</v>
      </c>
      <c r="C6263" s="121">
        <v>36</v>
      </c>
      <c r="D6263" s="734">
        <v>144.95406002040079</v>
      </c>
      <c r="E6263" s="733"/>
    </row>
    <row r="6264" spans="2:5">
      <c r="B6264" s="121">
        <v>521</v>
      </c>
      <c r="C6264" s="121">
        <v>1</v>
      </c>
      <c r="D6264" s="734">
        <v>5</v>
      </c>
      <c r="E6264" s="733"/>
    </row>
    <row r="6265" spans="2:5">
      <c r="B6265" s="121">
        <v>522</v>
      </c>
      <c r="C6265" s="121">
        <v>1</v>
      </c>
      <c r="D6265" s="734">
        <v>5</v>
      </c>
      <c r="E6265" s="733"/>
    </row>
    <row r="6266" spans="2:5">
      <c r="B6266" s="121">
        <v>523</v>
      </c>
      <c r="C6266" s="121">
        <v>1</v>
      </c>
      <c r="D6266" s="734">
        <v>5</v>
      </c>
      <c r="E6266" s="733"/>
    </row>
    <row r="6267" spans="2:5">
      <c r="B6267" s="121">
        <v>524</v>
      </c>
      <c r="C6267" s="121">
        <v>1</v>
      </c>
      <c r="D6267" s="734">
        <v>5</v>
      </c>
      <c r="E6267" s="733"/>
    </row>
    <row r="6268" spans="2:5">
      <c r="B6268" s="121">
        <v>524</v>
      </c>
      <c r="C6268" s="121">
        <v>2</v>
      </c>
      <c r="D6268" s="734">
        <v>100.98683326185423</v>
      </c>
      <c r="E6268" s="733"/>
    </row>
    <row r="6269" spans="2:5">
      <c r="B6269" s="121">
        <v>524</v>
      </c>
      <c r="C6269" s="121">
        <v>3</v>
      </c>
      <c r="D6269" s="734">
        <v>121.11292985670171</v>
      </c>
      <c r="E6269" s="733"/>
    </row>
    <row r="6270" spans="2:5">
      <c r="B6270" s="121">
        <v>524</v>
      </c>
      <c r="C6270" s="121">
        <v>4</v>
      </c>
      <c r="D6270" s="734">
        <v>136.73783224727856</v>
      </c>
      <c r="E6270" s="733"/>
    </row>
    <row r="6271" spans="2:5">
      <c r="B6271" s="121">
        <v>524</v>
      </c>
      <c r="C6271" s="121">
        <v>5</v>
      </c>
      <c r="D6271" s="734">
        <v>136.17769932405872</v>
      </c>
      <c r="E6271" s="733"/>
    </row>
    <row r="6272" spans="2:5">
      <c r="B6272" s="121">
        <v>524</v>
      </c>
      <c r="C6272" s="121">
        <v>6</v>
      </c>
      <c r="D6272" s="734">
        <v>142.29115404714165</v>
      </c>
      <c r="E6272" s="733"/>
    </row>
    <row r="6273" spans="2:5">
      <c r="B6273" s="121">
        <v>524</v>
      </c>
      <c r="C6273" s="121">
        <v>7</v>
      </c>
      <c r="D6273" s="734">
        <v>135.61946646255123</v>
      </c>
      <c r="E6273" s="733"/>
    </row>
    <row r="6274" spans="2:5">
      <c r="B6274" s="121">
        <v>524</v>
      </c>
      <c r="C6274" s="121">
        <v>8</v>
      </c>
      <c r="D6274" s="734">
        <v>141.74465166759842</v>
      </c>
      <c r="E6274" s="733"/>
    </row>
    <row r="6275" spans="2:5">
      <c r="B6275" s="121">
        <v>524</v>
      </c>
      <c r="C6275" s="121">
        <v>9</v>
      </c>
      <c r="D6275" s="734">
        <v>139.71651217500846</v>
      </c>
      <c r="E6275" s="733"/>
    </row>
    <row r="6276" spans="2:5">
      <c r="B6276" s="121">
        <v>524</v>
      </c>
      <c r="C6276" s="121">
        <v>10</v>
      </c>
      <c r="D6276" s="734">
        <v>139.75247376594248</v>
      </c>
      <c r="E6276" s="733"/>
    </row>
    <row r="6277" spans="2:5">
      <c r="B6277" s="121">
        <v>524</v>
      </c>
      <c r="C6277" s="121">
        <v>11</v>
      </c>
      <c r="D6277" s="734">
        <v>142.00364578158499</v>
      </c>
      <c r="E6277" s="733"/>
    </row>
    <row r="6278" spans="2:5">
      <c r="B6278" s="121">
        <v>524</v>
      </c>
      <c r="C6278" s="121">
        <v>12</v>
      </c>
      <c r="D6278" s="734">
        <v>140.77379184576733</v>
      </c>
      <c r="E6278" s="733"/>
    </row>
    <row r="6279" spans="2:5">
      <c r="B6279" s="121">
        <v>524</v>
      </c>
      <c r="C6279" s="121">
        <v>13</v>
      </c>
      <c r="D6279" s="734">
        <v>145.0517387171777</v>
      </c>
      <c r="E6279" s="733"/>
    </row>
    <row r="6280" spans="2:5">
      <c r="B6280" s="121">
        <v>524</v>
      </c>
      <c r="C6280" s="121">
        <v>14</v>
      </c>
      <c r="D6280" s="734">
        <v>135.92962283099456</v>
      </c>
      <c r="E6280" s="733"/>
    </row>
    <row r="6281" spans="2:5">
      <c r="B6281" s="121">
        <v>524</v>
      </c>
      <c r="C6281" s="121">
        <v>15</v>
      </c>
      <c r="D6281" s="734">
        <v>141.81666901117183</v>
      </c>
      <c r="E6281" s="733"/>
    </row>
    <row r="6282" spans="2:5">
      <c r="B6282" s="121">
        <v>524</v>
      </c>
      <c r="C6282" s="121">
        <v>16</v>
      </c>
      <c r="D6282" s="734">
        <v>142.89834048023215</v>
      </c>
      <c r="E6282" s="733"/>
    </row>
    <row r="6283" spans="2:5">
      <c r="B6283" s="121">
        <v>524</v>
      </c>
      <c r="C6283" s="121">
        <v>17</v>
      </c>
      <c r="D6283" s="734">
        <v>144.92168096564146</v>
      </c>
      <c r="E6283" s="733"/>
    </row>
    <row r="6284" spans="2:5">
      <c r="B6284" s="121">
        <v>524</v>
      </c>
      <c r="C6284" s="121">
        <v>18</v>
      </c>
      <c r="D6284" s="734">
        <v>140.83282590673542</v>
      </c>
      <c r="E6284" s="733"/>
    </row>
    <row r="6285" spans="2:5">
      <c r="B6285" s="121">
        <v>524</v>
      </c>
      <c r="C6285" s="121">
        <v>19</v>
      </c>
      <c r="D6285" s="734">
        <v>138.50323745241084</v>
      </c>
      <c r="E6285" s="733"/>
    </row>
    <row r="6286" spans="2:5">
      <c r="B6286" s="121">
        <v>524</v>
      </c>
      <c r="C6286" s="121">
        <v>20</v>
      </c>
      <c r="D6286" s="734">
        <v>144.43304334926438</v>
      </c>
      <c r="E6286" s="733"/>
    </row>
    <row r="6287" spans="2:5">
      <c r="B6287" s="121">
        <v>524</v>
      </c>
      <c r="C6287" s="121">
        <v>21</v>
      </c>
      <c r="D6287" s="734">
        <v>145.75598532085928</v>
      </c>
      <c r="E6287" s="733"/>
    </row>
    <row r="6288" spans="2:5">
      <c r="B6288" s="121">
        <v>524</v>
      </c>
      <c r="C6288" s="121">
        <v>22</v>
      </c>
      <c r="D6288" s="734">
        <v>145.77657478856605</v>
      </c>
      <c r="E6288" s="733"/>
    </row>
    <row r="6289" spans="2:5">
      <c r="B6289" s="121">
        <v>524</v>
      </c>
      <c r="C6289" s="121">
        <v>23</v>
      </c>
      <c r="D6289" s="734">
        <v>139.5405794707201</v>
      </c>
      <c r="E6289" s="733"/>
    </row>
    <row r="6290" spans="2:5">
      <c r="B6290" s="121">
        <v>524</v>
      </c>
      <c r="C6290" s="121">
        <v>24</v>
      </c>
      <c r="D6290" s="734">
        <v>135.86472441419852</v>
      </c>
      <c r="E6290" s="733"/>
    </row>
    <row r="6291" spans="2:5">
      <c r="B6291" s="121">
        <v>524</v>
      </c>
      <c r="C6291" s="121">
        <v>25</v>
      </c>
      <c r="D6291" s="734">
        <v>134.57823269759646</v>
      </c>
      <c r="E6291" s="733"/>
    </row>
    <row r="6292" spans="2:5">
      <c r="B6292" s="121">
        <v>524</v>
      </c>
      <c r="C6292" s="121">
        <v>26</v>
      </c>
      <c r="D6292" s="734">
        <v>140.98100672770153</v>
      </c>
      <c r="E6292" s="733"/>
    </row>
    <row r="6293" spans="2:5">
      <c r="B6293" s="121">
        <v>525</v>
      </c>
      <c r="C6293" s="121">
        <v>1</v>
      </c>
      <c r="D6293" s="734">
        <v>5</v>
      </c>
      <c r="E6293" s="733"/>
    </row>
    <row r="6294" spans="2:5">
      <c r="B6294" s="121">
        <v>526</v>
      </c>
      <c r="C6294" s="121">
        <v>1</v>
      </c>
      <c r="D6294" s="734">
        <v>5</v>
      </c>
      <c r="E6294" s="733"/>
    </row>
    <row r="6295" spans="2:5">
      <c r="B6295" s="121">
        <v>526</v>
      </c>
      <c r="C6295" s="121">
        <v>2</v>
      </c>
      <c r="D6295" s="734">
        <v>102.45552794979433</v>
      </c>
      <c r="E6295" s="733"/>
    </row>
    <row r="6296" spans="2:5">
      <c r="B6296" s="121">
        <v>526</v>
      </c>
      <c r="C6296" s="121">
        <v>3</v>
      </c>
      <c r="D6296" s="734">
        <v>122.1381185311736</v>
      </c>
      <c r="E6296" s="733"/>
    </row>
    <row r="6297" spans="2:5">
      <c r="B6297" s="121">
        <v>526</v>
      </c>
      <c r="C6297" s="121">
        <v>4</v>
      </c>
      <c r="D6297" s="734">
        <v>133.72320989454639</v>
      </c>
      <c r="E6297" s="733"/>
    </row>
    <row r="6298" spans="2:5">
      <c r="B6298" s="121">
        <v>526</v>
      </c>
      <c r="C6298" s="121">
        <v>5</v>
      </c>
      <c r="D6298" s="734">
        <v>134.93332607483916</v>
      </c>
      <c r="E6298" s="733"/>
    </row>
    <row r="6299" spans="2:5">
      <c r="B6299" s="121">
        <v>526</v>
      </c>
      <c r="C6299" s="121">
        <v>6</v>
      </c>
      <c r="D6299" s="734">
        <v>146.22840737072113</v>
      </c>
      <c r="E6299" s="733"/>
    </row>
    <row r="6300" spans="2:5">
      <c r="B6300" s="121">
        <v>526</v>
      </c>
      <c r="C6300" s="121">
        <v>7</v>
      </c>
      <c r="D6300" s="734">
        <v>137.7984249139067</v>
      </c>
      <c r="E6300" s="733"/>
    </row>
    <row r="6301" spans="2:5">
      <c r="B6301" s="121">
        <v>526</v>
      </c>
      <c r="C6301" s="121">
        <v>8</v>
      </c>
      <c r="D6301" s="734">
        <v>143.69014663721299</v>
      </c>
      <c r="E6301" s="733"/>
    </row>
    <row r="6302" spans="2:5">
      <c r="B6302" s="121">
        <v>526</v>
      </c>
      <c r="C6302" s="121">
        <v>9</v>
      </c>
      <c r="D6302" s="734">
        <v>136.52378603137467</v>
      </c>
      <c r="E6302" s="733"/>
    </row>
    <row r="6303" spans="2:5">
      <c r="B6303" s="121">
        <v>526</v>
      </c>
      <c r="C6303" s="121">
        <v>10</v>
      </c>
      <c r="D6303" s="734">
        <v>133.89601959949343</v>
      </c>
      <c r="E6303" s="733"/>
    </row>
    <row r="6304" spans="2:5">
      <c r="B6304" s="121">
        <v>526</v>
      </c>
      <c r="C6304" s="121">
        <v>11</v>
      </c>
      <c r="D6304" s="734">
        <v>144.73090243110735</v>
      </c>
      <c r="E6304" s="733"/>
    </row>
    <row r="6305" spans="2:5">
      <c r="B6305" s="121">
        <v>526</v>
      </c>
      <c r="C6305" s="121">
        <v>12</v>
      </c>
      <c r="D6305" s="734">
        <v>137.277035810326</v>
      </c>
      <c r="E6305" s="733"/>
    </row>
    <row r="6306" spans="2:5">
      <c r="B6306" s="121">
        <v>526</v>
      </c>
      <c r="C6306" s="121">
        <v>13</v>
      </c>
      <c r="D6306" s="734">
        <v>138.42008212977046</v>
      </c>
      <c r="E6306" s="733"/>
    </row>
    <row r="6307" spans="2:5">
      <c r="B6307" s="121">
        <v>526</v>
      </c>
      <c r="C6307" s="121">
        <v>14</v>
      </c>
      <c r="D6307" s="734">
        <v>146.41756690509237</v>
      </c>
      <c r="E6307" s="733"/>
    </row>
    <row r="6308" spans="2:5">
      <c r="B6308" s="121">
        <v>526</v>
      </c>
      <c r="C6308" s="121">
        <v>15</v>
      </c>
      <c r="D6308" s="734">
        <v>141.01626183100672</v>
      </c>
      <c r="E6308" s="733"/>
    </row>
    <row r="6309" spans="2:5">
      <c r="B6309" s="121">
        <v>526</v>
      </c>
      <c r="C6309" s="121">
        <v>16</v>
      </c>
      <c r="D6309" s="734">
        <v>146.54725847456419</v>
      </c>
      <c r="E6309" s="733"/>
    </row>
    <row r="6310" spans="2:5">
      <c r="B6310" s="121">
        <v>526</v>
      </c>
      <c r="C6310" s="121">
        <v>17</v>
      </c>
      <c r="D6310" s="734">
        <v>141.70852037461674</v>
      </c>
      <c r="E6310" s="733"/>
    </row>
    <row r="6311" spans="2:5">
      <c r="B6311" s="121">
        <v>526</v>
      </c>
      <c r="C6311" s="121">
        <v>18</v>
      </c>
      <c r="D6311" s="734">
        <v>147.09260700935212</v>
      </c>
      <c r="E6311" s="733"/>
    </row>
    <row r="6312" spans="2:5">
      <c r="B6312" s="121">
        <v>526</v>
      </c>
      <c r="C6312" s="121">
        <v>19</v>
      </c>
      <c r="D6312" s="734">
        <v>138.85790630555971</v>
      </c>
      <c r="E6312" s="733"/>
    </row>
    <row r="6313" spans="2:5">
      <c r="B6313" s="121">
        <v>526</v>
      </c>
      <c r="C6313" s="121">
        <v>20</v>
      </c>
      <c r="D6313" s="734">
        <v>140.6502443425876</v>
      </c>
      <c r="E6313" s="733"/>
    </row>
    <row r="6314" spans="2:5">
      <c r="B6314" s="121">
        <v>526</v>
      </c>
      <c r="C6314" s="121">
        <v>21</v>
      </c>
      <c r="D6314" s="734">
        <v>134.05656105056451</v>
      </c>
      <c r="E6314" s="733"/>
    </row>
    <row r="6315" spans="2:5">
      <c r="B6315" s="121">
        <v>526</v>
      </c>
      <c r="C6315" s="121">
        <v>22</v>
      </c>
      <c r="D6315" s="734">
        <v>137.74603859935669</v>
      </c>
      <c r="E6315" s="733"/>
    </row>
    <row r="6316" spans="2:5">
      <c r="B6316" s="121">
        <v>526</v>
      </c>
      <c r="C6316" s="121">
        <v>23</v>
      </c>
      <c r="D6316" s="734">
        <v>139.97157982129937</v>
      </c>
      <c r="E6316" s="733"/>
    </row>
    <row r="6317" spans="2:5">
      <c r="B6317" s="121">
        <v>526</v>
      </c>
      <c r="C6317" s="121">
        <v>24</v>
      </c>
      <c r="D6317" s="734">
        <v>136.34838678454616</v>
      </c>
      <c r="E6317" s="733"/>
    </row>
    <row r="6318" spans="2:5">
      <c r="B6318" s="121">
        <v>526</v>
      </c>
      <c r="C6318" s="121">
        <v>25</v>
      </c>
      <c r="D6318" s="734">
        <v>140.49200298216149</v>
      </c>
      <c r="E6318" s="733"/>
    </row>
    <row r="6319" spans="2:5">
      <c r="B6319" s="121">
        <v>526</v>
      </c>
      <c r="C6319" s="121">
        <v>26</v>
      </c>
      <c r="D6319" s="734">
        <v>138.93089142303722</v>
      </c>
      <c r="E6319" s="733"/>
    </row>
    <row r="6320" spans="2:5">
      <c r="B6320" s="121">
        <v>526</v>
      </c>
      <c r="C6320" s="121">
        <v>27</v>
      </c>
      <c r="D6320" s="734">
        <v>135.76883571232742</v>
      </c>
      <c r="E6320" s="733"/>
    </row>
    <row r="6321" spans="2:5">
      <c r="B6321" s="121">
        <v>526</v>
      </c>
      <c r="C6321" s="121">
        <v>28</v>
      </c>
      <c r="D6321" s="734">
        <v>134.75154061991958</v>
      </c>
      <c r="E6321" s="733"/>
    </row>
    <row r="6322" spans="2:5">
      <c r="B6322" s="121">
        <v>526</v>
      </c>
      <c r="C6322" s="121">
        <v>29</v>
      </c>
      <c r="D6322" s="734">
        <v>143.40743244161854</v>
      </c>
      <c r="E6322" s="733"/>
    </row>
    <row r="6323" spans="2:5">
      <c r="B6323" s="121">
        <v>526</v>
      </c>
      <c r="C6323" s="121">
        <v>30</v>
      </c>
      <c r="D6323" s="734">
        <v>135.54264922561006</v>
      </c>
      <c r="E6323" s="733"/>
    </row>
    <row r="6324" spans="2:5">
      <c r="B6324" s="121">
        <v>526</v>
      </c>
      <c r="C6324" s="121">
        <v>31</v>
      </c>
      <c r="D6324" s="734">
        <v>145.29382960255157</v>
      </c>
      <c r="E6324" s="733"/>
    </row>
    <row r="6325" spans="2:5">
      <c r="B6325" s="121">
        <v>527</v>
      </c>
      <c r="C6325" s="121">
        <v>1</v>
      </c>
      <c r="D6325" s="734">
        <v>5</v>
      </c>
      <c r="E6325" s="733"/>
    </row>
    <row r="6326" spans="2:5">
      <c r="B6326" s="121">
        <v>527</v>
      </c>
      <c r="C6326" s="121">
        <v>2</v>
      </c>
      <c r="D6326" s="734">
        <v>103.06644686998141</v>
      </c>
      <c r="E6326" s="733"/>
    </row>
    <row r="6327" spans="2:5">
      <c r="B6327" s="121">
        <v>527</v>
      </c>
      <c r="C6327" s="121">
        <v>3</v>
      </c>
      <c r="D6327" s="734">
        <v>117.75202777238306</v>
      </c>
      <c r="E6327" s="733"/>
    </row>
    <row r="6328" spans="2:5">
      <c r="B6328" s="121">
        <v>527</v>
      </c>
      <c r="C6328" s="121">
        <v>4</v>
      </c>
      <c r="D6328" s="734">
        <v>138.64078045926209</v>
      </c>
      <c r="E6328" s="733"/>
    </row>
    <row r="6329" spans="2:5">
      <c r="B6329" s="121">
        <v>527</v>
      </c>
      <c r="C6329" s="121">
        <v>5</v>
      </c>
      <c r="D6329" s="734">
        <v>136.72419387578589</v>
      </c>
      <c r="E6329" s="733"/>
    </row>
    <row r="6330" spans="2:5">
      <c r="B6330" s="121">
        <v>527</v>
      </c>
      <c r="C6330" s="121">
        <v>6</v>
      </c>
      <c r="D6330" s="734">
        <v>137.79881606188331</v>
      </c>
      <c r="E6330" s="733"/>
    </row>
    <row r="6331" spans="2:5">
      <c r="B6331" s="121">
        <v>527</v>
      </c>
      <c r="C6331" s="121">
        <v>7</v>
      </c>
      <c r="D6331" s="734">
        <v>141.04533106628159</v>
      </c>
      <c r="E6331" s="733"/>
    </row>
    <row r="6332" spans="2:5">
      <c r="B6332" s="121">
        <v>527</v>
      </c>
      <c r="C6332" s="121">
        <v>8</v>
      </c>
      <c r="D6332" s="734">
        <v>135.26697509706824</v>
      </c>
      <c r="E6332" s="733"/>
    </row>
    <row r="6333" spans="2:5">
      <c r="B6333" s="121">
        <v>527</v>
      </c>
      <c r="C6333" s="121">
        <v>9</v>
      </c>
      <c r="D6333" s="734">
        <v>141.35491549422434</v>
      </c>
      <c r="E6333" s="733"/>
    </row>
    <row r="6334" spans="2:5">
      <c r="B6334" s="121">
        <v>527</v>
      </c>
      <c r="C6334" s="121">
        <v>10</v>
      </c>
      <c r="D6334" s="734">
        <v>136.24825650849749</v>
      </c>
      <c r="E6334" s="733"/>
    </row>
    <row r="6335" spans="2:5">
      <c r="B6335" s="121">
        <v>527</v>
      </c>
      <c r="C6335" s="121">
        <v>11</v>
      </c>
      <c r="D6335" s="734">
        <v>139.516053975783</v>
      </c>
      <c r="E6335" s="733"/>
    </row>
    <row r="6336" spans="2:5">
      <c r="B6336" s="121">
        <v>528</v>
      </c>
      <c r="C6336" s="121">
        <v>1</v>
      </c>
      <c r="D6336" s="734">
        <v>5</v>
      </c>
      <c r="E6336" s="733"/>
    </row>
    <row r="6337" spans="2:5">
      <c r="B6337" s="121">
        <v>529</v>
      </c>
      <c r="C6337" s="121">
        <v>1</v>
      </c>
      <c r="D6337" s="734">
        <v>5</v>
      </c>
      <c r="E6337" s="733"/>
    </row>
    <row r="6338" spans="2:5">
      <c r="B6338" s="121">
        <v>529</v>
      </c>
      <c r="C6338" s="121">
        <v>2</v>
      </c>
      <c r="D6338" s="734">
        <v>95.692947837781844</v>
      </c>
      <c r="E6338" s="733"/>
    </row>
    <row r="6339" spans="2:5">
      <c r="B6339" s="121">
        <v>530</v>
      </c>
      <c r="C6339" s="121">
        <v>1</v>
      </c>
      <c r="D6339" s="734">
        <v>5</v>
      </c>
      <c r="E6339" s="733"/>
    </row>
    <row r="6340" spans="2:5">
      <c r="B6340" s="121">
        <v>530</v>
      </c>
      <c r="C6340" s="121">
        <v>2</v>
      </c>
      <c r="D6340" s="734">
        <v>101.98631497963157</v>
      </c>
      <c r="E6340" s="733"/>
    </row>
    <row r="6341" spans="2:5">
      <c r="B6341" s="121">
        <v>530</v>
      </c>
      <c r="C6341" s="121">
        <v>3</v>
      </c>
      <c r="D6341" s="734">
        <v>125.19822770629602</v>
      </c>
      <c r="E6341" s="733"/>
    </row>
    <row r="6342" spans="2:5">
      <c r="B6342" s="121">
        <v>530</v>
      </c>
      <c r="C6342" s="121">
        <v>4</v>
      </c>
      <c r="D6342" s="734">
        <v>133.72042208574288</v>
      </c>
      <c r="E6342" s="733"/>
    </row>
    <row r="6343" spans="2:5">
      <c r="B6343" s="121">
        <v>530</v>
      </c>
      <c r="C6343" s="121">
        <v>5</v>
      </c>
      <c r="D6343" s="734">
        <v>138.7327320119953</v>
      </c>
      <c r="E6343" s="733"/>
    </row>
    <row r="6344" spans="2:5">
      <c r="B6344" s="121">
        <v>530</v>
      </c>
      <c r="C6344" s="121">
        <v>6</v>
      </c>
      <c r="D6344" s="734">
        <v>135.73356191495301</v>
      </c>
      <c r="E6344" s="733"/>
    </row>
    <row r="6345" spans="2:5">
      <c r="B6345" s="121">
        <v>530</v>
      </c>
      <c r="C6345" s="121">
        <v>7</v>
      </c>
      <c r="D6345" s="734">
        <v>146.29178797056082</v>
      </c>
      <c r="E6345" s="733"/>
    </row>
    <row r="6346" spans="2:5">
      <c r="B6346" s="121">
        <v>530</v>
      </c>
      <c r="C6346" s="121">
        <v>8</v>
      </c>
      <c r="D6346" s="734">
        <v>139.06548358036196</v>
      </c>
      <c r="E6346" s="733"/>
    </row>
    <row r="6347" spans="2:5">
      <c r="B6347" s="121">
        <v>530</v>
      </c>
      <c r="C6347" s="121">
        <v>9</v>
      </c>
      <c r="D6347" s="734">
        <v>134.65569693887656</v>
      </c>
      <c r="E6347" s="733"/>
    </row>
    <row r="6348" spans="2:5">
      <c r="B6348" s="121">
        <v>530</v>
      </c>
      <c r="C6348" s="121">
        <v>10</v>
      </c>
      <c r="D6348" s="734">
        <v>137.64000171146492</v>
      </c>
      <c r="E6348" s="733"/>
    </row>
    <row r="6349" spans="2:5">
      <c r="B6349" s="121">
        <v>530</v>
      </c>
      <c r="C6349" s="121">
        <v>11</v>
      </c>
      <c r="D6349" s="734">
        <v>141.7038754192092</v>
      </c>
      <c r="E6349" s="733"/>
    </row>
    <row r="6350" spans="2:5">
      <c r="B6350" s="121">
        <v>531</v>
      </c>
      <c r="C6350" s="121">
        <v>1</v>
      </c>
      <c r="D6350" s="734">
        <v>5</v>
      </c>
      <c r="E6350" s="733"/>
    </row>
    <row r="6351" spans="2:5">
      <c r="B6351" s="121">
        <v>531</v>
      </c>
      <c r="C6351" s="121">
        <v>2</v>
      </c>
      <c r="D6351" s="734">
        <v>101.62370695690581</v>
      </c>
      <c r="E6351" s="733"/>
    </row>
    <row r="6352" spans="2:5">
      <c r="B6352" s="121">
        <v>531</v>
      </c>
      <c r="C6352" s="121">
        <v>3</v>
      </c>
      <c r="D6352" s="734">
        <v>116.016971616544</v>
      </c>
      <c r="E6352" s="733"/>
    </row>
    <row r="6353" spans="2:5">
      <c r="B6353" s="121">
        <v>531</v>
      </c>
      <c r="C6353" s="121">
        <v>4</v>
      </c>
      <c r="D6353" s="734">
        <v>137.77531611849776</v>
      </c>
      <c r="E6353" s="733"/>
    </row>
    <row r="6354" spans="2:5">
      <c r="B6354" s="121">
        <v>531</v>
      </c>
      <c r="C6354" s="121">
        <v>5</v>
      </c>
      <c r="D6354" s="734">
        <v>140.93713342800609</v>
      </c>
      <c r="E6354" s="733"/>
    </row>
    <row r="6355" spans="2:5">
      <c r="B6355" s="121">
        <v>531</v>
      </c>
      <c r="C6355" s="121">
        <v>6</v>
      </c>
      <c r="D6355" s="734">
        <v>143.39671609898892</v>
      </c>
      <c r="E6355" s="733"/>
    </row>
    <row r="6356" spans="2:5">
      <c r="B6356" s="121">
        <v>531</v>
      </c>
      <c r="C6356" s="121">
        <v>7</v>
      </c>
      <c r="D6356" s="734">
        <v>143.81020351896484</v>
      </c>
      <c r="E6356" s="733"/>
    </row>
    <row r="6357" spans="2:5">
      <c r="B6357" s="121">
        <v>531</v>
      </c>
      <c r="C6357" s="121">
        <v>8</v>
      </c>
      <c r="D6357" s="734">
        <v>140.74134775108092</v>
      </c>
      <c r="E6357" s="733"/>
    </row>
    <row r="6358" spans="2:5">
      <c r="B6358" s="121">
        <v>531</v>
      </c>
      <c r="C6358" s="121">
        <v>9</v>
      </c>
      <c r="D6358" s="734">
        <v>138.81419906192997</v>
      </c>
      <c r="E6358" s="733"/>
    </row>
    <row r="6359" spans="2:5">
      <c r="B6359" s="121">
        <v>531</v>
      </c>
      <c r="C6359" s="121">
        <v>10</v>
      </c>
      <c r="D6359" s="734">
        <v>140.44419512720222</v>
      </c>
      <c r="E6359" s="733"/>
    </row>
    <row r="6360" spans="2:5">
      <c r="B6360" s="121">
        <v>531</v>
      </c>
      <c r="C6360" s="121">
        <v>11</v>
      </c>
      <c r="D6360" s="734">
        <v>135.43441793958272</v>
      </c>
      <c r="E6360" s="733"/>
    </row>
    <row r="6361" spans="2:5">
      <c r="B6361" s="121">
        <v>531</v>
      </c>
      <c r="C6361" s="121">
        <v>12</v>
      </c>
      <c r="D6361" s="734">
        <v>137.76330658108051</v>
      </c>
      <c r="E6361" s="733"/>
    </row>
    <row r="6362" spans="2:5">
      <c r="B6362" s="121">
        <v>531</v>
      </c>
      <c r="C6362" s="121">
        <v>13</v>
      </c>
      <c r="D6362" s="734">
        <v>134.75112657693907</v>
      </c>
      <c r="E6362" s="733"/>
    </row>
    <row r="6363" spans="2:5">
      <c r="B6363" s="121">
        <v>531</v>
      </c>
      <c r="C6363" s="121">
        <v>14</v>
      </c>
      <c r="D6363" s="734">
        <v>145.80094300803336</v>
      </c>
      <c r="E6363" s="733"/>
    </row>
    <row r="6364" spans="2:5">
      <c r="B6364" s="121">
        <v>532</v>
      </c>
      <c r="C6364" s="121">
        <v>1</v>
      </c>
      <c r="D6364" s="734">
        <v>5</v>
      </c>
      <c r="E6364" s="733"/>
    </row>
    <row r="6365" spans="2:5">
      <c r="B6365" s="121">
        <v>532</v>
      </c>
      <c r="C6365" s="121">
        <v>2</v>
      </c>
      <c r="D6365" s="734">
        <v>96.391191346047449</v>
      </c>
      <c r="E6365" s="733"/>
    </row>
    <row r="6366" spans="2:5">
      <c r="B6366" s="121">
        <v>532</v>
      </c>
      <c r="C6366" s="121">
        <v>3</v>
      </c>
      <c r="D6366" s="734">
        <v>115.11446742284505</v>
      </c>
      <c r="E6366" s="733"/>
    </row>
    <row r="6367" spans="2:5">
      <c r="B6367" s="121">
        <v>533</v>
      </c>
      <c r="C6367" s="121">
        <v>1</v>
      </c>
      <c r="D6367" s="734">
        <v>5</v>
      </c>
      <c r="E6367" s="733"/>
    </row>
    <row r="6368" spans="2:5">
      <c r="B6368" s="121">
        <v>533</v>
      </c>
      <c r="C6368" s="121">
        <v>2</v>
      </c>
      <c r="D6368" s="734">
        <v>100.02271720711624</v>
      </c>
      <c r="E6368" s="733"/>
    </row>
    <row r="6369" spans="2:5">
      <c r="B6369" s="121">
        <v>533</v>
      </c>
      <c r="C6369" s="121">
        <v>3</v>
      </c>
      <c r="D6369" s="734">
        <v>118.50462494099816</v>
      </c>
      <c r="E6369" s="733"/>
    </row>
    <row r="6370" spans="2:5">
      <c r="B6370" s="121">
        <v>533</v>
      </c>
      <c r="C6370" s="121">
        <v>4</v>
      </c>
      <c r="D6370" s="734">
        <v>143.69140620932222</v>
      </c>
      <c r="E6370" s="733"/>
    </row>
    <row r="6371" spans="2:5">
      <c r="B6371" s="121">
        <v>533</v>
      </c>
      <c r="C6371" s="121">
        <v>5</v>
      </c>
      <c r="D6371" s="734">
        <v>137.66424887990559</v>
      </c>
      <c r="E6371" s="733"/>
    </row>
    <row r="6372" spans="2:5">
      <c r="B6372" s="121">
        <v>533</v>
      </c>
      <c r="C6372" s="121">
        <v>6</v>
      </c>
      <c r="D6372" s="734">
        <v>141.27732643361043</v>
      </c>
      <c r="E6372" s="733"/>
    </row>
    <row r="6373" spans="2:5">
      <c r="B6373" s="121">
        <v>533</v>
      </c>
      <c r="C6373" s="121">
        <v>7</v>
      </c>
      <c r="D6373" s="734">
        <v>140.34454418923124</v>
      </c>
      <c r="E6373" s="733"/>
    </row>
    <row r="6374" spans="2:5">
      <c r="B6374" s="121">
        <v>533</v>
      </c>
      <c r="C6374" s="121">
        <v>8</v>
      </c>
      <c r="D6374" s="734">
        <v>143.70734529178534</v>
      </c>
      <c r="E6374" s="733"/>
    </row>
    <row r="6375" spans="2:5">
      <c r="B6375" s="121">
        <v>533</v>
      </c>
      <c r="C6375" s="121">
        <v>9</v>
      </c>
      <c r="D6375" s="734">
        <v>139.54199488006248</v>
      </c>
      <c r="E6375" s="733"/>
    </row>
    <row r="6376" spans="2:5">
      <c r="B6376" s="121">
        <v>533</v>
      </c>
      <c r="C6376" s="121">
        <v>10</v>
      </c>
      <c r="D6376" s="734">
        <v>138.75514483380357</v>
      </c>
      <c r="E6376" s="733"/>
    </row>
    <row r="6377" spans="2:5">
      <c r="B6377" s="121">
        <v>533</v>
      </c>
      <c r="C6377" s="121">
        <v>11</v>
      </c>
      <c r="D6377" s="734">
        <v>146.79370159166257</v>
      </c>
      <c r="E6377" s="733"/>
    </row>
    <row r="6378" spans="2:5">
      <c r="B6378" s="121">
        <v>533</v>
      </c>
      <c r="C6378" s="121">
        <v>12</v>
      </c>
      <c r="D6378" s="734">
        <v>140.34188742337165</v>
      </c>
      <c r="E6378" s="733"/>
    </row>
    <row r="6379" spans="2:5">
      <c r="B6379" s="121">
        <v>533</v>
      </c>
      <c r="C6379" s="121">
        <v>13</v>
      </c>
      <c r="D6379" s="734">
        <v>143.50067477170703</v>
      </c>
      <c r="E6379" s="733"/>
    </row>
    <row r="6380" spans="2:5">
      <c r="B6380" s="121">
        <v>533</v>
      </c>
      <c r="C6380" s="121">
        <v>14</v>
      </c>
      <c r="D6380" s="734">
        <v>146.73179126960713</v>
      </c>
      <c r="E6380" s="733"/>
    </row>
    <row r="6381" spans="2:5">
      <c r="B6381" s="121">
        <v>534</v>
      </c>
      <c r="C6381" s="121">
        <v>1</v>
      </c>
      <c r="D6381" s="734">
        <v>5</v>
      </c>
      <c r="E6381" s="733"/>
    </row>
    <row r="6382" spans="2:5">
      <c r="B6382" s="121">
        <v>534</v>
      </c>
      <c r="C6382" s="121">
        <v>2</v>
      </c>
      <c r="D6382" s="734">
        <v>96.391952567848278</v>
      </c>
      <c r="E6382" s="733"/>
    </row>
    <row r="6383" spans="2:5">
      <c r="B6383" s="121">
        <v>534</v>
      </c>
      <c r="C6383" s="121">
        <v>3</v>
      </c>
      <c r="D6383" s="734">
        <v>124.67894584224805</v>
      </c>
      <c r="E6383" s="733"/>
    </row>
    <row r="6384" spans="2:5">
      <c r="B6384" s="121">
        <v>534</v>
      </c>
      <c r="C6384" s="121">
        <v>4</v>
      </c>
      <c r="D6384" s="734">
        <v>134.38646601882243</v>
      </c>
      <c r="E6384" s="733"/>
    </row>
    <row r="6385" spans="2:5">
      <c r="B6385" s="121">
        <v>534</v>
      </c>
      <c r="C6385" s="121">
        <v>5</v>
      </c>
      <c r="D6385" s="734">
        <v>144.45033455749197</v>
      </c>
      <c r="E6385" s="733"/>
    </row>
    <row r="6386" spans="2:5">
      <c r="B6386" s="121">
        <v>534</v>
      </c>
      <c r="C6386" s="121">
        <v>6</v>
      </c>
      <c r="D6386" s="734">
        <v>137.31607668351944</v>
      </c>
      <c r="E6386" s="733"/>
    </row>
    <row r="6387" spans="2:5">
      <c r="B6387" s="121">
        <v>534</v>
      </c>
      <c r="C6387" s="121">
        <v>7</v>
      </c>
      <c r="D6387" s="734">
        <v>140.29212148156651</v>
      </c>
      <c r="E6387" s="733"/>
    </row>
    <row r="6388" spans="2:5">
      <c r="B6388" s="121">
        <v>534</v>
      </c>
      <c r="C6388" s="121">
        <v>8</v>
      </c>
      <c r="D6388" s="734">
        <v>145.20814318299759</v>
      </c>
      <c r="E6388" s="733"/>
    </row>
    <row r="6389" spans="2:5">
      <c r="B6389" s="121">
        <v>534</v>
      </c>
      <c r="C6389" s="121">
        <v>9</v>
      </c>
      <c r="D6389" s="734">
        <v>146.82714109238898</v>
      </c>
      <c r="E6389" s="733"/>
    </row>
    <row r="6390" spans="2:5">
      <c r="B6390" s="121">
        <v>534</v>
      </c>
      <c r="C6390" s="121">
        <v>10</v>
      </c>
      <c r="D6390" s="734">
        <v>141.85105875473238</v>
      </c>
      <c r="E6390" s="733"/>
    </row>
    <row r="6391" spans="2:5">
      <c r="B6391" s="121">
        <v>534</v>
      </c>
      <c r="C6391" s="121">
        <v>11</v>
      </c>
      <c r="D6391" s="734">
        <v>144.76735125566651</v>
      </c>
      <c r="E6391" s="733"/>
    </row>
    <row r="6392" spans="2:5">
      <c r="B6392" s="121">
        <v>534</v>
      </c>
      <c r="C6392" s="121">
        <v>12</v>
      </c>
      <c r="D6392" s="734">
        <v>136.59994780809086</v>
      </c>
      <c r="E6392" s="733"/>
    </row>
    <row r="6393" spans="2:5">
      <c r="B6393" s="121">
        <v>534</v>
      </c>
      <c r="C6393" s="121">
        <v>13</v>
      </c>
      <c r="D6393" s="734">
        <v>136.86391662354299</v>
      </c>
      <c r="E6393" s="733"/>
    </row>
    <row r="6394" spans="2:5">
      <c r="B6394" s="121">
        <v>534</v>
      </c>
      <c r="C6394" s="121">
        <v>14</v>
      </c>
      <c r="D6394" s="734">
        <v>136.4924868453387</v>
      </c>
      <c r="E6394" s="733"/>
    </row>
    <row r="6395" spans="2:5">
      <c r="B6395" s="121">
        <v>534</v>
      </c>
      <c r="C6395" s="121">
        <v>15</v>
      </c>
      <c r="D6395" s="734">
        <v>142.73612299338515</v>
      </c>
      <c r="E6395" s="733"/>
    </row>
    <row r="6396" spans="2:5">
      <c r="B6396" s="121">
        <v>535</v>
      </c>
      <c r="C6396" s="121">
        <v>1</v>
      </c>
      <c r="D6396" s="734">
        <v>5</v>
      </c>
      <c r="E6396" s="733"/>
    </row>
    <row r="6397" spans="2:5">
      <c r="B6397" s="121">
        <v>536</v>
      </c>
      <c r="C6397" s="121">
        <v>1</v>
      </c>
      <c r="D6397" s="734">
        <v>5</v>
      </c>
      <c r="E6397" s="733"/>
    </row>
    <row r="6398" spans="2:5">
      <c r="B6398" s="121">
        <v>537</v>
      </c>
      <c r="C6398" s="121">
        <v>1</v>
      </c>
      <c r="D6398" s="734">
        <v>5</v>
      </c>
      <c r="E6398" s="733"/>
    </row>
    <row r="6399" spans="2:5">
      <c r="B6399" s="121">
        <v>537</v>
      </c>
      <c r="C6399" s="121">
        <v>2</v>
      </c>
      <c r="D6399" s="734">
        <v>101.50282694257572</v>
      </c>
      <c r="E6399" s="733"/>
    </row>
    <row r="6400" spans="2:5">
      <c r="B6400" s="121">
        <v>538</v>
      </c>
      <c r="C6400" s="121">
        <v>1</v>
      </c>
      <c r="D6400" s="734">
        <v>5</v>
      </c>
      <c r="E6400" s="733"/>
    </row>
    <row r="6401" spans="2:5">
      <c r="B6401" s="121">
        <v>538</v>
      </c>
      <c r="C6401" s="121">
        <v>2</v>
      </c>
      <c r="D6401" s="734">
        <v>102.349724623008</v>
      </c>
      <c r="E6401" s="733"/>
    </row>
    <row r="6402" spans="2:5">
      <c r="B6402" s="121">
        <v>538</v>
      </c>
      <c r="C6402" s="121">
        <v>3</v>
      </c>
      <c r="D6402" s="734">
        <v>119.01736299180877</v>
      </c>
      <c r="E6402" s="733"/>
    </row>
    <row r="6403" spans="2:5">
      <c r="B6403" s="121">
        <v>538</v>
      </c>
      <c r="C6403" s="121">
        <v>4</v>
      </c>
      <c r="D6403" s="734">
        <v>138.17996548137532</v>
      </c>
      <c r="E6403" s="733"/>
    </row>
    <row r="6404" spans="2:5">
      <c r="B6404" s="121">
        <v>538</v>
      </c>
      <c r="C6404" s="121">
        <v>5</v>
      </c>
      <c r="D6404" s="734">
        <v>146.95643090945958</v>
      </c>
      <c r="E6404" s="733"/>
    </row>
    <row r="6405" spans="2:5">
      <c r="B6405" s="121">
        <v>538</v>
      </c>
      <c r="C6405" s="121">
        <v>6</v>
      </c>
      <c r="D6405" s="734">
        <v>136.52819893047675</v>
      </c>
      <c r="E6405" s="733"/>
    </row>
    <row r="6406" spans="2:5">
      <c r="B6406" s="121">
        <v>538</v>
      </c>
      <c r="C6406" s="121">
        <v>7</v>
      </c>
      <c r="D6406" s="734">
        <v>144.0888439137716</v>
      </c>
      <c r="E6406" s="733"/>
    </row>
    <row r="6407" spans="2:5">
      <c r="B6407" s="121">
        <v>539</v>
      </c>
      <c r="C6407" s="121">
        <v>1</v>
      </c>
      <c r="D6407" s="734">
        <v>5</v>
      </c>
      <c r="E6407" s="733"/>
    </row>
    <row r="6408" spans="2:5">
      <c r="B6408" s="121">
        <v>540</v>
      </c>
      <c r="C6408" s="121">
        <v>1</v>
      </c>
      <c r="D6408" s="734">
        <v>5</v>
      </c>
      <c r="E6408" s="733"/>
    </row>
    <row r="6409" spans="2:5">
      <c r="B6409" s="121">
        <v>541</v>
      </c>
      <c r="C6409" s="121">
        <v>1</v>
      </c>
      <c r="D6409" s="734">
        <v>5</v>
      </c>
      <c r="E6409" s="733"/>
    </row>
    <row r="6410" spans="2:5">
      <c r="B6410" s="121">
        <v>542</v>
      </c>
      <c r="C6410" s="121">
        <v>1</v>
      </c>
      <c r="D6410" s="734">
        <v>5</v>
      </c>
      <c r="E6410" s="733"/>
    </row>
    <row r="6411" spans="2:5">
      <c r="B6411" s="121">
        <v>543</v>
      </c>
      <c r="C6411" s="121">
        <v>1</v>
      </c>
      <c r="D6411" s="734">
        <v>5</v>
      </c>
      <c r="E6411" s="733"/>
    </row>
    <row r="6412" spans="2:5">
      <c r="B6412" s="121">
        <v>543</v>
      </c>
      <c r="C6412" s="121">
        <v>2</v>
      </c>
      <c r="D6412" s="734">
        <v>100.52336148247842</v>
      </c>
      <c r="E6412" s="733"/>
    </row>
    <row r="6413" spans="2:5">
      <c r="B6413" s="121">
        <v>543</v>
      </c>
      <c r="C6413" s="121">
        <v>3</v>
      </c>
      <c r="D6413" s="734">
        <v>114.60074748255161</v>
      </c>
      <c r="E6413" s="733"/>
    </row>
    <row r="6414" spans="2:5">
      <c r="B6414" s="121">
        <v>543</v>
      </c>
      <c r="C6414" s="121">
        <v>4</v>
      </c>
      <c r="D6414" s="734">
        <v>140.72381676321015</v>
      </c>
      <c r="E6414" s="733"/>
    </row>
    <row r="6415" spans="2:5">
      <c r="B6415" s="121">
        <v>543</v>
      </c>
      <c r="C6415" s="121">
        <v>5</v>
      </c>
      <c r="D6415" s="734">
        <v>134.8297528614217</v>
      </c>
      <c r="E6415" s="733"/>
    </row>
    <row r="6416" spans="2:5">
      <c r="B6416" s="121">
        <v>543</v>
      </c>
      <c r="C6416" s="121">
        <v>6</v>
      </c>
      <c r="D6416" s="734">
        <v>134.2462706950181</v>
      </c>
      <c r="E6416" s="733"/>
    </row>
    <row r="6417" spans="2:5">
      <c r="B6417" s="121">
        <v>543</v>
      </c>
      <c r="C6417" s="121">
        <v>7</v>
      </c>
      <c r="D6417" s="734">
        <v>142.64496043782086</v>
      </c>
      <c r="E6417" s="733"/>
    </row>
    <row r="6418" spans="2:5">
      <c r="B6418" s="121">
        <v>543</v>
      </c>
      <c r="C6418" s="121">
        <v>8</v>
      </c>
      <c r="D6418" s="734">
        <v>140.36343861820657</v>
      </c>
      <c r="E6418" s="733"/>
    </row>
    <row r="6419" spans="2:5">
      <c r="B6419" s="121">
        <v>544</v>
      </c>
      <c r="C6419" s="121">
        <v>1</v>
      </c>
      <c r="D6419" s="734">
        <v>5</v>
      </c>
      <c r="E6419" s="733"/>
    </row>
    <row r="6420" spans="2:5">
      <c r="B6420" s="121">
        <v>545</v>
      </c>
      <c r="C6420" s="121">
        <v>1</v>
      </c>
      <c r="D6420" s="734">
        <v>5</v>
      </c>
      <c r="E6420" s="733"/>
    </row>
    <row r="6421" spans="2:5">
      <c r="B6421" s="121">
        <v>545</v>
      </c>
      <c r="C6421" s="121">
        <v>2</v>
      </c>
      <c r="D6421" s="734">
        <v>99.925552406168322</v>
      </c>
      <c r="E6421" s="733"/>
    </row>
    <row r="6422" spans="2:5">
      <c r="B6422" s="121">
        <v>545</v>
      </c>
      <c r="C6422" s="121">
        <v>3</v>
      </c>
      <c r="D6422" s="734">
        <v>123.5901585560018</v>
      </c>
      <c r="E6422" s="733"/>
    </row>
    <row r="6423" spans="2:5">
      <c r="B6423" s="121">
        <v>545</v>
      </c>
      <c r="C6423" s="121">
        <v>4</v>
      </c>
      <c r="D6423" s="734">
        <v>140.65144238823012</v>
      </c>
      <c r="E6423" s="733"/>
    </row>
    <row r="6424" spans="2:5">
      <c r="B6424" s="121">
        <v>545</v>
      </c>
      <c r="C6424" s="121">
        <v>5</v>
      </c>
      <c r="D6424" s="734">
        <v>136.63993126341526</v>
      </c>
      <c r="E6424" s="733"/>
    </row>
    <row r="6425" spans="2:5">
      <c r="B6425" s="121">
        <v>545</v>
      </c>
      <c r="C6425" s="121">
        <v>6</v>
      </c>
      <c r="D6425" s="734">
        <v>138.78992382370035</v>
      </c>
      <c r="E6425" s="733"/>
    </row>
    <row r="6426" spans="2:5">
      <c r="B6426" s="121">
        <v>545</v>
      </c>
      <c r="C6426" s="121">
        <v>7</v>
      </c>
      <c r="D6426" s="734">
        <v>143.96214514408001</v>
      </c>
      <c r="E6426" s="733"/>
    </row>
    <row r="6427" spans="2:5">
      <c r="B6427" s="121">
        <v>545</v>
      </c>
      <c r="C6427" s="121">
        <v>8</v>
      </c>
      <c r="D6427" s="734">
        <v>146.32003207465331</v>
      </c>
      <c r="E6427" s="733"/>
    </row>
    <row r="6428" spans="2:5">
      <c r="B6428" s="121">
        <v>545</v>
      </c>
      <c r="C6428" s="121">
        <v>9</v>
      </c>
      <c r="D6428" s="734">
        <v>141.20278709628172</v>
      </c>
      <c r="E6428" s="733"/>
    </row>
    <row r="6429" spans="2:5">
      <c r="B6429" s="121">
        <v>545</v>
      </c>
      <c r="C6429" s="121">
        <v>10</v>
      </c>
      <c r="D6429" s="734">
        <v>138.42681244785169</v>
      </c>
      <c r="E6429" s="733"/>
    </row>
    <row r="6430" spans="2:5">
      <c r="B6430" s="121">
        <v>545</v>
      </c>
      <c r="C6430" s="121">
        <v>11</v>
      </c>
      <c r="D6430" s="734">
        <v>135.97856471368448</v>
      </c>
      <c r="E6430" s="733"/>
    </row>
    <row r="6431" spans="2:5">
      <c r="B6431" s="121">
        <v>545</v>
      </c>
      <c r="C6431" s="121">
        <v>12</v>
      </c>
      <c r="D6431" s="734">
        <v>137.89417552015956</v>
      </c>
      <c r="E6431" s="733"/>
    </row>
    <row r="6432" spans="2:5">
      <c r="B6432" s="121">
        <v>545</v>
      </c>
      <c r="C6432" s="121">
        <v>13</v>
      </c>
      <c r="D6432" s="734">
        <v>138.68347143936612</v>
      </c>
      <c r="E6432" s="733"/>
    </row>
    <row r="6433" spans="2:5">
      <c r="B6433" s="121">
        <v>545</v>
      </c>
      <c r="C6433" s="121">
        <v>14</v>
      </c>
      <c r="D6433" s="734">
        <v>146.73148901965467</v>
      </c>
      <c r="E6433" s="733"/>
    </row>
    <row r="6434" spans="2:5">
      <c r="B6434" s="121">
        <v>545</v>
      </c>
      <c r="C6434" s="121">
        <v>15</v>
      </c>
      <c r="D6434" s="734">
        <v>136.58351480158103</v>
      </c>
      <c r="E6434" s="733"/>
    </row>
    <row r="6435" spans="2:5">
      <c r="B6435" s="121">
        <v>545</v>
      </c>
      <c r="C6435" s="121">
        <v>16</v>
      </c>
      <c r="D6435" s="734">
        <v>144.68113768657264</v>
      </c>
      <c r="E6435" s="733"/>
    </row>
    <row r="6436" spans="2:5">
      <c r="B6436" s="121">
        <v>545</v>
      </c>
      <c r="C6436" s="121">
        <v>17</v>
      </c>
      <c r="D6436" s="734">
        <v>136.41917669546805</v>
      </c>
      <c r="E6436" s="733"/>
    </row>
    <row r="6437" spans="2:5">
      <c r="B6437" s="121">
        <v>545</v>
      </c>
      <c r="C6437" s="121">
        <v>18</v>
      </c>
      <c r="D6437" s="734">
        <v>134.53986204547408</v>
      </c>
      <c r="E6437" s="733"/>
    </row>
    <row r="6438" spans="2:5">
      <c r="B6438" s="121">
        <v>545</v>
      </c>
      <c r="C6438" s="121">
        <v>19</v>
      </c>
      <c r="D6438" s="734">
        <v>135.86293148814357</v>
      </c>
      <c r="E6438" s="733"/>
    </row>
    <row r="6439" spans="2:5">
      <c r="B6439" s="121">
        <v>545</v>
      </c>
      <c r="C6439" s="121">
        <v>20</v>
      </c>
      <c r="D6439" s="734">
        <v>145.29050222117303</v>
      </c>
      <c r="E6439" s="733"/>
    </row>
    <row r="6440" spans="2:5">
      <c r="B6440" s="121">
        <v>545</v>
      </c>
      <c r="C6440" s="121">
        <v>21</v>
      </c>
      <c r="D6440" s="734">
        <v>144.71686313986302</v>
      </c>
      <c r="E6440" s="733"/>
    </row>
    <row r="6441" spans="2:5">
      <c r="B6441" s="121">
        <v>545</v>
      </c>
      <c r="C6441" s="121">
        <v>22</v>
      </c>
      <c r="D6441" s="734">
        <v>143.46294884231546</v>
      </c>
      <c r="E6441" s="733"/>
    </row>
    <row r="6442" spans="2:5">
      <c r="B6442" s="121">
        <v>545</v>
      </c>
      <c r="C6442" s="121">
        <v>23</v>
      </c>
      <c r="D6442" s="734">
        <v>138.36903416325069</v>
      </c>
      <c r="E6442" s="733"/>
    </row>
    <row r="6443" spans="2:5">
      <c r="B6443" s="121">
        <v>545</v>
      </c>
      <c r="C6443" s="121">
        <v>24</v>
      </c>
      <c r="D6443" s="734">
        <v>145.53723848388219</v>
      </c>
      <c r="E6443" s="733"/>
    </row>
    <row r="6444" spans="2:5">
      <c r="B6444" s="121">
        <v>545</v>
      </c>
      <c r="C6444" s="121">
        <v>25</v>
      </c>
      <c r="D6444" s="734">
        <v>138.63082429113652</v>
      </c>
      <c r="E6444" s="733"/>
    </row>
    <row r="6445" spans="2:5">
      <c r="B6445" s="121">
        <v>545</v>
      </c>
      <c r="C6445" s="121">
        <v>26</v>
      </c>
      <c r="D6445" s="734">
        <v>139.75161429747197</v>
      </c>
      <c r="E6445" s="733"/>
    </row>
    <row r="6446" spans="2:5">
      <c r="B6446" s="121">
        <v>545</v>
      </c>
      <c r="C6446" s="121">
        <v>27</v>
      </c>
      <c r="D6446" s="734">
        <v>137.46242575723136</v>
      </c>
      <c r="E6446" s="733"/>
    </row>
    <row r="6447" spans="2:5">
      <c r="B6447" s="121">
        <v>545</v>
      </c>
      <c r="C6447" s="121">
        <v>28</v>
      </c>
      <c r="D6447" s="734">
        <v>146.70021164547916</v>
      </c>
      <c r="E6447" s="733"/>
    </row>
    <row r="6448" spans="2:5">
      <c r="B6448" s="121">
        <v>545</v>
      </c>
      <c r="C6448" s="121">
        <v>29</v>
      </c>
      <c r="D6448" s="734">
        <v>143.06397767898912</v>
      </c>
      <c r="E6448" s="733"/>
    </row>
    <row r="6449" spans="2:5">
      <c r="B6449" s="121">
        <v>545</v>
      </c>
      <c r="C6449" s="121">
        <v>30</v>
      </c>
      <c r="D6449" s="734">
        <v>137.63811001686116</v>
      </c>
      <c r="E6449" s="733"/>
    </row>
    <row r="6450" spans="2:5">
      <c r="B6450" s="121">
        <v>545</v>
      </c>
      <c r="C6450" s="121">
        <v>31</v>
      </c>
      <c r="D6450" s="734">
        <v>142.54564578405129</v>
      </c>
      <c r="E6450" s="733"/>
    </row>
    <row r="6451" spans="2:5">
      <c r="B6451" s="121">
        <v>545</v>
      </c>
      <c r="C6451" s="121">
        <v>32</v>
      </c>
      <c r="D6451" s="734">
        <v>136.69636154277987</v>
      </c>
      <c r="E6451" s="733"/>
    </row>
    <row r="6452" spans="2:5">
      <c r="B6452" s="121">
        <v>545</v>
      </c>
      <c r="C6452" s="121">
        <v>33</v>
      </c>
      <c r="D6452" s="734">
        <v>140.76767556798214</v>
      </c>
      <c r="E6452" s="733"/>
    </row>
    <row r="6453" spans="2:5">
      <c r="B6453" s="121">
        <v>546</v>
      </c>
      <c r="C6453" s="121">
        <v>1</v>
      </c>
      <c r="D6453" s="734">
        <v>5</v>
      </c>
      <c r="E6453" s="733"/>
    </row>
    <row r="6454" spans="2:5">
      <c r="B6454" s="121">
        <v>547</v>
      </c>
      <c r="C6454" s="121">
        <v>1</v>
      </c>
      <c r="D6454" s="734">
        <v>5</v>
      </c>
      <c r="E6454" s="733"/>
    </row>
    <row r="6455" spans="2:5">
      <c r="B6455" s="121">
        <v>547</v>
      </c>
      <c r="C6455" s="121">
        <v>2</v>
      </c>
      <c r="D6455" s="734">
        <v>103.20613057003014</v>
      </c>
      <c r="E6455" s="733"/>
    </row>
    <row r="6456" spans="2:5">
      <c r="B6456" s="121">
        <v>548</v>
      </c>
      <c r="C6456" s="121">
        <v>1</v>
      </c>
      <c r="D6456" s="734">
        <v>5</v>
      </c>
      <c r="E6456" s="733"/>
    </row>
    <row r="6457" spans="2:5">
      <c r="B6457" s="121">
        <v>549</v>
      </c>
      <c r="C6457" s="121">
        <v>1</v>
      </c>
      <c r="D6457" s="734">
        <v>5</v>
      </c>
      <c r="E6457" s="733"/>
    </row>
    <row r="6458" spans="2:5">
      <c r="B6458" s="121">
        <v>550</v>
      </c>
      <c r="C6458" s="121">
        <v>1</v>
      </c>
      <c r="D6458" s="734">
        <v>5</v>
      </c>
      <c r="E6458" s="733"/>
    </row>
    <row r="6459" spans="2:5">
      <c r="B6459" s="121">
        <v>551</v>
      </c>
      <c r="C6459" s="121">
        <v>1</v>
      </c>
      <c r="D6459" s="734">
        <v>5</v>
      </c>
      <c r="E6459" s="733"/>
    </row>
    <row r="6460" spans="2:5">
      <c r="B6460" s="121">
        <v>551</v>
      </c>
      <c r="C6460" s="121">
        <v>2</v>
      </c>
      <c r="D6460" s="734">
        <v>100.52549289429227</v>
      </c>
      <c r="E6460" s="733"/>
    </row>
    <row r="6461" spans="2:5">
      <c r="B6461" s="121">
        <v>551</v>
      </c>
      <c r="C6461" s="121">
        <v>3</v>
      </c>
      <c r="D6461" s="734">
        <v>117.6523105052793</v>
      </c>
      <c r="E6461" s="733"/>
    </row>
    <row r="6462" spans="2:5">
      <c r="B6462" s="121">
        <v>551</v>
      </c>
      <c r="C6462" s="121">
        <v>4</v>
      </c>
      <c r="D6462" s="734">
        <v>145.34083921480558</v>
      </c>
      <c r="E6462" s="733"/>
    </row>
    <row r="6463" spans="2:5">
      <c r="B6463" s="121">
        <v>551</v>
      </c>
      <c r="C6463" s="121">
        <v>5</v>
      </c>
      <c r="D6463" s="734">
        <v>147.223743186436</v>
      </c>
      <c r="E6463" s="733"/>
    </row>
    <row r="6464" spans="2:5">
      <c r="B6464" s="121">
        <v>551</v>
      </c>
      <c r="C6464" s="121">
        <v>6</v>
      </c>
      <c r="D6464" s="734">
        <v>138.22046844151546</v>
      </c>
      <c r="E6464" s="733"/>
    </row>
    <row r="6465" spans="2:5">
      <c r="B6465" s="121">
        <v>551</v>
      </c>
      <c r="C6465" s="121">
        <v>7</v>
      </c>
      <c r="D6465" s="734">
        <v>142.67656981546315</v>
      </c>
      <c r="E6465" s="733"/>
    </row>
    <row r="6466" spans="2:5">
      <c r="B6466" s="121">
        <v>551</v>
      </c>
      <c r="C6466" s="121">
        <v>8</v>
      </c>
      <c r="D6466" s="734">
        <v>142.72986074140229</v>
      </c>
      <c r="E6466" s="733"/>
    </row>
    <row r="6467" spans="2:5">
      <c r="B6467" s="121">
        <v>551</v>
      </c>
      <c r="C6467" s="121">
        <v>9</v>
      </c>
      <c r="D6467" s="734">
        <v>144.25064764642661</v>
      </c>
      <c r="E6467" s="733"/>
    </row>
    <row r="6468" spans="2:5">
      <c r="B6468" s="121">
        <v>551</v>
      </c>
      <c r="C6468" s="121">
        <v>10</v>
      </c>
      <c r="D6468" s="734">
        <v>142.24293192150319</v>
      </c>
      <c r="E6468" s="733"/>
    </row>
    <row r="6469" spans="2:5">
      <c r="B6469" s="121">
        <v>551</v>
      </c>
      <c r="C6469" s="121">
        <v>11</v>
      </c>
      <c r="D6469" s="734">
        <v>141.02085781837314</v>
      </c>
      <c r="E6469" s="733"/>
    </row>
    <row r="6470" spans="2:5">
      <c r="B6470" s="121">
        <v>552</v>
      </c>
      <c r="C6470" s="121">
        <v>1</v>
      </c>
      <c r="D6470" s="734">
        <v>5</v>
      </c>
      <c r="E6470" s="733"/>
    </row>
    <row r="6471" spans="2:5">
      <c r="B6471" s="121">
        <v>553</v>
      </c>
      <c r="C6471" s="121">
        <v>1</v>
      </c>
      <c r="D6471" s="734">
        <v>5</v>
      </c>
      <c r="E6471" s="733"/>
    </row>
    <row r="6472" spans="2:5">
      <c r="B6472" s="121">
        <v>553</v>
      </c>
      <c r="C6472" s="121">
        <v>2</v>
      </c>
      <c r="D6472" s="734">
        <v>96.07027122391915</v>
      </c>
      <c r="E6472" s="733"/>
    </row>
    <row r="6473" spans="2:5">
      <c r="B6473" s="121">
        <v>553</v>
      </c>
      <c r="C6473" s="121">
        <v>3</v>
      </c>
      <c r="D6473" s="734">
        <v>122.70977081621407</v>
      </c>
      <c r="E6473" s="733"/>
    </row>
    <row r="6474" spans="2:5">
      <c r="B6474" s="121">
        <v>553</v>
      </c>
      <c r="C6474" s="121">
        <v>4</v>
      </c>
      <c r="D6474" s="734">
        <v>146.58589083567807</v>
      </c>
      <c r="E6474" s="733"/>
    </row>
    <row r="6475" spans="2:5">
      <c r="B6475" s="121">
        <v>553</v>
      </c>
      <c r="C6475" s="121">
        <v>5</v>
      </c>
      <c r="D6475" s="734">
        <v>136.05001297977557</v>
      </c>
      <c r="E6475" s="733"/>
    </row>
    <row r="6476" spans="2:5">
      <c r="B6476" s="121">
        <v>553</v>
      </c>
      <c r="C6476" s="121">
        <v>6</v>
      </c>
      <c r="D6476" s="734">
        <v>134.77652074504658</v>
      </c>
      <c r="E6476" s="733"/>
    </row>
    <row r="6477" spans="2:5">
      <c r="B6477" s="121">
        <v>553</v>
      </c>
      <c r="C6477" s="121">
        <v>7</v>
      </c>
      <c r="D6477" s="734">
        <v>140.92904186918486</v>
      </c>
      <c r="E6477" s="733"/>
    </row>
    <row r="6478" spans="2:5">
      <c r="B6478" s="121">
        <v>553</v>
      </c>
      <c r="C6478" s="121">
        <v>8</v>
      </c>
      <c r="D6478" s="734">
        <v>138.69120414971451</v>
      </c>
      <c r="E6478" s="733"/>
    </row>
    <row r="6479" spans="2:5">
      <c r="B6479" s="121">
        <v>553</v>
      </c>
      <c r="C6479" s="121">
        <v>9</v>
      </c>
      <c r="D6479" s="734">
        <v>145.66991411015309</v>
      </c>
      <c r="E6479" s="733"/>
    </row>
    <row r="6480" spans="2:5">
      <c r="B6480" s="121">
        <v>553</v>
      </c>
      <c r="C6480" s="121">
        <v>10</v>
      </c>
      <c r="D6480" s="734">
        <v>142.86873724882034</v>
      </c>
      <c r="E6480" s="733"/>
    </row>
    <row r="6481" spans="2:5">
      <c r="B6481" s="121">
        <v>553</v>
      </c>
      <c r="C6481" s="121">
        <v>11</v>
      </c>
      <c r="D6481" s="734">
        <v>139.23256158668772</v>
      </c>
      <c r="E6481" s="733"/>
    </row>
    <row r="6482" spans="2:5">
      <c r="B6482" s="121">
        <v>554</v>
      </c>
      <c r="C6482" s="121">
        <v>1</v>
      </c>
      <c r="D6482" s="734">
        <v>5</v>
      </c>
      <c r="E6482" s="733"/>
    </row>
    <row r="6483" spans="2:5">
      <c r="B6483" s="121">
        <v>554</v>
      </c>
      <c r="C6483" s="121">
        <v>2</v>
      </c>
      <c r="D6483" s="734">
        <v>98.074441905214115</v>
      </c>
      <c r="E6483" s="733"/>
    </row>
    <row r="6484" spans="2:5">
      <c r="B6484" s="121">
        <v>554</v>
      </c>
      <c r="C6484" s="121">
        <v>3</v>
      </c>
      <c r="D6484" s="734">
        <v>116.60312267340527</v>
      </c>
      <c r="E6484" s="733"/>
    </row>
    <row r="6485" spans="2:5">
      <c r="B6485" s="121">
        <v>554</v>
      </c>
      <c r="C6485" s="121">
        <v>4</v>
      </c>
      <c r="D6485" s="734">
        <v>145.98006953512942</v>
      </c>
      <c r="E6485" s="733"/>
    </row>
    <row r="6486" spans="2:5">
      <c r="B6486" s="121">
        <v>554</v>
      </c>
      <c r="C6486" s="121">
        <v>5</v>
      </c>
      <c r="D6486" s="734">
        <v>146.35698910836217</v>
      </c>
      <c r="E6486" s="733"/>
    </row>
    <row r="6487" spans="2:5">
      <c r="B6487" s="121">
        <v>554</v>
      </c>
      <c r="C6487" s="121">
        <v>6</v>
      </c>
      <c r="D6487" s="734">
        <v>141.6591379359439</v>
      </c>
      <c r="E6487" s="733"/>
    </row>
    <row r="6488" spans="2:5">
      <c r="B6488" s="121">
        <v>554</v>
      </c>
      <c r="C6488" s="121">
        <v>7</v>
      </c>
      <c r="D6488" s="734">
        <v>142.26711735051126</v>
      </c>
      <c r="E6488" s="733"/>
    </row>
    <row r="6489" spans="2:5">
      <c r="B6489" s="121">
        <v>555</v>
      </c>
      <c r="C6489" s="121">
        <v>1</v>
      </c>
      <c r="D6489" s="734">
        <v>5</v>
      </c>
      <c r="E6489" s="733"/>
    </row>
    <row r="6490" spans="2:5">
      <c r="B6490" s="121">
        <v>555</v>
      </c>
      <c r="C6490" s="121">
        <v>2</v>
      </c>
      <c r="D6490" s="734">
        <v>101.88606739347065</v>
      </c>
      <c r="E6490" s="733"/>
    </row>
    <row r="6491" spans="2:5">
      <c r="B6491" s="121">
        <v>555</v>
      </c>
      <c r="C6491" s="121">
        <v>3</v>
      </c>
      <c r="D6491" s="734">
        <v>118.81330788548659</v>
      </c>
      <c r="E6491" s="733"/>
    </row>
    <row r="6492" spans="2:5">
      <c r="B6492" s="121">
        <v>555</v>
      </c>
      <c r="C6492" s="121">
        <v>4</v>
      </c>
      <c r="D6492" s="734">
        <v>144.37569902214247</v>
      </c>
      <c r="E6492" s="733"/>
    </row>
    <row r="6493" spans="2:5">
      <c r="B6493" s="121">
        <v>555</v>
      </c>
      <c r="C6493" s="121">
        <v>5</v>
      </c>
      <c r="D6493" s="734">
        <v>146.74350178626494</v>
      </c>
      <c r="E6493" s="733"/>
    </row>
    <row r="6494" spans="2:5">
      <c r="B6494" s="121">
        <v>555</v>
      </c>
      <c r="C6494" s="121">
        <v>6</v>
      </c>
      <c r="D6494" s="734">
        <v>146.21828730586935</v>
      </c>
      <c r="E6494" s="733"/>
    </row>
    <row r="6495" spans="2:5">
      <c r="B6495" s="121">
        <v>555</v>
      </c>
      <c r="C6495" s="121">
        <v>7</v>
      </c>
      <c r="D6495" s="734">
        <v>142.91529852510075</v>
      </c>
      <c r="E6495" s="733"/>
    </row>
    <row r="6496" spans="2:5">
      <c r="B6496" s="121">
        <v>555</v>
      </c>
      <c r="C6496" s="121">
        <v>8</v>
      </c>
      <c r="D6496" s="734">
        <v>138.77343062025056</v>
      </c>
      <c r="E6496" s="733"/>
    </row>
    <row r="6497" spans="2:5">
      <c r="B6497" s="121">
        <v>555</v>
      </c>
      <c r="C6497" s="121">
        <v>9</v>
      </c>
      <c r="D6497" s="734">
        <v>140.60637080577305</v>
      </c>
      <c r="E6497" s="733"/>
    </row>
    <row r="6498" spans="2:5">
      <c r="B6498" s="121">
        <v>555</v>
      </c>
      <c r="C6498" s="121">
        <v>10</v>
      </c>
      <c r="D6498" s="734">
        <v>137.50401916155863</v>
      </c>
      <c r="E6498" s="733"/>
    </row>
    <row r="6499" spans="2:5">
      <c r="B6499" s="121">
        <v>555</v>
      </c>
      <c r="C6499" s="121">
        <v>11</v>
      </c>
      <c r="D6499" s="734">
        <v>144.38417962434954</v>
      </c>
      <c r="E6499" s="733"/>
    </row>
    <row r="6500" spans="2:5">
      <c r="B6500" s="121">
        <v>555</v>
      </c>
      <c r="C6500" s="121">
        <v>12</v>
      </c>
      <c r="D6500" s="734">
        <v>135.18110398718679</v>
      </c>
      <c r="E6500" s="733"/>
    </row>
    <row r="6501" spans="2:5">
      <c r="B6501" s="121">
        <v>555</v>
      </c>
      <c r="C6501" s="121">
        <v>13</v>
      </c>
      <c r="D6501" s="734">
        <v>141.2897688531302</v>
      </c>
      <c r="E6501" s="733"/>
    </row>
    <row r="6502" spans="2:5">
      <c r="B6502" s="121">
        <v>555</v>
      </c>
      <c r="C6502" s="121">
        <v>14</v>
      </c>
      <c r="D6502" s="734">
        <v>136.69425300258712</v>
      </c>
      <c r="E6502" s="733"/>
    </row>
    <row r="6503" spans="2:5">
      <c r="B6503" s="121">
        <v>555</v>
      </c>
      <c r="C6503" s="121">
        <v>15</v>
      </c>
      <c r="D6503" s="734">
        <v>143.85081699360887</v>
      </c>
      <c r="E6503" s="733"/>
    </row>
    <row r="6504" spans="2:5">
      <c r="B6504" s="121">
        <v>555</v>
      </c>
      <c r="C6504" s="121">
        <v>16</v>
      </c>
      <c r="D6504" s="734">
        <v>137.22896617674621</v>
      </c>
      <c r="E6504" s="733"/>
    </row>
    <row r="6505" spans="2:5">
      <c r="B6505" s="121">
        <v>555</v>
      </c>
      <c r="C6505" s="121">
        <v>17</v>
      </c>
      <c r="D6505" s="734">
        <v>145.95392626448316</v>
      </c>
      <c r="E6505" s="733"/>
    </row>
    <row r="6506" spans="2:5">
      <c r="B6506" s="121">
        <v>555</v>
      </c>
      <c r="C6506" s="121">
        <v>18</v>
      </c>
      <c r="D6506" s="734">
        <v>136.30054354815678</v>
      </c>
      <c r="E6506" s="733"/>
    </row>
    <row r="6507" spans="2:5">
      <c r="B6507" s="121">
        <v>555</v>
      </c>
      <c r="C6507" s="121">
        <v>19</v>
      </c>
      <c r="D6507" s="734">
        <v>134.17809633438887</v>
      </c>
      <c r="E6507" s="733"/>
    </row>
    <row r="6508" spans="2:5">
      <c r="B6508" s="121">
        <v>555</v>
      </c>
      <c r="C6508" s="121">
        <v>20</v>
      </c>
      <c r="D6508" s="734">
        <v>144.23705844207177</v>
      </c>
      <c r="E6508" s="733"/>
    </row>
    <row r="6509" spans="2:5">
      <c r="B6509" s="121">
        <v>555</v>
      </c>
      <c r="C6509" s="121">
        <v>21</v>
      </c>
      <c r="D6509" s="734">
        <v>136.70481405295226</v>
      </c>
      <c r="E6509" s="733"/>
    </row>
    <row r="6510" spans="2:5">
      <c r="B6510" s="121">
        <v>555</v>
      </c>
      <c r="C6510" s="121">
        <v>22</v>
      </c>
      <c r="D6510" s="734">
        <v>138.50571106491424</v>
      </c>
      <c r="E6510" s="733"/>
    </row>
    <row r="6511" spans="2:5">
      <c r="B6511" s="121">
        <v>555</v>
      </c>
      <c r="C6511" s="121">
        <v>23</v>
      </c>
      <c r="D6511" s="734">
        <v>141.51394457468206</v>
      </c>
      <c r="E6511" s="733"/>
    </row>
    <row r="6512" spans="2:5">
      <c r="B6512" s="121">
        <v>555</v>
      </c>
      <c r="C6512" s="121">
        <v>24</v>
      </c>
      <c r="D6512" s="734">
        <v>146.8241351800387</v>
      </c>
      <c r="E6512" s="733"/>
    </row>
    <row r="6513" spans="2:5">
      <c r="B6513" s="121">
        <v>555</v>
      </c>
      <c r="C6513" s="121">
        <v>25</v>
      </c>
      <c r="D6513" s="734">
        <v>143.23453545319867</v>
      </c>
      <c r="E6513" s="733"/>
    </row>
    <row r="6514" spans="2:5">
      <c r="B6514" s="121">
        <v>555</v>
      </c>
      <c r="C6514" s="121">
        <v>26</v>
      </c>
      <c r="D6514" s="734">
        <v>140.24132128865395</v>
      </c>
      <c r="E6514" s="733"/>
    </row>
    <row r="6515" spans="2:5">
      <c r="B6515" s="121">
        <v>555</v>
      </c>
      <c r="C6515" s="121">
        <v>27</v>
      </c>
      <c r="D6515" s="734">
        <v>147.26328435701106</v>
      </c>
      <c r="E6515" s="733"/>
    </row>
    <row r="6516" spans="2:5">
      <c r="B6516" s="121">
        <v>555</v>
      </c>
      <c r="C6516" s="121">
        <v>28</v>
      </c>
      <c r="D6516" s="734">
        <v>136.73634335313284</v>
      </c>
      <c r="E6516" s="733"/>
    </row>
    <row r="6517" spans="2:5">
      <c r="B6517" s="121">
        <v>555</v>
      </c>
      <c r="C6517" s="121">
        <v>29</v>
      </c>
      <c r="D6517" s="734">
        <v>143.25738498241205</v>
      </c>
      <c r="E6517" s="733"/>
    </row>
    <row r="6518" spans="2:5">
      <c r="B6518" s="121">
        <v>555</v>
      </c>
      <c r="C6518" s="121">
        <v>30</v>
      </c>
      <c r="D6518" s="734">
        <v>146.62653337929447</v>
      </c>
      <c r="E6518" s="733"/>
    </row>
    <row r="6519" spans="2:5">
      <c r="B6519" s="121">
        <v>555</v>
      </c>
      <c r="C6519" s="121">
        <v>31</v>
      </c>
      <c r="D6519" s="734">
        <v>142.2604800949386</v>
      </c>
      <c r="E6519" s="733"/>
    </row>
    <row r="6520" spans="2:5">
      <c r="B6520" s="121">
        <v>555</v>
      </c>
      <c r="C6520" s="121">
        <v>32</v>
      </c>
      <c r="D6520" s="734">
        <v>145.52670815100555</v>
      </c>
      <c r="E6520" s="733"/>
    </row>
    <row r="6521" spans="2:5">
      <c r="B6521" s="121">
        <v>555</v>
      </c>
      <c r="C6521" s="121">
        <v>33</v>
      </c>
      <c r="D6521" s="734">
        <v>138.61695403603161</v>
      </c>
      <c r="E6521" s="733"/>
    </row>
    <row r="6522" spans="2:5">
      <c r="B6522" s="121">
        <v>555</v>
      </c>
      <c r="C6522" s="121">
        <v>34</v>
      </c>
      <c r="D6522" s="734">
        <v>136.6533658212166</v>
      </c>
      <c r="E6522" s="733"/>
    </row>
    <row r="6523" spans="2:5">
      <c r="B6523" s="121">
        <v>555</v>
      </c>
      <c r="C6523" s="121">
        <v>35</v>
      </c>
      <c r="D6523" s="734">
        <v>137.31613856703709</v>
      </c>
      <c r="E6523" s="733"/>
    </row>
    <row r="6524" spans="2:5">
      <c r="B6524" s="121">
        <v>555</v>
      </c>
      <c r="C6524" s="121">
        <v>36</v>
      </c>
      <c r="D6524" s="734">
        <v>140.57867977313578</v>
      </c>
      <c r="E6524" s="733"/>
    </row>
    <row r="6525" spans="2:5">
      <c r="B6525" s="121">
        <v>556</v>
      </c>
      <c r="C6525" s="121">
        <v>1</v>
      </c>
      <c r="D6525" s="734">
        <v>5</v>
      </c>
      <c r="E6525" s="733"/>
    </row>
    <row r="6526" spans="2:5">
      <c r="B6526" s="121">
        <v>557</v>
      </c>
      <c r="C6526" s="121">
        <v>1</v>
      </c>
      <c r="D6526" s="734">
        <v>5</v>
      </c>
      <c r="E6526" s="733"/>
    </row>
    <row r="6527" spans="2:5">
      <c r="B6527" s="121">
        <v>558</v>
      </c>
      <c r="C6527" s="121">
        <v>1</v>
      </c>
      <c r="D6527" s="734">
        <v>5</v>
      </c>
      <c r="E6527" s="733"/>
    </row>
    <row r="6528" spans="2:5">
      <c r="B6528" s="121">
        <v>559</v>
      </c>
      <c r="C6528" s="121">
        <v>1</v>
      </c>
      <c r="D6528" s="734">
        <v>5</v>
      </c>
      <c r="E6528" s="733"/>
    </row>
    <row r="6529" spans="2:5">
      <c r="B6529" s="121">
        <v>559</v>
      </c>
      <c r="C6529" s="121">
        <v>2</v>
      </c>
      <c r="D6529" s="734">
        <v>100.4766469268596</v>
      </c>
      <c r="E6529" s="733"/>
    </row>
    <row r="6530" spans="2:5">
      <c r="B6530" s="121">
        <v>559</v>
      </c>
      <c r="C6530" s="121">
        <v>3</v>
      </c>
      <c r="D6530" s="734">
        <v>119.58843347650215</v>
      </c>
      <c r="E6530" s="733"/>
    </row>
    <row r="6531" spans="2:5">
      <c r="B6531" s="121">
        <v>559</v>
      </c>
      <c r="C6531" s="121">
        <v>4</v>
      </c>
      <c r="D6531" s="734">
        <v>136.44919005062837</v>
      </c>
      <c r="E6531" s="733"/>
    </row>
    <row r="6532" spans="2:5">
      <c r="B6532" s="121">
        <v>559</v>
      </c>
      <c r="C6532" s="121">
        <v>5</v>
      </c>
      <c r="D6532" s="734">
        <v>136.0279764336027</v>
      </c>
      <c r="E6532" s="733"/>
    </row>
    <row r="6533" spans="2:5">
      <c r="B6533" s="121">
        <v>559</v>
      </c>
      <c r="C6533" s="121">
        <v>6</v>
      </c>
      <c r="D6533" s="734">
        <v>134.61044684529824</v>
      </c>
      <c r="E6533" s="733"/>
    </row>
    <row r="6534" spans="2:5">
      <c r="B6534" s="121">
        <v>559</v>
      </c>
      <c r="C6534" s="121">
        <v>7</v>
      </c>
      <c r="D6534" s="734">
        <v>134.2354307252447</v>
      </c>
      <c r="E6534" s="733"/>
    </row>
    <row r="6535" spans="2:5">
      <c r="B6535" s="121">
        <v>559</v>
      </c>
      <c r="C6535" s="121">
        <v>8</v>
      </c>
      <c r="D6535" s="734">
        <v>136.22955120253852</v>
      </c>
      <c r="E6535" s="733"/>
    </row>
    <row r="6536" spans="2:5">
      <c r="B6536" s="121">
        <v>559</v>
      </c>
      <c r="C6536" s="121">
        <v>9</v>
      </c>
      <c r="D6536" s="734">
        <v>136.66261992895105</v>
      </c>
      <c r="E6536" s="733"/>
    </row>
    <row r="6537" spans="2:5">
      <c r="B6537" s="121">
        <v>559</v>
      </c>
      <c r="C6537" s="121">
        <v>10</v>
      </c>
      <c r="D6537" s="734">
        <v>138.35151922712939</v>
      </c>
      <c r="E6537" s="733"/>
    </row>
    <row r="6538" spans="2:5">
      <c r="B6538" s="121">
        <v>559</v>
      </c>
      <c r="C6538" s="121">
        <v>11</v>
      </c>
      <c r="D6538" s="734">
        <v>143.91547421004151</v>
      </c>
      <c r="E6538" s="733"/>
    </row>
    <row r="6539" spans="2:5">
      <c r="B6539" s="121">
        <v>559</v>
      </c>
      <c r="C6539" s="121">
        <v>12</v>
      </c>
      <c r="D6539" s="734">
        <v>140.83024166180695</v>
      </c>
      <c r="E6539" s="733"/>
    </row>
    <row r="6540" spans="2:5">
      <c r="B6540" s="121">
        <v>560</v>
      </c>
      <c r="C6540" s="121">
        <v>1</v>
      </c>
      <c r="D6540" s="734">
        <v>5</v>
      </c>
      <c r="E6540" s="733"/>
    </row>
    <row r="6541" spans="2:5">
      <c r="B6541" s="121">
        <v>560</v>
      </c>
      <c r="C6541" s="121">
        <v>2</v>
      </c>
      <c r="D6541" s="734">
        <v>94.404613064843815</v>
      </c>
      <c r="E6541" s="733"/>
    </row>
    <row r="6542" spans="2:5">
      <c r="B6542" s="121">
        <v>560</v>
      </c>
      <c r="C6542" s="121">
        <v>3</v>
      </c>
      <c r="D6542" s="734">
        <v>116.92091880942112</v>
      </c>
      <c r="E6542" s="733"/>
    </row>
    <row r="6543" spans="2:5">
      <c r="B6543" s="121">
        <v>560</v>
      </c>
      <c r="C6543" s="121">
        <v>4</v>
      </c>
      <c r="D6543" s="734">
        <v>146.75695548391454</v>
      </c>
      <c r="E6543" s="733"/>
    </row>
    <row r="6544" spans="2:5">
      <c r="B6544" s="121">
        <v>561</v>
      </c>
      <c r="C6544" s="121">
        <v>1</v>
      </c>
      <c r="D6544" s="734">
        <v>5</v>
      </c>
      <c r="E6544" s="733"/>
    </row>
    <row r="6545" spans="2:5">
      <c r="B6545" s="121">
        <v>561</v>
      </c>
      <c r="C6545" s="121">
        <v>2</v>
      </c>
      <c r="D6545" s="734">
        <v>101.96794433582377</v>
      </c>
      <c r="E6545" s="733"/>
    </row>
    <row r="6546" spans="2:5">
      <c r="B6546" s="121">
        <v>561</v>
      </c>
      <c r="C6546" s="121">
        <v>3</v>
      </c>
      <c r="D6546" s="734">
        <v>121.49136349734231</v>
      </c>
      <c r="E6546" s="733"/>
    </row>
    <row r="6547" spans="2:5">
      <c r="B6547" s="121">
        <v>561</v>
      </c>
      <c r="C6547" s="121">
        <v>4</v>
      </c>
      <c r="D6547" s="734">
        <v>143.06955153128041</v>
      </c>
      <c r="E6547" s="733"/>
    </row>
    <row r="6548" spans="2:5">
      <c r="B6548" s="121">
        <v>561</v>
      </c>
      <c r="C6548" s="121">
        <v>5</v>
      </c>
      <c r="D6548" s="734">
        <v>136.21767636875242</v>
      </c>
      <c r="E6548" s="733"/>
    </row>
    <row r="6549" spans="2:5">
      <c r="B6549" s="121">
        <v>561</v>
      </c>
      <c r="C6549" s="121">
        <v>6</v>
      </c>
      <c r="D6549" s="734">
        <v>140.83498918590263</v>
      </c>
      <c r="E6549" s="733"/>
    </row>
    <row r="6550" spans="2:5">
      <c r="B6550" s="121">
        <v>561</v>
      </c>
      <c r="C6550" s="121">
        <v>7</v>
      </c>
      <c r="D6550" s="734">
        <v>134.93587281807396</v>
      </c>
      <c r="E6550" s="733"/>
    </row>
    <row r="6551" spans="2:5">
      <c r="B6551" s="121">
        <v>561</v>
      </c>
      <c r="C6551" s="121">
        <v>8</v>
      </c>
      <c r="D6551" s="734">
        <v>137.51889656645881</v>
      </c>
      <c r="E6551" s="733"/>
    </row>
    <row r="6552" spans="2:5">
      <c r="B6552" s="121">
        <v>561</v>
      </c>
      <c r="C6552" s="121">
        <v>9</v>
      </c>
      <c r="D6552" s="734">
        <v>146.46942103245797</v>
      </c>
      <c r="E6552" s="733"/>
    </row>
    <row r="6553" spans="2:5">
      <c r="B6553" s="121">
        <v>561</v>
      </c>
      <c r="C6553" s="121">
        <v>10</v>
      </c>
      <c r="D6553" s="734">
        <v>141.66708787035805</v>
      </c>
      <c r="E6553" s="733"/>
    </row>
    <row r="6554" spans="2:5">
      <c r="B6554" s="121">
        <v>561</v>
      </c>
      <c r="C6554" s="121">
        <v>11</v>
      </c>
      <c r="D6554" s="734">
        <v>139.01984428185747</v>
      </c>
      <c r="E6554" s="733"/>
    </row>
    <row r="6555" spans="2:5">
      <c r="B6555" s="121">
        <v>561</v>
      </c>
      <c r="C6555" s="121">
        <v>12</v>
      </c>
      <c r="D6555" s="734">
        <v>141.21162987491425</v>
      </c>
      <c r="E6555" s="733"/>
    </row>
    <row r="6556" spans="2:5">
      <c r="B6556" s="121">
        <v>561</v>
      </c>
      <c r="C6556" s="121">
        <v>13</v>
      </c>
      <c r="D6556" s="734">
        <v>138.9942100033125</v>
      </c>
      <c r="E6556" s="733"/>
    </row>
    <row r="6557" spans="2:5">
      <c r="B6557" s="121">
        <v>561</v>
      </c>
      <c r="C6557" s="121">
        <v>14</v>
      </c>
      <c r="D6557" s="734">
        <v>139.07569776387464</v>
      </c>
      <c r="E6557" s="733"/>
    </row>
    <row r="6558" spans="2:5">
      <c r="B6558" s="121">
        <v>561</v>
      </c>
      <c r="C6558" s="121">
        <v>15</v>
      </c>
      <c r="D6558" s="734">
        <v>145.80552366500538</v>
      </c>
      <c r="E6558" s="733"/>
    </row>
    <row r="6559" spans="2:5">
      <c r="B6559" s="121">
        <v>561</v>
      </c>
      <c r="C6559" s="121">
        <v>16</v>
      </c>
      <c r="D6559" s="734">
        <v>146.72704432159694</v>
      </c>
      <c r="E6559" s="733"/>
    </row>
    <row r="6560" spans="2:5">
      <c r="B6560" s="121">
        <v>561</v>
      </c>
      <c r="C6560" s="121">
        <v>17</v>
      </c>
      <c r="D6560" s="734">
        <v>134.2449317180876</v>
      </c>
      <c r="E6560" s="733"/>
    </row>
    <row r="6561" spans="2:5">
      <c r="B6561" s="121">
        <v>561</v>
      </c>
      <c r="C6561" s="121">
        <v>18</v>
      </c>
      <c r="D6561" s="734">
        <v>140.26139344723302</v>
      </c>
      <c r="E6561" s="733"/>
    </row>
    <row r="6562" spans="2:5">
      <c r="B6562" s="121">
        <v>561</v>
      </c>
      <c r="C6562" s="121">
        <v>19</v>
      </c>
      <c r="D6562" s="734">
        <v>139.52942018769059</v>
      </c>
      <c r="E6562" s="733"/>
    </row>
    <row r="6563" spans="2:5">
      <c r="B6563" s="121">
        <v>561</v>
      </c>
      <c r="C6563" s="121">
        <v>20</v>
      </c>
      <c r="D6563" s="734">
        <v>135.33601768622793</v>
      </c>
      <c r="E6563" s="733"/>
    </row>
    <row r="6564" spans="2:5">
      <c r="B6564" s="121">
        <v>561</v>
      </c>
      <c r="C6564" s="121">
        <v>21</v>
      </c>
      <c r="D6564" s="734">
        <v>136.90035885410541</v>
      </c>
      <c r="E6564" s="733"/>
    </row>
    <row r="6565" spans="2:5">
      <c r="B6565" s="121">
        <v>561</v>
      </c>
      <c r="C6565" s="121">
        <v>22</v>
      </c>
      <c r="D6565" s="734">
        <v>138.31755531870095</v>
      </c>
      <c r="E6565" s="733"/>
    </row>
    <row r="6566" spans="2:5">
      <c r="B6566" s="121">
        <v>561</v>
      </c>
      <c r="C6566" s="121">
        <v>23</v>
      </c>
      <c r="D6566" s="734">
        <v>135.36529591774675</v>
      </c>
      <c r="E6566" s="733"/>
    </row>
    <row r="6567" spans="2:5">
      <c r="B6567" s="121">
        <v>561</v>
      </c>
      <c r="C6567" s="121">
        <v>24</v>
      </c>
      <c r="D6567" s="734">
        <v>138.43610926506213</v>
      </c>
      <c r="E6567" s="733"/>
    </row>
    <row r="6568" spans="2:5">
      <c r="B6568" s="121">
        <v>562</v>
      </c>
      <c r="C6568" s="121">
        <v>1</v>
      </c>
      <c r="D6568" s="734">
        <v>5</v>
      </c>
      <c r="E6568" s="733"/>
    </row>
    <row r="6569" spans="2:5">
      <c r="B6569" s="121">
        <v>562</v>
      </c>
      <c r="C6569" s="121">
        <v>2</v>
      </c>
      <c r="D6569" s="734">
        <v>101.70765880130506</v>
      </c>
      <c r="E6569" s="733"/>
    </row>
    <row r="6570" spans="2:5">
      <c r="B6570" s="121">
        <v>562</v>
      </c>
      <c r="C6570" s="121">
        <v>3</v>
      </c>
      <c r="D6570" s="734">
        <v>114.61723322959202</v>
      </c>
      <c r="E6570" s="733"/>
    </row>
    <row r="6571" spans="2:5">
      <c r="B6571" s="121">
        <v>562</v>
      </c>
      <c r="C6571" s="121">
        <v>4</v>
      </c>
      <c r="D6571" s="734">
        <v>143.76262352805077</v>
      </c>
      <c r="E6571" s="733"/>
    </row>
    <row r="6572" spans="2:5">
      <c r="B6572" s="121">
        <v>562</v>
      </c>
      <c r="C6572" s="121">
        <v>5</v>
      </c>
      <c r="D6572" s="734">
        <v>136.32702983460419</v>
      </c>
      <c r="E6572" s="733"/>
    </row>
    <row r="6573" spans="2:5">
      <c r="B6573" s="121">
        <v>562</v>
      </c>
      <c r="C6573" s="121">
        <v>6</v>
      </c>
      <c r="D6573" s="734">
        <v>139.52488890328991</v>
      </c>
      <c r="E6573" s="733"/>
    </row>
    <row r="6574" spans="2:5">
      <c r="B6574" s="121">
        <v>562</v>
      </c>
      <c r="C6574" s="121">
        <v>7</v>
      </c>
      <c r="D6574" s="734">
        <v>140.56714801764787</v>
      </c>
      <c r="E6574" s="733"/>
    </row>
    <row r="6575" spans="2:5">
      <c r="B6575" s="121">
        <v>562</v>
      </c>
      <c r="C6575" s="121">
        <v>8</v>
      </c>
      <c r="D6575" s="734">
        <v>134.68196211984284</v>
      </c>
      <c r="E6575" s="733"/>
    </row>
    <row r="6576" spans="2:5">
      <c r="B6576" s="121">
        <v>562</v>
      </c>
      <c r="C6576" s="121">
        <v>9</v>
      </c>
      <c r="D6576" s="734">
        <v>134.87741255290507</v>
      </c>
      <c r="E6576" s="733"/>
    </row>
    <row r="6577" spans="2:5">
      <c r="B6577" s="121">
        <v>562</v>
      </c>
      <c r="C6577" s="121">
        <v>10</v>
      </c>
      <c r="D6577" s="734">
        <v>138.76073721227928</v>
      </c>
      <c r="E6577" s="733"/>
    </row>
    <row r="6578" spans="2:5">
      <c r="B6578" s="121">
        <v>562</v>
      </c>
      <c r="C6578" s="121">
        <v>11</v>
      </c>
      <c r="D6578" s="734">
        <v>144.71073093123155</v>
      </c>
      <c r="E6578" s="733"/>
    </row>
    <row r="6579" spans="2:5">
      <c r="B6579" s="121">
        <v>562</v>
      </c>
      <c r="C6579" s="121">
        <v>12</v>
      </c>
      <c r="D6579" s="734">
        <v>137.82394933256253</v>
      </c>
      <c r="E6579" s="733"/>
    </row>
    <row r="6580" spans="2:5">
      <c r="B6580" s="121">
        <v>562</v>
      </c>
      <c r="C6580" s="121">
        <v>13</v>
      </c>
      <c r="D6580" s="734">
        <v>141.77031898860983</v>
      </c>
      <c r="E6580" s="733"/>
    </row>
    <row r="6581" spans="2:5">
      <c r="B6581" s="121">
        <v>562</v>
      </c>
      <c r="C6581" s="121">
        <v>14</v>
      </c>
      <c r="D6581" s="734">
        <v>140.84859334123692</v>
      </c>
      <c r="E6581" s="733"/>
    </row>
    <row r="6582" spans="2:5">
      <c r="B6582" s="121">
        <v>562</v>
      </c>
      <c r="C6582" s="121">
        <v>15</v>
      </c>
      <c r="D6582" s="734">
        <v>141.37171128991824</v>
      </c>
      <c r="E6582" s="733"/>
    </row>
    <row r="6583" spans="2:5">
      <c r="B6583" s="121">
        <v>562</v>
      </c>
      <c r="C6583" s="121">
        <v>16</v>
      </c>
      <c r="D6583" s="734">
        <v>140.97363430149898</v>
      </c>
      <c r="E6583" s="733"/>
    </row>
    <row r="6584" spans="2:5">
      <c r="B6584" s="121">
        <v>562</v>
      </c>
      <c r="C6584" s="121">
        <v>17</v>
      </c>
      <c r="D6584" s="734">
        <v>134.76821379487811</v>
      </c>
      <c r="E6584" s="733"/>
    </row>
    <row r="6585" spans="2:5">
      <c r="B6585" s="121">
        <v>562</v>
      </c>
      <c r="C6585" s="121">
        <v>18</v>
      </c>
      <c r="D6585" s="734">
        <v>145.49236785136961</v>
      </c>
      <c r="E6585" s="733"/>
    </row>
    <row r="6586" spans="2:5">
      <c r="B6586" s="121">
        <v>562</v>
      </c>
      <c r="C6586" s="121">
        <v>19</v>
      </c>
      <c r="D6586" s="734">
        <v>141.86756080474589</v>
      </c>
      <c r="E6586" s="733"/>
    </row>
    <row r="6587" spans="2:5">
      <c r="B6587" s="121">
        <v>562</v>
      </c>
      <c r="C6587" s="121">
        <v>20</v>
      </c>
      <c r="D6587" s="734">
        <v>146.59609959485542</v>
      </c>
      <c r="E6587" s="733"/>
    </row>
    <row r="6588" spans="2:5">
      <c r="B6588" s="121">
        <v>562</v>
      </c>
      <c r="C6588" s="121">
        <v>21</v>
      </c>
      <c r="D6588" s="734">
        <v>142.75231707734505</v>
      </c>
      <c r="E6588" s="733"/>
    </row>
    <row r="6589" spans="2:5">
      <c r="B6589" s="121">
        <v>562</v>
      </c>
      <c r="C6589" s="121">
        <v>22</v>
      </c>
      <c r="D6589" s="734">
        <v>146.69054186893587</v>
      </c>
      <c r="E6589" s="733"/>
    </row>
    <row r="6590" spans="2:5">
      <c r="B6590" s="121">
        <v>562</v>
      </c>
      <c r="C6590" s="121">
        <v>23</v>
      </c>
      <c r="D6590" s="734">
        <v>137.69708286908016</v>
      </c>
      <c r="E6590" s="733"/>
    </row>
    <row r="6591" spans="2:5">
      <c r="B6591" s="121">
        <v>563</v>
      </c>
      <c r="C6591" s="121">
        <v>1</v>
      </c>
      <c r="D6591" s="734">
        <v>5</v>
      </c>
      <c r="E6591" s="733"/>
    </row>
    <row r="6592" spans="2:5">
      <c r="B6592" s="121">
        <v>563</v>
      </c>
      <c r="C6592" s="121">
        <v>2</v>
      </c>
      <c r="D6592" s="734">
        <v>103.52610879896366</v>
      </c>
      <c r="E6592" s="733"/>
    </row>
    <row r="6593" spans="2:5">
      <c r="B6593" s="121">
        <v>563</v>
      </c>
      <c r="C6593" s="121">
        <v>3</v>
      </c>
      <c r="D6593" s="734">
        <v>117.03105507087196</v>
      </c>
      <c r="E6593" s="733"/>
    </row>
    <row r="6594" spans="2:5">
      <c r="B6594" s="121">
        <v>563</v>
      </c>
      <c r="C6594" s="121">
        <v>4</v>
      </c>
      <c r="D6594" s="734">
        <v>141.77946631965696</v>
      </c>
      <c r="E6594" s="733"/>
    </row>
    <row r="6595" spans="2:5">
      <c r="B6595" s="121">
        <v>563</v>
      </c>
      <c r="C6595" s="121">
        <v>5</v>
      </c>
      <c r="D6595" s="734">
        <v>145.3092947823898</v>
      </c>
      <c r="E6595" s="733"/>
    </row>
    <row r="6596" spans="2:5">
      <c r="B6596" s="121">
        <v>563</v>
      </c>
      <c r="C6596" s="121">
        <v>6</v>
      </c>
      <c r="D6596" s="734">
        <v>142.77254502475438</v>
      </c>
      <c r="E6596" s="733"/>
    </row>
    <row r="6597" spans="2:5">
      <c r="B6597" s="121">
        <v>563</v>
      </c>
      <c r="C6597" s="121">
        <v>7</v>
      </c>
      <c r="D6597" s="734">
        <v>139.3490516943109</v>
      </c>
      <c r="E6597" s="733"/>
    </row>
    <row r="6598" spans="2:5">
      <c r="B6598" s="121">
        <v>563</v>
      </c>
      <c r="C6598" s="121">
        <v>8</v>
      </c>
      <c r="D6598" s="734">
        <v>144.65325292412552</v>
      </c>
      <c r="E6598" s="733"/>
    </row>
    <row r="6599" spans="2:5">
      <c r="B6599" s="121">
        <v>563</v>
      </c>
      <c r="C6599" s="121">
        <v>9</v>
      </c>
      <c r="D6599" s="734">
        <v>140.00685153645486</v>
      </c>
      <c r="E6599" s="733"/>
    </row>
    <row r="6600" spans="2:5">
      <c r="B6600" s="121">
        <v>563</v>
      </c>
      <c r="C6600" s="121">
        <v>10</v>
      </c>
      <c r="D6600" s="734">
        <v>134.67822158607319</v>
      </c>
      <c r="E6600" s="733"/>
    </row>
    <row r="6601" spans="2:5">
      <c r="B6601" s="121">
        <v>563</v>
      </c>
      <c r="C6601" s="121">
        <v>11</v>
      </c>
      <c r="D6601" s="734">
        <v>141.80827120677179</v>
      </c>
      <c r="E6601" s="733"/>
    </row>
    <row r="6602" spans="2:5">
      <c r="B6602" s="121">
        <v>563</v>
      </c>
      <c r="C6602" s="121">
        <v>12</v>
      </c>
      <c r="D6602" s="734">
        <v>140.78039372383836</v>
      </c>
      <c r="E6602" s="733"/>
    </row>
    <row r="6603" spans="2:5">
      <c r="B6603" s="121">
        <v>563</v>
      </c>
      <c r="C6603" s="121">
        <v>13</v>
      </c>
      <c r="D6603" s="734">
        <v>142.59720092809354</v>
      </c>
      <c r="E6603" s="733"/>
    </row>
    <row r="6604" spans="2:5">
      <c r="B6604" s="121">
        <v>563</v>
      </c>
      <c r="C6604" s="121">
        <v>14</v>
      </c>
      <c r="D6604" s="734">
        <v>139.43339399759282</v>
      </c>
      <c r="E6604" s="733"/>
    </row>
    <row r="6605" spans="2:5">
      <c r="B6605" s="121">
        <v>563</v>
      </c>
      <c r="C6605" s="121">
        <v>15</v>
      </c>
      <c r="D6605" s="734">
        <v>137.59370290088455</v>
      </c>
      <c r="E6605" s="733"/>
    </row>
    <row r="6606" spans="2:5">
      <c r="B6606" s="121">
        <v>563</v>
      </c>
      <c r="C6606" s="121">
        <v>16</v>
      </c>
      <c r="D6606" s="734">
        <v>134.88806368815082</v>
      </c>
      <c r="E6606" s="733"/>
    </row>
    <row r="6607" spans="2:5">
      <c r="B6607" s="121">
        <v>563</v>
      </c>
      <c r="C6607" s="121">
        <v>17</v>
      </c>
      <c r="D6607" s="734">
        <v>136.72019411651007</v>
      </c>
      <c r="E6607" s="733"/>
    </row>
    <row r="6608" spans="2:5">
      <c r="B6608" s="121">
        <v>563</v>
      </c>
      <c r="C6608" s="121">
        <v>18</v>
      </c>
      <c r="D6608" s="734">
        <v>147.02909737413816</v>
      </c>
      <c r="E6608" s="733"/>
    </row>
    <row r="6609" spans="2:5">
      <c r="B6609" s="121">
        <v>564</v>
      </c>
      <c r="C6609" s="121">
        <v>1</v>
      </c>
      <c r="D6609" s="734">
        <v>5</v>
      </c>
      <c r="E6609" s="733"/>
    </row>
    <row r="6610" spans="2:5">
      <c r="B6610" s="121">
        <v>565</v>
      </c>
      <c r="C6610" s="121">
        <v>1</v>
      </c>
      <c r="D6610" s="734">
        <v>5</v>
      </c>
      <c r="E6610" s="733"/>
    </row>
    <row r="6611" spans="2:5">
      <c r="B6611" s="121">
        <v>565</v>
      </c>
      <c r="C6611" s="121">
        <v>2</v>
      </c>
      <c r="D6611" s="734">
        <v>96.319880563673024</v>
      </c>
      <c r="E6611" s="733"/>
    </row>
    <row r="6612" spans="2:5">
      <c r="B6612" s="121">
        <v>565</v>
      </c>
      <c r="C6612" s="121">
        <v>3</v>
      </c>
      <c r="D6612" s="734">
        <v>117.17297703944186</v>
      </c>
      <c r="E6612" s="733"/>
    </row>
    <row r="6613" spans="2:5">
      <c r="B6613" s="121">
        <v>565</v>
      </c>
      <c r="C6613" s="121">
        <v>4</v>
      </c>
      <c r="D6613" s="734">
        <v>141.73561467608067</v>
      </c>
      <c r="E6613" s="733"/>
    </row>
    <row r="6614" spans="2:5">
      <c r="B6614" s="121">
        <v>565</v>
      </c>
      <c r="C6614" s="121">
        <v>5</v>
      </c>
      <c r="D6614" s="734">
        <v>137.72203720871582</v>
      </c>
      <c r="E6614" s="733"/>
    </row>
    <row r="6615" spans="2:5">
      <c r="B6615" s="121">
        <v>565</v>
      </c>
      <c r="C6615" s="121">
        <v>6</v>
      </c>
      <c r="D6615" s="734">
        <v>140.3361240635316</v>
      </c>
      <c r="E6615" s="733"/>
    </row>
    <row r="6616" spans="2:5">
      <c r="B6616" s="121">
        <v>565</v>
      </c>
      <c r="C6616" s="121">
        <v>7</v>
      </c>
      <c r="D6616" s="734">
        <v>146.73840567735331</v>
      </c>
      <c r="E6616" s="733"/>
    </row>
    <row r="6617" spans="2:5">
      <c r="B6617" s="121">
        <v>565</v>
      </c>
      <c r="C6617" s="121">
        <v>8</v>
      </c>
      <c r="D6617" s="734">
        <v>134.53466678067733</v>
      </c>
      <c r="E6617" s="733"/>
    </row>
    <row r="6618" spans="2:5">
      <c r="B6618" s="121">
        <v>565</v>
      </c>
      <c r="C6618" s="121">
        <v>9</v>
      </c>
      <c r="D6618" s="734">
        <v>139.96827282212874</v>
      </c>
      <c r="E6618" s="733"/>
    </row>
    <row r="6619" spans="2:5">
      <c r="B6619" s="121">
        <v>565</v>
      </c>
      <c r="C6619" s="121">
        <v>10</v>
      </c>
      <c r="D6619" s="734">
        <v>135.27629906733142</v>
      </c>
      <c r="E6619" s="733"/>
    </row>
    <row r="6620" spans="2:5">
      <c r="B6620" s="121">
        <v>565</v>
      </c>
      <c r="C6620" s="121">
        <v>11</v>
      </c>
      <c r="D6620" s="734">
        <v>135.84832071418501</v>
      </c>
      <c r="E6620" s="733"/>
    </row>
    <row r="6621" spans="2:5">
      <c r="B6621" s="121">
        <v>565</v>
      </c>
      <c r="C6621" s="121">
        <v>12</v>
      </c>
      <c r="D6621" s="734">
        <v>135.70650105268351</v>
      </c>
      <c r="E6621" s="733"/>
    </row>
    <row r="6622" spans="2:5">
      <c r="B6622" s="121">
        <v>565</v>
      </c>
      <c r="C6622" s="121">
        <v>13</v>
      </c>
      <c r="D6622" s="734">
        <v>143.46774461845158</v>
      </c>
      <c r="E6622" s="733"/>
    </row>
    <row r="6623" spans="2:5">
      <c r="B6623" s="121">
        <v>565</v>
      </c>
      <c r="C6623" s="121">
        <v>14</v>
      </c>
      <c r="D6623" s="734">
        <v>135.98245092002273</v>
      </c>
      <c r="E6623" s="733"/>
    </row>
    <row r="6624" spans="2:5">
      <c r="B6624" s="121">
        <v>565</v>
      </c>
      <c r="C6624" s="121">
        <v>15</v>
      </c>
      <c r="D6624" s="734">
        <v>134.94187286993599</v>
      </c>
      <c r="E6624" s="733"/>
    </row>
    <row r="6625" spans="2:5">
      <c r="B6625" s="121">
        <v>565</v>
      </c>
      <c r="C6625" s="121">
        <v>16</v>
      </c>
      <c r="D6625" s="734">
        <v>141.89099234437279</v>
      </c>
      <c r="E6625" s="733"/>
    </row>
    <row r="6626" spans="2:5">
      <c r="B6626" s="121">
        <v>565</v>
      </c>
      <c r="C6626" s="121">
        <v>17</v>
      </c>
      <c r="D6626" s="734">
        <v>144.81981283581936</v>
      </c>
      <c r="E6626" s="733"/>
    </row>
    <row r="6627" spans="2:5">
      <c r="B6627" s="121">
        <v>565</v>
      </c>
      <c r="C6627" s="121">
        <v>18</v>
      </c>
      <c r="D6627" s="734">
        <v>137.97433245795631</v>
      </c>
      <c r="E6627" s="733"/>
    </row>
    <row r="6628" spans="2:5">
      <c r="B6628" s="121">
        <v>565</v>
      </c>
      <c r="C6628" s="121">
        <v>19</v>
      </c>
      <c r="D6628" s="734">
        <v>135.56146444627856</v>
      </c>
      <c r="E6628" s="733"/>
    </row>
    <row r="6629" spans="2:5">
      <c r="B6629" s="121">
        <v>565</v>
      </c>
      <c r="C6629" s="121">
        <v>20</v>
      </c>
      <c r="D6629" s="734">
        <v>140.68323150213303</v>
      </c>
      <c r="E6629" s="733"/>
    </row>
    <row r="6630" spans="2:5">
      <c r="B6630" s="121">
        <v>565</v>
      </c>
      <c r="C6630" s="121">
        <v>21</v>
      </c>
      <c r="D6630" s="734">
        <v>140.47832240996024</v>
      </c>
      <c r="E6630" s="733"/>
    </row>
    <row r="6631" spans="2:5">
      <c r="B6631" s="121">
        <v>565</v>
      </c>
      <c r="C6631" s="121">
        <v>22</v>
      </c>
      <c r="D6631" s="734">
        <v>136.54183294483502</v>
      </c>
      <c r="E6631" s="733"/>
    </row>
    <row r="6632" spans="2:5">
      <c r="B6632" s="121">
        <v>565</v>
      </c>
      <c r="C6632" s="121">
        <v>23</v>
      </c>
      <c r="D6632" s="734">
        <v>145.99450588336444</v>
      </c>
      <c r="E6632" s="733"/>
    </row>
    <row r="6633" spans="2:5">
      <c r="B6633" s="121">
        <v>566</v>
      </c>
      <c r="C6633" s="121">
        <v>1</v>
      </c>
      <c r="D6633" s="734">
        <v>5</v>
      </c>
      <c r="E6633" s="733"/>
    </row>
    <row r="6634" spans="2:5">
      <c r="B6634" s="121">
        <v>566</v>
      </c>
      <c r="C6634" s="121">
        <v>2</v>
      </c>
      <c r="D6634" s="734">
        <v>98.806531802848752</v>
      </c>
      <c r="E6634" s="733"/>
    </row>
    <row r="6635" spans="2:5">
      <c r="B6635" s="121">
        <v>566</v>
      </c>
      <c r="C6635" s="121">
        <v>3</v>
      </c>
      <c r="D6635" s="734">
        <v>114.71621285840099</v>
      </c>
      <c r="E6635" s="733"/>
    </row>
    <row r="6636" spans="2:5">
      <c r="B6636" s="121">
        <v>566</v>
      </c>
      <c r="C6636" s="121">
        <v>4</v>
      </c>
      <c r="D6636" s="734">
        <v>146.65014474649658</v>
      </c>
      <c r="E6636" s="733"/>
    </row>
    <row r="6637" spans="2:5">
      <c r="B6637" s="121">
        <v>567</v>
      </c>
      <c r="C6637" s="121">
        <v>1</v>
      </c>
      <c r="D6637" s="734">
        <v>5</v>
      </c>
      <c r="E6637" s="733"/>
    </row>
    <row r="6638" spans="2:5">
      <c r="B6638" s="121">
        <v>567</v>
      </c>
      <c r="C6638" s="121">
        <v>2</v>
      </c>
      <c r="D6638" s="734">
        <v>101.77754017080953</v>
      </c>
      <c r="E6638" s="733"/>
    </row>
    <row r="6639" spans="2:5">
      <c r="B6639" s="121">
        <v>567</v>
      </c>
      <c r="C6639" s="121">
        <v>3</v>
      </c>
      <c r="D6639" s="734">
        <v>124.9431056463188</v>
      </c>
      <c r="E6639" s="733"/>
    </row>
    <row r="6640" spans="2:5">
      <c r="B6640" s="121">
        <v>567</v>
      </c>
      <c r="C6640" s="121">
        <v>4</v>
      </c>
      <c r="D6640" s="734">
        <v>138.30422819536554</v>
      </c>
      <c r="E6640" s="733"/>
    </row>
    <row r="6641" spans="2:5">
      <c r="B6641" s="121">
        <v>567</v>
      </c>
      <c r="C6641" s="121">
        <v>5</v>
      </c>
      <c r="D6641" s="734">
        <v>137.38163452276657</v>
      </c>
      <c r="E6641" s="733"/>
    </row>
    <row r="6642" spans="2:5">
      <c r="B6642" s="121">
        <v>567</v>
      </c>
      <c r="C6642" s="121">
        <v>6</v>
      </c>
      <c r="D6642" s="734">
        <v>135.3006638849761</v>
      </c>
      <c r="E6642" s="733"/>
    </row>
    <row r="6643" spans="2:5">
      <c r="B6643" s="121">
        <v>568</v>
      </c>
      <c r="C6643" s="121">
        <v>1</v>
      </c>
      <c r="D6643" s="734">
        <v>5</v>
      </c>
      <c r="E6643" s="733"/>
    </row>
    <row r="6644" spans="2:5">
      <c r="B6644" s="121">
        <v>568</v>
      </c>
      <c r="C6644" s="121">
        <v>2</v>
      </c>
      <c r="D6644" s="734">
        <v>97.574510713576998</v>
      </c>
      <c r="E6644" s="733"/>
    </row>
    <row r="6645" spans="2:5">
      <c r="B6645" s="121">
        <v>568</v>
      </c>
      <c r="C6645" s="121">
        <v>3</v>
      </c>
      <c r="D6645" s="734">
        <v>114.28219893500975</v>
      </c>
      <c r="E6645" s="733"/>
    </row>
    <row r="6646" spans="2:5">
      <c r="B6646" s="121">
        <v>568</v>
      </c>
      <c r="C6646" s="121">
        <v>4</v>
      </c>
      <c r="D6646" s="734">
        <v>135.67699805524751</v>
      </c>
      <c r="E6646" s="733"/>
    </row>
    <row r="6647" spans="2:5">
      <c r="B6647" s="121">
        <v>568</v>
      </c>
      <c r="C6647" s="121">
        <v>5</v>
      </c>
      <c r="D6647" s="734">
        <v>144.73834801628746</v>
      </c>
      <c r="E6647" s="733"/>
    </row>
    <row r="6648" spans="2:5">
      <c r="B6648" s="121">
        <v>568</v>
      </c>
      <c r="C6648" s="121">
        <v>6</v>
      </c>
      <c r="D6648" s="734">
        <v>136.6502882848431</v>
      </c>
      <c r="E6648" s="733"/>
    </row>
    <row r="6649" spans="2:5">
      <c r="B6649" s="121">
        <v>568</v>
      </c>
      <c r="C6649" s="121">
        <v>7</v>
      </c>
      <c r="D6649" s="734">
        <v>136.94290834445314</v>
      </c>
      <c r="E6649" s="733"/>
    </row>
    <row r="6650" spans="2:5">
      <c r="B6650" s="121">
        <v>568</v>
      </c>
      <c r="C6650" s="121">
        <v>8</v>
      </c>
      <c r="D6650" s="734">
        <v>144.65102860590849</v>
      </c>
      <c r="E6650" s="733"/>
    </row>
    <row r="6651" spans="2:5">
      <c r="B6651" s="121">
        <v>568</v>
      </c>
      <c r="C6651" s="121">
        <v>9</v>
      </c>
      <c r="D6651" s="734">
        <v>146.56797438180385</v>
      </c>
      <c r="E6651" s="733"/>
    </row>
    <row r="6652" spans="2:5">
      <c r="B6652" s="121">
        <v>568</v>
      </c>
      <c r="C6652" s="121">
        <v>10</v>
      </c>
      <c r="D6652" s="734">
        <v>138.65674293509696</v>
      </c>
      <c r="E6652" s="733"/>
    </row>
    <row r="6653" spans="2:5">
      <c r="B6653" s="121">
        <v>568</v>
      </c>
      <c r="C6653" s="121">
        <v>11</v>
      </c>
      <c r="D6653" s="734">
        <v>137.19350760728992</v>
      </c>
      <c r="E6653" s="733"/>
    </row>
    <row r="6654" spans="2:5">
      <c r="B6654" s="121">
        <v>568</v>
      </c>
      <c r="C6654" s="121">
        <v>12</v>
      </c>
      <c r="D6654" s="734">
        <v>139.89970139307155</v>
      </c>
      <c r="E6654" s="733"/>
    </row>
    <row r="6655" spans="2:5">
      <c r="B6655" s="121">
        <v>569</v>
      </c>
      <c r="C6655" s="121">
        <v>1</v>
      </c>
      <c r="D6655" s="734">
        <v>5</v>
      </c>
      <c r="E6655" s="733"/>
    </row>
    <row r="6656" spans="2:5">
      <c r="B6656" s="121">
        <v>569</v>
      </c>
      <c r="C6656" s="121">
        <v>2</v>
      </c>
      <c r="D6656" s="734">
        <v>96.712280379016789</v>
      </c>
      <c r="E6656" s="733"/>
    </row>
    <row r="6657" spans="2:5">
      <c r="B6657" s="121">
        <v>569</v>
      </c>
      <c r="C6657" s="121">
        <v>3</v>
      </c>
      <c r="D6657" s="734">
        <v>120.59625348299882</v>
      </c>
      <c r="E6657" s="733"/>
    </row>
    <row r="6658" spans="2:5">
      <c r="B6658" s="121">
        <v>569</v>
      </c>
      <c r="C6658" s="121">
        <v>4</v>
      </c>
      <c r="D6658" s="734">
        <v>143.33610882072878</v>
      </c>
      <c r="E6658" s="733"/>
    </row>
    <row r="6659" spans="2:5">
      <c r="B6659" s="121">
        <v>569</v>
      </c>
      <c r="C6659" s="121">
        <v>5</v>
      </c>
      <c r="D6659" s="734">
        <v>133.92602289311424</v>
      </c>
      <c r="E6659" s="733"/>
    </row>
    <row r="6660" spans="2:5">
      <c r="B6660" s="121">
        <v>569</v>
      </c>
      <c r="C6660" s="121">
        <v>6</v>
      </c>
      <c r="D6660" s="734">
        <v>143.50328865847578</v>
      </c>
      <c r="E6660" s="733"/>
    </row>
    <row r="6661" spans="2:5">
      <c r="B6661" s="121">
        <v>569</v>
      </c>
      <c r="C6661" s="121">
        <v>7</v>
      </c>
      <c r="D6661" s="734">
        <v>143.21643258028143</v>
      </c>
      <c r="E6661" s="733"/>
    </row>
    <row r="6662" spans="2:5">
      <c r="B6662" s="121">
        <v>569</v>
      </c>
      <c r="C6662" s="121">
        <v>8</v>
      </c>
      <c r="D6662" s="734">
        <v>135.6936991949413</v>
      </c>
      <c r="E6662" s="733"/>
    </row>
    <row r="6663" spans="2:5">
      <c r="B6663" s="121">
        <v>570</v>
      </c>
      <c r="C6663" s="121">
        <v>1</v>
      </c>
      <c r="D6663" s="734">
        <v>5</v>
      </c>
      <c r="E6663" s="733"/>
    </row>
    <row r="6664" spans="2:5">
      <c r="B6664" s="121">
        <v>571</v>
      </c>
      <c r="C6664" s="121">
        <v>1</v>
      </c>
      <c r="D6664" s="734">
        <v>5</v>
      </c>
      <c r="E6664" s="733"/>
    </row>
    <row r="6665" spans="2:5">
      <c r="B6665" s="121">
        <v>571</v>
      </c>
      <c r="C6665" s="121">
        <v>2</v>
      </c>
      <c r="D6665" s="734">
        <v>96.764732671113123</v>
      </c>
      <c r="E6665" s="733"/>
    </row>
    <row r="6666" spans="2:5">
      <c r="B6666" s="121">
        <v>571</v>
      </c>
      <c r="C6666" s="121">
        <v>3</v>
      </c>
      <c r="D6666" s="734">
        <v>124.06813884664484</v>
      </c>
      <c r="E6666" s="733"/>
    </row>
    <row r="6667" spans="2:5">
      <c r="B6667" s="121">
        <v>571</v>
      </c>
      <c r="C6667" s="121">
        <v>4</v>
      </c>
      <c r="D6667" s="734">
        <v>142.68247406236509</v>
      </c>
      <c r="E6667" s="733"/>
    </row>
    <row r="6668" spans="2:5">
      <c r="B6668" s="121">
        <v>571</v>
      </c>
      <c r="C6668" s="121">
        <v>5</v>
      </c>
      <c r="D6668" s="734">
        <v>133.72570433004182</v>
      </c>
      <c r="E6668" s="733"/>
    </row>
    <row r="6669" spans="2:5">
      <c r="B6669" s="121">
        <v>571</v>
      </c>
      <c r="C6669" s="121">
        <v>6</v>
      </c>
      <c r="D6669" s="734">
        <v>142.64821839255856</v>
      </c>
      <c r="E6669" s="733"/>
    </row>
    <row r="6670" spans="2:5">
      <c r="B6670" s="121">
        <v>571</v>
      </c>
      <c r="C6670" s="121">
        <v>7</v>
      </c>
      <c r="D6670" s="734">
        <v>134.86438367423332</v>
      </c>
      <c r="E6670" s="733"/>
    </row>
    <row r="6671" spans="2:5">
      <c r="B6671" s="121">
        <v>571</v>
      </c>
      <c r="C6671" s="121">
        <v>8</v>
      </c>
      <c r="D6671" s="734">
        <v>135.38023742665112</v>
      </c>
      <c r="E6671" s="733"/>
    </row>
    <row r="6672" spans="2:5">
      <c r="B6672" s="121">
        <v>571</v>
      </c>
      <c r="C6672" s="121">
        <v>9</v>
      </c>
      <c r="D6672" s="734">
        <v>139.74777035604231</v>
      </c>
      <c r="E6672" s="733"/>
    </row>
    <row r="6673" spans="2:5">
      <c r="B6673" s="121">
        <v>571</v>
      </c>
      <c r="C6673" s="121">
        <v>10</v>
      </c>
      <c r="D6673" s="734">
        <v>143.79998095857485</v>
      </c>
      <c r="E6673" s="733"/>
    </row>
    <row r="6674" spans="2:5">
      <c r="B6674" s="121">
        <v>571</v>
      </c>
      <c r="C6674" s="121">
        <v>11</v>
      </c>
      <c r="D6674" s="734">
        <v>139.07623287181195</v>
      </c>
      <c r="E6674" s="733"/>
    </row>
    <row r="6675" spans="2:5">
      <c r="B6675" s="121">
        <v>571</v>
      </c>
      <c r="C6675" s="121">
        <v>12</v>
      </c>
      <c r="D6675" s="734">
        <v>143.3109970156294</v>
      </c>
      <c r="E6675" s="733"/>
    </row>
    <row r="6676" spans="2:5">
      <c r="B6676" s="121">
        <v>571</v>
      </c>
      <c r="C6676" s="121">
        <v>13</v>
      </c>
      <c r="D6676" s="734">
        <v>138.7491455317639</v>
      </c>
      <c r="E6676" s="733"/>
    </row>
    <row r="6677" spans="2:5">
      <c r="B6677" s="121">
        <v>571</v>
      </c>
      <c r="C6677" s="121">
        <v>14</v>
      </c>
      <c r="D6677" s="734">
        <v>135.17324090233578</v>
      </c>
      <c r="E6677" s="733"/>
    </row>
    <row r="6678" spans="2:5">
      <c r="B6678" s="121">
        <v>572</v>
      </c>
      <c r="C6678" s="121">
        <v>1</v>
      </c>
      <c r="D6678" s="734">
        <v>5</v>
      </c>
      <c r="E6678" s="733"/>
    </row>
    <row r="6679" spans="2:5">
      <c r="B6679" s="121">
        <v>573</v>
      </c>
      <c r="C6679" s="121">
        <v>1</v>
      </c>
      <c r="D6679" s="734">
        <v>5</v>
      </c>
      <c r="E6679" s="733"/>
    </row>
    <row r="6680" spans="2:5">
      <c r="B6680" s="121">
        <v>574</v>
      </c>
      <c r="C6680" s="121">
        <v>1</v>
      </c>
      <c r="D6680" s="734">
        <v>5</v>
      </c>
      <c r="E6680" s="733"/>
    </row>
    <row r="6681" spans="2:5">
      <c r="B6681" s="121">
        <v>575</v>
      </c>
      <c r="C6681" s="121">
        <v>1</v>
      </c>
      <c r="D6681" s="734">
        <v>5</v>
      </c>
      <c r="E6681" s="733"/>
    </row>
    <row r="6682" spans="2:5">
      <c r="B6682" s="121">
        <v>575</v>
      </c>
      <c r="C6682" s="121">
        <v>2</v>
      </c>
      <c r="D6682" s="734">
        <v>94.827515270148695</v>
      </c>
      <c r="E6682" s="733"/>
    </row>
    <row r="6683" spans="2:5">
      <c r="B6683" s="121">
        <v>575</v>
      </c>
      <c r="C6683" s="121">
        <v>3</v>
      </c>
      <c r="D6683" s="734">
        <v>117.75406053963432</v>
      </c>
      <c r="E6683" s="733"/>
    </row>
    <row r="6684" spans="2:5">
      <c r="B6684" s="121">
        <v>575</v>
      </c>
      <c r="C6684" s="121">
        <v>4</v>
      </c>
      <c r="D6684" s="734">
        <v>143.79216310422191</v>
      </c>
      <c r="E6684" s="733"/>
    </row>
    <row r="6685" spans="2:5">
      <c r="B6685" s="121">
        <v>575</v>
      </c>
      <c r="C6685" s="121">
        <v>5</v>
      </c>
      <c r="D6685" s="734">
        <v>139.82922641351712</v>
      </c>
      <c r="E6685" s="733"/>
    </row>
    <row r="6686" spans="2:5">
      <c r="B6686" s="121">
        <v>575</v>
      </c>
      <c r="C6686" s="121">
        <v>6</v>
      </c>
      <c r="D6686" s="734">
        <v>138.45623187746494</v>
      </c>
      <c r="E6686" s="733"/>
    </row>
    <row r="6687" spans="2:5">
      <c r="B6687" s="121">
        <v>575</v>
      </c>
      <c r="C6687" s="121">
        <v>7</v>
      </c>
      <c r="D6687" s="734">
        <v>137.91966927762189</v>
      </c>
      <c r="E6687" s="733"/>
    </row>
    <row r="6688" spans="2:5">
      <c r="B6688" s="121">
        <v>575</v>
      </c>
      <c r="C6688" s="121">
        <v>8</v>
      </c>
      <c r="D6688" s="734">
        <v>143.03239415351717</v>
      </c>
      <c r="E6688" s="733"/>
    </row>
    <row r="6689" spans="2:5">
      <c r="B6689" s="121">
        <v>576</v>
      </c>
      <c r="C6689" s="121">
        <v>1</v>
      </c>
      <c r="D6689" s="734">
        <v>5</v>
      </c>
      <c r="E6689" s="733"/>
    </row>
    <row r="6690" spans="2:5">
      <c r="B6690" s="121">
        <v>577</v>
      </c>
      <c r="C6690" s="121">
        <v>1</v>
      </c>
      <c r="D6690" s="734">
        <v>5</v>
      </c>
      <c r="E6690" s="733"/>
    </row>
    <row r="6691" spans="2:5">
      <c r="B6691" s="121">
        <v>578</v>
      </c>
      <c r="C6691" s="121">
        <v>1</v>
      </c>
      <c r="D6691" s="734">
        <v>5</v>
      </c>
      <c r="E6691" s="733"/>
    </row>
    <row r="6692" spans="2:5">
      <c r="B6692" s="121">
        <v>578</v>
      </c>
      <c r="C6692" s="121">
        <v>2</v>
      </c>
      <c r="D6692" s="734">
        <v>97.783012806354591</v>
      </c>
      <c r="E6692" s="733"/>
    </row>
    <row r="6693" spans="2:5">
      <c r="B6693" s="121">
        <v>578</v>
      </c>
      <c r="C6693" s="121">
        <v>3</v>
      </c>
      <c r="D6693" s="734">
        <v>122.44873100922349</v>
      </c>
      <c r="E6693" s="733"/>
    </row>
    <row r="6694" spans="2:5">
      <c r="B6694" s="121">
        <v>579</v>
      </c>
      <c r="C6694" s="121">
        <v>1</v>
      </c>
      <c r="D6694" s="734">
        <v>5</v>
      </c>
      <c r="E6694" s="733"/>
    </row>
    <row r="6695" spans="2:5">
      <c r="B6695" s="121">
        <v>580</v>
      </c>
      <c r="C6695" s="121">
        <v>1</v>
      </c>
      <c r="D6695" s="734">
        <v>5</v>
      </c>
      <c r="E6695" s="733"/>
    </row>
    <row r="6696" spans="2:5">
      <c r="B6696" s="121">
        <v>581</v>
      </c>
      <c r="C6696" s="121">
        <v>1</v>
      </c>
      <c r="D6696" s="734">
        <v>5</v>
      </c>
      <c r="E6696" s="733"/>
    </row>
    <row r="6697" spans="2:5">
      <c r="B6697" s="121">
        <v>581</v>
      </c>
      <c r="C6697" s="121">
        <v>2</v>
      </c>
      <c r="D6697" s="734">
        <v>96.704757288754379</v>
      </c>
      <c r="E6697" s="733"/>
    </row>
    <row r="6698" spans="2:5">
      <c r="B6698" s="121">
        <v>581</v>
      </c>
      <c r="C6698" s="121">
        <v>3</v>
      </c>
      <c r="D6698" s="734">
        <v>116.11619345828714</v>
      </c>
      <c r="E6698" s="733"/>
    </row>
    <row r="6699" spans="2:5">
      <c r="B6699" s="121">
        <v>581</v>
      </c>
      <c r="C6699" s="121">
        <v>4</v>
      </c>
      <c r="D6699" s="734">
        <v>135.66673540618734</v>
      </c>
      <c r="E6699" s="733"/>
    </row>
    <row r="6700" spans="2:5">
      <c r="B6700" s="121">
        <v>581</v>
      </c>
      <c r="C6700" s="121">
        <v>5</v>
      </c>
      <c r="D6700" s="734">
        <v>142.90060268432572</v>
      </c>
      <c r="E6700" s="733"/>
    </row>
    <row r="6701" spans="2:5">
      <c r="B6701" s="121">
        <v>581</v>
      </c>
      <c r="C6701" s="121">
        <v>6</v>
      </c>
      <c r="D6701" s="734">
        <v>138.73456782499184</v>
      </c>
      <c r="E6701" s="733"/>
    </row>
    <row r="6702" spans="2:5">
      <c r="B6702" s="121">
        <v>581</v>
      </c>
      <c r="C6702" s="121">
        <v>7</v>
      </c>
      <c r="D6702" s="734">
        <v>141.33061638158304</v>
      </c>
      <c r="E6702" s="733"/>
    </row>
    <row r="6703" spans="2:5">
      <c r="B6703" s="121">
        <v>582</v>
      </c>
      <c r="C6703" s="121">
        <v>1</v>
      </c>
      <c r="D6703" s="734">
        <v>5</v>
      </c>
      <c r="E6703" s="733"/>
    </row>
    <row r="6704" spans="2:5">
      <c r="B6704" s="121">
        <v>582</v>
      </c>
      <c r="C6704" s="121">
        <v>2</v>
      </c>
      <c r="D6704" s="734">
        <v>98.391931033748591</v>
      </c>
      <c r="E6704" s="733"/>
    </row>
    <row r="6705" spans="2:5">
      <c r="B6705" s="121">
        <v>582</v>
      </c>
      <c r="C6705" s="121">
        <v>3</v>
      </c>
      <c r="D6705" s="734">
        <v>114.19822044243332</v>
      </c>
      <c r="E6705" s="733"/>
    </row>
    <row r="6706" spans="2:5">
      <c r="B6706" s="121">
        <v>582</v>
      </c>
      <c r="C6706" s="121">
        <v>4</v>
      </c>
      <c r="D6706" s="734">
        <v>143.95716728572731</v>
      </c>
      <c r="E6706" s="733"/>
    </row>
    <row r="6707" spans="2:5">
      <c r="B6707" s="121">
        <v>582</v>
      </c>
      <c r="C6707" s="121">
        <v>5</v>
      </c>
      <c r="D6707" s="734">
        <v>141.54386660674629</v>
      </c>
      <c r="E6707" s="733"/>
    </row>
    <row r="6708" spans="2:5">
      <c r="B6708" s="121">
        <v>582</v>
      </c>
      <c r="C6708" s="121">
        <v>6</v>
      </c>
      <c r="D6708" s="734">
        <v>144.61847444069201</v>
      </c>
      <c r="E6708" s="733"/>
    </row>
    <row r="6709" spans="2:5">
      <c r="B6709" s="121">
        <v>582</v>
      </c>
      <c r="C6709" s="121">
        <v>7</v>
      </c>
      <c r="D6709" s="734">
        <v>137.96635397155407</v>
      </c>
      <c r="E6709" s="733"/>
    </row>
    <row r="6710" spans="2:5">
      <c r="B6710" s="121">
        <v>582</v>
      </c>
      <c r="C6710" s="121">
        <v>8</v>
      </c>
      <c r="D6710" s="734">
        <v>143.02819202523006</v>
      </c>
      <c r="E6710" s="733"/>
    </row>
    <row r="6711" spans="2:5">
      <c r="B6711" s="121">
        <v>582</v>
      </c>
      <c r="C6711" s="121">
        <v>9</v>
      </c>
      <c r="D6711" s="734">
        <v>138.70664884838956</v>
      </c>
      <c r="E6711" s="733"/>
    </row>
    <row r="6712" spans="2:5">
      <c r="B6712" s="121">
        <v>582</v>
      </c>
      <c r="C6712" s="121">
        <v>10</v>
      </c>
      <c r="D6712" s="734">
        <v>143.63373718293971</v>
      </c>
      <c r="E6712" s="733"/>
    </row>
    <row r="6713" spans="2:5">
      <c r="B6713" s="121">
        <v>582</v>
      </c>
      <c r="C6713" s="121">
        <v>11</v>
      </c>
      <c r="D6713" s="734">
        <v>147.10210172976497</v>
      </c>
      <c r="E6713" s="733"/>
    </row>
    <row r="6714" spans="2:5">
      <c r="B6714" s="121">
        <v>582</v>
      </c>
      <c r="C6714" s="121">
        <v>12</v>
      </c>
      <c r="D6714" s="734">
        <v>145.43134361125749</v>
      </c>
      <c r="E6714" s="733"/>
    </row>
    <row r="6715" spans="2:5">
      <c r="B6715" s="121">
        <v>582</v>
      </c>
      <c r="C6715" s="121">
        <v>13</v>
      </c>
      <c r="D6715" s="734">
        <v>134.19562499956598</v>
      </c>
      <c r="E6715" s="733"/>
    </row>
    <row r="6716" spans="2:5">
      <c r="B6716" s="121">
        <v>582</v>
      </c>
      <c r="C6716" s="121">
        <v>14</v>
      </c>
      <c r="D6716" s="734">
        <v>135.42415153110628</v>
      </c>
      <c r="E6716" s="733"/>
    </row>
    <row r="6717" spans="2:5">
      <c r="B6717" s="121">
        <v>582</v>
      </c>
      <c r="C6717" s="121">
        <v>15</v>
      </c>
      <c r="D6717" s="734">
        <v>140.23148609646535</v>
      </c>
      <c r="E6717" s="733"/>
    </row>
    <row r="6718" spans="2:5">
      <c r="B6718" s="121">
        <v>582</v>
      </c>
      <c r="C6718" s="121">
        <v>16</v>
      </c>
      <c r="D6718" s="734">
        <v>137.28486948657732</v>
      </c>
      <c r="E6718" s="733"/>
    </row>
    <row r="6719" spans="2:5">
      <c r="B6719" s="121">
        <v>582</v>
      </c>
      <c r="C6719" s="121">
        <v>17</v>
      </c>
      <c r="D6719" s="734">
        <v>145.46067752465382</v>
      </c>
      <c r="E6719" s="733"/>
    </row>
    <row r="6720" spans="2:5">
      <c r="B6720" s="121">
        <v>582</v>
      </c>
      <c r="C6720" s="121">
        <v>18</v>
      </c>
      <c r="D6720" s="734">
        <v>144.51257467707129</v>
      </c>
      <c r="E6720" s="733"/>
    </row>
    <row r="6721" spans="2:5">
      <c r="B6721" s="121">
        <v>582</v>
      </c>
      <c r="C6721" s="121">
        <v>19</v>
      </c>
      <c r="D6721" s="734">
        <v>143.01541930573524</v>
      </c>
      <c r="E6721" s="733"/>
    </row>
    <row r="6722" spans="2:5">
      <c r="B6722" s="121">
        <v>582</v>
      </c>
      <c r="C6722" s="121">
        <v>20</v>
      </c>
      <c r="D6722" s="734">
        <v>140.30403207373752</v>
      </c>
      <c r="E6722" s="733"/>
    </row>
    <row r="6723" spans="2:5">
      <c r="B6723" s="121">
        <v>582</v>
      </c>
      <c r="C6723" s="121">
        <v>21</v>
      </c>
      <c r="D6723" s="734">
        <v>137.45334526338391</v>
      </c>
      <c r="E6723" s="733"/>
    </row>
    <row r="6724" spans="2:5">
      <c r="B6724" s="121">
        <v>582</v>
      </c>
      <c r="C6724" s="121">
        <v>22</v>
      </c>
      <c r="D6724" s="734">
        <v>140.28001702698373</v>
      </c>
      <c r="E6724" s="733"/>
    </row>
    <row r="6725" spans="2:5">
      <c r="B6725" s="121">
        <v>582</v>
      </c>
      <c r="C6725" s="121">
        <v>23</v>
      </c>
      <c r="D6725" s="734">
        <v>134.74891274805651</v>
      </c>
      <c r="E6725" s="733"/>
    </row>
    <row r="6726" spans="2:5">
      <c r="B6726" s="121">
        <v>582</v>
      </c>
      <c r="C6726" s="121">
        <v>24</v>
      </c>
      <c r="D6726" s="734">
        <v>136.76562147417815</v>
      </c>
      <c r="E6726" s="733"/>
    </row>
    <row r="6727" spans="2:5">
      <c r="B6727" s="121">
        <v>582</v>
      </c>
      <c r="C6727" s="121">
        <v>25</v>
      </c>
      <c r="D6727" s="734">
        <v>136.94870600803759</v>
      </c>
      <c r="E6727" s="733"/>
    </row>
    <row r="6728" spans="2:5">
      <c r="B6728" s="121">
        <v>582</v>
      </c>
      <c r="C6728" s="121">
        <v>26</v>
      </c>
      <c r="D6728" s="734">
        <v>135.51024946665524</v>
      </c>
      <c r="E6728" s="733"/>
    </row>
    <row r="6729" spans="2:5">
      <c r="B6729" s="121">
        <v>582</v>
      </c>
      <c r="C6729" s="121">
        <v>27</v>
      </c>
      <c r="D6729" s="734">
        <v>144.82598347174945</v>
      </c>
      <c r="E6729" s="733"/>
    </row>
    <row r="6730" spans="2:5">
      <c r="B6730" s="121">
        <v>582</v>
      </c>
      <c r="C6730" s="121">
        <v>28</v>
      </c>
      <c r="D6730" s="734">
        <v>136.86592073206958</v>
      </c>
      <c r="E6730" s="733"/>
    </row>
    <row r="6731" spans="2:5">
      <c r="B6731" s="121">
        <v>583</v>
      </c>
      <c r="C6731" s="121">
        <v>1</v>
      </c>
      <c r="D6731" s="734">
        <v>5</v>
      </c>
      <c r="E6731" s="733"/>
    </row>
    <row r="6732" spans="2:5">
      <c r="B6732" s="121">
        <v>583</v>
      </c>
      <c r="C6732" s="121">
        <v>2</v>
      </c>
      <c r="D6732" s="734">
        <v>103.28883896983048</v>
      </c>
      <c r="E6732" s="733"/>
    </row>
    <row r="6733" spans="2:5">
      <c r="B6733" s="121">
        <v>583</v>
      </c>
      <c r="C6733" s="121">
        <v>3</v>
      </c>
      <c r="D6733" s="734">
        <v>117.95868472793315</v>
      </c>
      <c r="E6733" s="733"/>
    </row>
    <row r="6734" spans="2:5">
      <c r="B6734" s="121">
        <v>583</v>
      </c>
      <c r="C6734" s="121">
        <v>4</v>
      </c>
      <c r="D6734" s="734">
        <v>145.43451107403064</v>
      </c>
      <c r="E6734" s="733"/>
    </row>
    <row r="6735" spans="2:5">
      <c r="B6735" s="121">
        <v>583</v>
      </c>
      <c r="C6735" s="121">
        <v>5</v>
      </c>
      <c r="D6735" s="734">
        <v>138.35837705673035</v>
      </c>
      <c r="E6735" s="733"/>
    </row>
    <row r="6736" spans="2:5">
      <c r="B6736" s="121">
        <v>583</v>
      </c>
      <c r="C6736" s="121">
        <v>6</v>
      </c>
      <c r="D6736" s="734">
        <v>140.71121118802222</v>
      </c>
      <c r="E6736" s="733"/>
    </row>
    <row r="6737" spans="2:5">
      <c r="B6737" s="121">
        <v>583</v>
      </c>
      <c r="C6737" s="121">
        <v>7</v>
      </c>
      <c r="D6737" s="734">
        <v>139.84131788547998</v>
      </c>
      <c r="E6737" s="733"/>
    </row>
    <row r="6738" spans="2:5">
      <c r="B6738" s="121">
        <v>583</v>
      </c>
      <c r="C6738" s="121">
        <v>8</v>
      </c>
      <c r="D6738" s="734">
        <v>145.75612387846869</v>
      </c>
      <c r="E6738" s="733"/>
    </row>
    <row r="6739" spans="2:5">
      <c r="B6739" s="121">
        <v>583</v>
      </c>
      <c r="C6739" s="121">
        <v>9</v>
      </c>
      <c r="D6739" s="734">
        <v>136.28406560692991</v>
      </c>
      <c r="E6739" s="733"/>
    </row>
    <row r="6740" spans="2:5">
      <c r="B6740" s="121">
        <v>583</v>
      </c>
      <c r="C6740" s="121">
        <v>10</v>
      </c>
      <c r="D6740" s="734">
        <v>147.24515750793489</v>
      </c>
      <c r="E6740" s="733"/>
    </row>
    <row r="6741" spans="2:5">
      <c r="B6741" s="121">
        <v>584</v>
      </c>
      <c r="C6741" s="121">
        <v>1</v>
      </c>
      <c r="D6741" s="734">
        <v>5</v>
      </c>
      <c r="E6741" s="733"/>
    </row>
    <row r="6742" spans="2:5">
      <c r="B6742" s="121">
        <v>584</v>
      </c>
      <c r="C6742" s="121">
        <v>2</v>
      </c>
      <c r="D6742" s="734">
        <v>99.657185812022249</v>
      </c>
      <c r="E6742" s="733"/>
    </row>
    <row r="6743" spans="2:5">
      <c r="B6743" s="121">
        <v>585</v>
      </c>
      <c r="C6743" s="121">
        <v>1</v>
      </c>
      <c r="D6743" s="734">
        <v>5</v>
      </c>
      <c r="E6743" s="733"/>
    </row>
    <row r="6744" spans="2:5">
      <c r="B6744" s="121">
        <v>585</v>
      </c>
      <c r="C6744" s="121">
        <v>2</v>
      </c>
      <c r="D6744" s="734">
        <v>96.119632028662139</v>
      </c>
      <c r="E6744" s="733"/>
    </row>
    <row r="6745" spans="2:5">
      <c r="B6745" s="121">
        <v>585</v>
      </c>
      <c r="C6745" s="121">
        <v>3</v>
      </c>
      <c r="D6745" s="734">
        <v>120.94781120959158</v>
      </c>
      <c r="E6745" s="733"/>
    </row>
    <row r="6746" spans="2:5">
      <c r="B6746" s="121">
        <v>585</v>
      </c>
      <c r="C6746" s="121">
        <v>4</v>
      </c>
      <c r="D6746" s="734">
        <v>144.72726660992998</v>
      </c>
      <c r="E6746" s="733"/>
    </row>
    <row r="6747" spans="2:5">
      <c r="B6747" s="121">
        <v>585</v>
      </c>
      <c r="C6747" s="121">
        <v>5</v>
      </c>
      <c r="D6747" s="734">
        <v>137.58805833949179</v>
      </c>
      <c r="E6747" s="733"/>
    </row>
    <row r="6748" spans="2:5">
      <c r="B6748" s="121">
        <v>585</v>
      </c>
      <c r="C6748" s="121">
        <v>6</v>
      </c>
      <c r="D6748" s="734">
        <v>145.80023398406999</v>
      </c>
      <c r="E6748" s="733"/>
    </row>
    <row r="6749" spans="2:5">
      <c r="B6749" s="121">
        <v>585</v>
      </c>
      <c r="C6749" s="121">
        <v>7</v>
      </c>
      <c r="D6749" s="734">
        <v>142.56489454948274</v>
      </c>
      <c r="E6749" s="733"/>
    </row>
    <row r="6750" spans="2:5">
      <c r="B6750" s="121">
        <v>585</v>
      </c>
      <c r="C6750" s="121">
        <v>8</v>
      </c>
      <c r="D6750" s="734">
        <v>144.76907480412871</v>
      </c>
      <c r="E6750" s="733"/>
    </row>
    <row r="6751" spans="2:5">
      <c r="B6751" s="121">
        <v>585</v>
      </c>
      <c r="C6751" s="121">
        <v>9</v>
      </c>
      <c r="D6751" s="734">
        <v>146.56149728639377</v>
      </c>
      <c r="E6751" s="733"/>
    </row>
    <row r="6752" spans="2:5">
      <c r="B6752" s="121">
        <v>585</v>
      </c>
      <c r="C6752" s="121">
        <v>10</v>
      </c>
      <c r="D6752" s="734">
        <v>136.72930981312183</v>
      </c>
      <c r="E6752" s="733"/>
    </row>
    <row r="6753" spans="2:5">
      <c r="B6753" s="121">
        <v>585</v>
      </c>
      <c r="C6753" s="121">
        <v>11</v>
      </c>
      <c r="D6753" s="734">
        <v>145.8583228336266</v>
      </c>
      <c r="E6753" s="733"/>
    </row>
    <row r="6754" spans="2:5">
      <c r="B6754" s="121">
        <v>585</v>
      </c>
      <c r="C6754" s="121">
        <v>12</v>
      </c>
      <c r="D6754" s="734">
        <v>137.65849974069138</v>
      </c>
      <c r="E6754" s="733"/>
    </row>
    <row r="6755" spans="2:5">
      <c r="B6755" s="121">
        <v>585</v>
      </c>
      <c r="C6755" s="121">
        <v>13</v>
      </c>
      <c r="D6755" s="734">
        <v>138.40654150645915</v>
      </c>
      <c r="E6755" s="733"/>
    </row>
    <row r="6756" spans="2:5">
      <c r="B6756" s="121">
        <v>585</v>
      </c>
      <c r="C6756" s="121">
        <v>14</v>
      </c>
      <c r="D6756" s="734">
        <v>135.23133109484715</v>
      </c>
      <c r="E6756" s="733"/>
    </row>
    <row r="6757" spans="2:5">
      <c r="B6757" s="121">
        <v>585</v>
      </c>
      <c r="C6757" s="121">
        <v>15</v>
      </c>
      <c r="D6757" s="734">
        <v>141.74818637501929</v>
      </c>
      <c r="E6757" s="733"/>
    </row>
    <row r="6758" spans="2:5">
      <c r="B6758" s="121">
        <v>585</v>
      </c>
      <c r="C6758" s="121">
        <v>16</v>
      </c>
      <c r="D6758" s="734">
        <v>137.89113584389293</v>
      </c>
      <c r="E6758" s="733"/>
    </row>
    <row r="6759" spans="2:5">
      <c r="B6759" s="121">
        <v>585</v>
      </c>
      <c r="C6759" s="121">
        <v>17</v>
      </c>
      <c r="D6759" s="734">
        <v>138.628825480606</v>
      </c>
      <c r="E6759" s="733"/>
    </row>
    <row r="6760" spans="2:5">
      <c r="B6760" s="121">
        <v>585</v>
      </c>
      <c r="C6760" s="121">
        <v>18</v>
      </c>
      <c r="D6760" s="734">
        <v>141.24758431372049</v>
      </c>
      <c r="E6760" s="733"/>
    </row>
    <row r="6761" spans="2:5">
      <c r="B6761" s="121">
        <v>585</v>
      </c>
      <c r="C6761" s="121">
        <v>19</v>
      </c>
      <c r="D6761" s="734">
        <v>138.74484624556516</v>
      </c>
      <c r="E6761" s="733"/>
    </row>
    <row r="6762" spans="2:5">
      <c r="B6762" s="121">
        <v>585</v>
      </c>
      <c r="C6762" s="121">
        <v>20</v>
      </c>
      <c r="D6762" s="734">
        <v>136.83375894932266</v>
      </c>
      <c r="E6762" s="733"/>
    </row>
    <row r="6763" spans="2:5">
      <c r="B6763" s="121">
        <v>585</v>
      </c>
      <c r="C6763" s="121">
        <v>21</v>
      </c>
      <c r="D6763" s="734">
        <v>142.58993590156157</v>
      </c>
      <c r="E6763" s="733"/>
    </row>
    <row r="6764" spans="2:5">
      <c r="B6764" s="121">
        <v>585</v>
      </c>
      <c r="C6764" s="121">
        <v>22</v>
      </c>
      <c r="D6764" s="734">
        <v>139.60389069811913</v>
      </c>
      <c r="E6764" s="733"/>
    </row>
    <row r="6765" spans="2:5">
      <c r="B6765" s="121">
        <v>585</v>
      </c>
      <c r="C6765" s="121">
        <v>23</v>
      </c>
      <c r="D6765" s="734">
        <v>141.69424315007768</v>
      </c>
      <c r="E6765" s="733"/>
    </row>
    <row r="6766" spans="2:5">
      <c r="B6766" s="121">
        <v>585</v>
      </c>
      <c r="C6766" s="121">
        <v>24</v>
      </c>
      <c r="D6766" s="734">
        <v>140.98821328811775</v>
      </c>
      <c r="E6766" s="733"/>
    </row>
    <row r="6767" spans="2:5">
      <c r="B6767" s="121">
        <v>585</v>
      </c>
      <c r="C6767" s="121">
        <v>25</v>
      </c>
      <c r="D6767" s="734">
        <v>143.65927358718622</v>
      </c>
      <c r="E6767" s="733"/>
    </row>
    <row r="6768" spans="2:5">
      <c r="B6768" s="121">
        <v>585</v>
      </c>
      <c r="C6768" s="121">
        <v>26</v>
      </c>
      <c r="D6768" s="734">
        <v>141.22279537091933</v>
      </c>
      <c r="E6768" s="733"/>
    </row>
    <row r="6769" spans="2:5">
      <c r="B6769" s="121">
        <v>585</v>
      </c>
      <c r="C6769" s="121">
        <v>27</v>
      </c>
      <c r="D6769" s="734">
        <v>137.71498639065456</v>
      </c>
      <c r="E6769" s="733"/>
    </row>
    <row r="6770" spans="2:5">
      <c r="B6770" s="121">
        <v>585</v>
      </c>
      <c r="C6770" s="121">
        <v>28</v>
      </c>
      <c r="D6770" s="734">
        <v>139.69585302727623</v>
      </c>
      <c r="E6770" s="733"/>
    </row>
    <row r="6771" spans="2:5">
      <c r="B6771" s="121">
        <v>585</v>
      </c>
      <c r="C6771" s="121">
        <v>29</v>
      </c>
      <c r="D6771" s="734">
        <v>143.19993405576901</v>
      </c>
      <c r="E6771" s="733"/>
    </row>
    <row r="6772" spans="2:5">
      <c r="B6772" s="121">
        <v>585</v>
      </c>
      <c r="C6772" s="121">
        <v>30</v>
      </c>
      <c r="D6772" s="734">
        <v>141.55073286618776</v>
      </c>
      <c r="E6772" s="733"/>
    </row>
    <row r="6773" spans="2:5">
      <c r="B6773" s="121">
        <v>585</v>
      </c>
      <c r="C6773" s="121">
        <v>31</v>
      </c>
      <c r="D6773" s="734">
        <v>139.04277707832412</v>
      </c>
      <c r="E6773" s="733"/>
    </row>
    <row r="6774" spans="2:5">
      <c r="B6774" s="121">
        <v>585</v>
      </c>
      <c r="C6774" s="121">
        <v>32</v>
      </c>
      <c r="D6774" s="734">
        <v>136.33663644614774</v>
      </c>
      <c r="E6774" s="733"/>
    </row>
    <row r="6775" spans="2:5">
      <c r="B6775" s="121">
        <v>585</v>
      </c>
      <c r="C6775" s="121">
        <v>33</v>
      </c>
      <c r="D6775" s="734">
        <v>138.98990321332991</v>
      </c>
      <c r="E6775" s="733"/>
    </row>
    <row r="6776" spans="2:5">
      <c r="B6776" s="121">
        <v>585</v>
      </c>
      <c r="C6776" s="121">
        <v>34</v>
      </c>
      <c r="D6776" s="734">
        <v>138.64900326099462</v>
      </c>
      <c r="E6776" s="733"/>
    </row>
    <row r="6777" spans="2:5">
      <c r="B6777" s="121">
        <v>585</v>
      </c>
      <c r="C6777" s="121">
        <v>35</v>
      </c>
      <c r="D6777" s="734">
        <v>138.98354149023379</v>
      </c>
      <c r="E6777" s="733"/>
    </row>
    <row r="6778" spans="2:5">
      <c r="B6778" s="121">
        <v>585</v>
      </c>
      <c r="C6778" s="121">
        <v>36</v>
      </c>
      <c r="D6778" s="734">
        <v>144.7140130914608</v>
      </c>
      <c r="E6778" s="733"/>
    </row>
    <row r="6779" spans="2:5">
      <c r="B6779" s="121">
        <v>586</v>
      </c>
      <c r="C6779" s="121">
        <v>1</v>
      </c>
      <c r="D6779" s="734">
        <v>5</v>
      </c>
      <c r="E6779" s="733"/>
    </row>
    <row r="6780" spans="2:5">
      <c r="B6780" s="121">
        <v>586</v>
      </c>
      <c r="C6780" s="121">
        <v>2</v>
      </c>
      <c r="D6780" s="734">
        <v>99.284832651771467</v>
      </c>
      <c r="E6780" s="733"/>
    </row>
    <row r="6781" spans="2:5">
      <c r="B6781" s="121">
        <v>586</v>
      </c>
      <c r="C6781" s="121">
        <v>3</v>
      </c>
      <c r="D6781" s="734">
        <v>121.19387011783665</v>
      </c>
      <c r="E6781" s="733"/>
    </row>
    <row r="6782" spans="2:5">
      <c r="B6782" s="121">
        <v>586</v>
      </c>
      <c r="C6782" s="121">
        <v>4</v>
      </c>
      <c r="D6782" s="734">
        <v>141.55980556858358</v>
      </c>
      <c r="E6782" s="733"/>
    </row>
    <row r="6783" spans="2:5">
      <c r="B6783" s="121">
        <v>586</v>
      </c>
      <c r="C6783" s="121">
        <v>5</v>
      </c>
      <c r="D6783" s="734">
        <v>143.91051934879277</v>
      </c>
      <c r="E6783" s="733"/>
    </row>
    <row r="6784" spans="2:5">
      <c r="B6784" s="121">
        <v>587</v>
      </c>
      <c r="C6784" s="121">
        <v>1</v>
      </c>
      <c r="D6784" s="734">
        <v>5</v>
      </c>
      <c r="E6784" s="733"/>
    </row>
    <row r="6785" spans="2:5">
      <c r="B6785" s="121">
        <v>587</v>
      </c>
      <c r="C6785" s="121">
        <v>2</v>
      </c>
      <c r="D6785" s="734">
        <v>101.47963933677492</v>
      </c>
      <c r="E6785" s="733"/>
    </row>
    <row r="6786" spans="2:5">
      <c r="B6786" s="121">
        <v>587</v>
      </c>
      <c r="C6786" s="121">
        <v>3</v>
      </c>
      <c r="D6786" s="734">
        <v>121.18930771000367</v>
      </c>
      <c r="E6786" s="733"/>
    </row>
    <row r="6787" spans="2:5">
      <c r="B6787" s="121">
        <v>587</v>
      </c>
      <c r="C6787" s="121">
        <v>4</v>
      </c>
      <c r="D6787" s="734">
        <v>139.35138012718306</v>
      </c>
      <c r="E6787" s="733"/>
    </row>
    <row r="6788" spans="2:5">
      <c r="B6788" s="121">
        <v>587</v>
      </c>
      <c r="C6788" s="121">
        <v>5</v>
      </c>
      <c r="D6788" s="734">
        <v>140.99051898162713</v>
      </c>
      <c r="E6788" s="733"/>
    </row>
    <row r="6789" spans="2:5">
      <c r="B6789" s="121">
        <v>587</v>
      </c>
      <c r="C6789" s="121">
        <v>6</v>
      </c>
      <c r="D6789" s="734">
        <v>139.51446878254745</v>
      </c>
      <c r="E6789" s="733"/>
    </row>
    <row r="6790" spans="2:5">
      <c r="B6790" s="121">
        <v>587</v>
      </c>
      <c r="C6790" s="121">
        <v>7</v>
      </c>
      <c r="D6790" s="734">
        <v>137.03497872831386</v>
      </c>
      <c r="E6790" s="733"/>
    </row>
    <row r="6791" spans="2:5">
      <c r="B6791" s="121">
        <v>587</v>
      </c>
      <c r="C6791" s="121">
        <v>8</v>
      </c>
      <c r="D6791" s="734">
        <v>146.26088587830759</v>
      </c>
      <c r="E6791" s="733"/>
    </row>
    <row r="6792" spans="2:5">
      <c r="B6792" s="121">
        <v>587</v>
      </c>
      <c r="C6792" s="121">
        <v>9</v>
      </c>
      <c r="D6792" s="734">
        <v>140.53934701962879</v>
      </c>
      <c r="E6792" s="733"/>
    </row>
    <row r="6793" spans="2:5">
      <c r="B6793" s="121">
        <v>587</v>
      </c>
      <c r="C6793" s="121">
        <v>10</v>
      </c>
      <c r="D6793" s="734">
        <v>144.284403708215</v>
      </c>
      <c r="E6793" s="733"/>
    </row>
    <row r="6794" spans="2:5">
      <c r="B6794" s="121">
        <v>587</v>
      </c>
      <c r="C6794" s="121">
        <v>11</v>
      </c>
      <c r="D6794" s="734">
        <v>142.78478654145718</v>
      </c>
      <c r="E6794" s="733"/>
    </row>
    <row r="6795" spans="2:5">
      <c r="B6795" s="121">
        <v>587</v>
      </c>
      <c r="C6795" s="121">
        <v>12</v>
      </c>
      <c r="D6795" s="734">
        <v>139.56835504616464</v>
      </c>
      <c r="E6795" s="733"/>
    </row>
    <row r="6796" spans="2:5">
      <c r="B6796" s="121">
        <v>587</v>
      </c>
      <c r="C6796" s="121">
        <v>13</v>
      </c>
      <c r="D6796" s="734">
        <v>141.39534603086611</v>
      </c>
      <c r="E6796" s="733"/>
    </row>
    <row r="6797" spans="2:5">
      <c r="B6797" s="121">
        <v>587</v>
      </c>
      <c r="C6797" s="121">
        <v>14</v>
      </c>
      <c r="D6797" s="734">
        <v>140.07649680891288</v>
      </c>
      <c r="E6797" s="733"/>
    </row>
    <row r="6798" spans="2:5">
      <c r="B6798" s="121">
        <v>587</v>
      </c>
      <c r="C6798" s="121">
        <v>15</v>
      </c>
      <c r="D6798" s="734">
        <v>135.70542804404386</v>
      </c>
      <c r="E6798" s="733"/>
    </row>
    <row r="6799" spans="2:5">
      <c r="B6799" s="121">
        <v>587</v>
      </c>
      <c r="C6799" s="121">
        <v>16</v>
      </c>
      <c r="D6799" s="734">
        <v>142.74210796450407</v>
      </c>
      <c r="E6799" s="733"/>
    </row>
    <row r="6800" spans="2:5">
      <c r="B6800" s="121">
        <v>587</v>
      </c>
      <c r="C6800" s="121">
        <v>17</v>
      </c>
      <c r="D6800" s="734">
        <v>141.2458729925161</v>
      </c>
      <c r="E6800" s="733"/>
    </row>
    <row r="6801" spans="2:5">
      <c r="B6801" s="121">
        <v>587</v>
      </c>
      <c r="C6801" s="121">
        <v>18</v>
      </c>
      <c r="D6801" s="734">
        <v>134.5290355222258</v>
      </c>
      <c r="E6801" s="733"/>
    </row>
    <row r="6802" spans="2:5">
      <c r="B6802" s="121">
        <v>587</v>
      </c>
      <c r="C6802" s="121">
        <v>19</v>
      </c>
      <c r="D6802" s="734">
        <v>139.91557628612907</v>
      </c>
      <c r="E6802" s="733"/>
    </row>
    <row r="6803" spans="2:5">
      <c r="B6803" s="121">
        <v>587</v>
      </c>
      <c r="C6803" s="121">
        <v>20</v>
      </c>
      <c r="D6803" s="734">
        <v>135.66067778026044</v>
      </c>
      <c r="E6803" s="733"/>
    </row>
    <row r="6804" spans="2:5">
      <c r="B6804" s="121">
        <v>587</v>
      </c>
      <c r="C6804" s="121">
        <v>21</v>
      </c>
      <c r="D6804" s="734">
        <v>134.65391090687183</v>
      </c>
      <c r="E6804" s="733"/>
    </row>
    <row r="6805" spans="2:5">
      <c r="B6805" s="121">
        <v>587</v>
      </c>
      <c r="C6805" s="121">
        <v>22</v>
      </c>
      <c r="D6805" s="734">
        <v>145.89470869533221</v>
      </c>
      <c r="E6805" s="733"/>
    </row>
    <row r="6806" spans="2:5">
      <c r="B6806" s="121">
        <v>587</v>
      </c>
      <c r="C6806" s="121">
        <v>23</v>
      </c>
      <c r="D6806" s="734">
        <v>142.74194108037759</v>
      </c>
      <c r="E6806" s="733"/>
    </row>
    <row r="6807" spans="2:5">
      <c r="B6807" s="121">
        <v>587</v>
      </c>
      <c r="C6807" s="121">
        <v>24</v>
      </c>
      <c r="D6807" s="734">
        <v>136.0504276660831</v>
      </c>
      <c r="E6807" s="733"/>
    </row>
    <row r="6808" spans="2:5">
      <c r="B6808" s="121">
        <v>587</v>
      </c>
      <c r="C6808" s="121">
        <v>25</v>
      </c>
      <c r="D6808" s="734">
        <v>138.85497594421395</v>
      </c>
      <c r="E6808" s="733"/>
    </row>
    <row r="6809" spans="2:5">
      <c r="B6809" s="121">
        <v>587</v>
      </c>
      <c r="C6809" s="121">
        <v>26</v>
      </c>
      <c r="D6809" s="734">
        <v>143.99699496274391</v>
      </c>
      <c r="E6809" s="733"/>
    </row>
    <row r="6810" spans="2:5">
      <c r="B6810" s="121">
        <v>588</v>
      </c>
      <c r="C6810" s="121">
        <v>1</v>
      </c>
      <c r="D6810" s="734">
        <v>5</v>
      </c>
      <c r="E6810" s="733"/>
    </row>
    <row r="6811" spans="2:5">
      <c r="B6811" s="121">
        <v>588</v>
      </c>
      <c r="C6811" s="121">
        <v>2</v>
      </c>
      <c r="D6811" s="734">
        <v>95.075867964800722</v>
      </c>
      <c r="E6811" s="733"/>
    </row>
    <row r="6812" spans="2:5">
      <c r="B6812" s="121">
        <v>588</v>
      </c>
      <c r="C6812" s="121">
        <v>3</v>
      </c>
      <c r="D6812" s="734">
        <v>124.99154464233139</v>
      </c>
      <c r="E6812" s="733"/>
    </row>
    <row r="6813" spans="2:5">
      <c r="B6813" s="121">
        <v>588</v>
      </c>
      <c r="C6813" s="121">
        <v>4</v>
      </c>
      <c r="D6813" s="734">
        <v>136.34479518864205</v>
      </c>
      <c r="E6813" s="733"/>
    </row>
    <row r="6814" spans="2:5">
      <c r="B6814" s="121">
        <v>588</v>
      </c>
      <c r="C6814" s="121">
        <v>5</v>
      </c>
      <c r="D6814" s="734">
        <v>134.38913620638274</v>
      </c>
      <c r="E6814" s="733"/>
    </row>
    <row r="6815" spans="2:5">
      <c r="B6815" s="121">
        <v>588</v>
      </c>
      <c r="C6815" s="121">
        <v>6</v>
      </c>
      <c r="D6815" s="734">
        <v>139.99698810201957</v>
      </c>
      <c r="E6815" s="733"/>
    </row>
    <row r="6816" spans="2:5">
      <c r="B6816" s="121">
        <v>588</v>
      </c>
      <c r="C6816" s="121">
        <v>7</v>
      </c>
      <c r="D6816" s="734">
        <v>141.9081070042941</v>
      </c>
      <c r="E6816" s="733"/>
    </row>
    <row r="6817" spans="2:5">
      <c r="B6817" s="121">
        <v>588</v>
      </c>
      <c r="C6817" s="121">
        <v>8</v>
      </c>
      <c r="D6817" s="734">
        <v>143.34665438807886</v>
      </c>
      <c r="E6817" s="733"/>
    </row>
    <row r="6818" spans="2:5">
      <c r="B6818" s="121">
        <v>588</v>
      </c>
      <c r="C6818" s="121">
        <v>9</v>
      </c>
      <c r="D6818" s="734">
        <v>141.95722480939381</v>
      </c>
      <c r="E6818" s="733"/>
    </row>
    <row r="6819" spans="2:5">
      <c r="B6819" s="121">
        <v>588</v>
      </c>
      <c r="C6819" s="121">
        <v>10</v>
      </c>
      <c r="D6819" s="734">
        <v>134.59430522299039</v>
      </c>
      <c r="E6819" s="733"/>
    </row>
    <row r="6820" spans="2:5">
      <c r="B6820" s="121">
        <v>588</v>
      </c>
      <c r="C6820" s="121">
        <v>11</v>
      </c>
      <c r="D6820" s="734">
        <v>139.73846202324552</v>
      </c>
      <c r="E6820" s="733"/>
    </row>
    <row r="6821" spans="2:5">
      <c r="B6821" s="121">
        <v>588</v>
      </c>
      <c r="C6821" s="121">
        <v>12</v>
      </c>
      <c r="D6821" s="734">
        <v>145.25874103832422</v>
      </c>
      <c r="E6821" s="733"/>
    </row>
    <row r="6822" spans="2:5">
      <c r="B6822" s="121">
        <v>589</v>
      </c>
      <c r="C6822" s="121">
        <v>1</v>
      </c>
      <c r="D6822" s="734">
        <v>5</v>
      </c>
      <c r="E6822" s="733"/>
    </row>
    <row r="6823" spans="2:5">
      <c r="B6823" s="121">
        <v>590</v>
      </c>
      <c r="C6823" s="121">
        <v>1</v>
      </c>
      <c r="D6823" s="734">
        <v>5</v>
      </c>
      <c r="E6823" s="733"/>
    </row>
    <row r="6824" spans="2:5">
      <c r="B6824" s="121">
        <v>590</v>
      </c>
      <c r="C6824" s="121">
        <v>2</v>
      </c>
      <c r="D6824" s="734">
        <v>100.82352697373173</v>
      </c>
      <c r="E6824" s="733"/>
    </row>
    <row r="6825" spans="2:5">
      <c r="B6825" s="121">
        <v>590</v>
      </c>
      <c r="C6825" s="121">
        <v>3</v>
      </c>
      <c r="D6825" s="734">
        <v>116.82068797674772</v>
      </c>
      <c r="E6825" s="733"/>
    </row>
    <row r="6826" spans="2:5">
      <c r="B6826" s="121">
        <v>590</v>
      </c>
      <c r="C6826" s="121">
        <v>4</v>
      </c>
      <c r="D6826" s="734">
        <v>135.7389445997365</v>
      </c>
      <c r="E6826" s="733"/>
    </row>
    <row r="6827" spans="2:5">
      <c r="B6827" s="121">
        <v>590</v>
      </c>
      <c r="C6827" s="121">
        <v>5</v>
      </c>
      <c r="D6827" s="734">
        <v>143.9506996904492</v>
      </c>
      <c r="E6827" s="733"/>
    </row>
    <row r="6828" spans="2:5">
      <c r="B6828" s="121">
        <v>590</v>
      </c>
      <c r="C6828" s="121">
        <v>6</v>
      </c>
      <c r="D6828" s="734">
        <v>145.23499381313658</v>
      </c>
      <c r="E6828" s="733"/>
    </row>
    <row r="6829" spans="2:5">
      <c r="B6829" s="121">
        <v>590</v>
      </c>
      <c r="C6829" s="121">
        <v>7</v>
      </c>
      <c r="D6829" s="734">
        <v>145.53006215294121</v>
      </c>
      <c r="E6829" s="733"/>
    </row>
    <row r="6830" spans="2:5">
      <c r="B6830" s="121">
        <v>590</v>
      </c>
      <c r="C6830" s="121">
        <v>8</v>
      </c>
      <c r="D6830" s="734">
        <v>139.44597574622605</v>
      </c>
      <c r="E6830" s="733"/>
    </row>
    <row r="6831" spans="2:5">
      <c r="B6831" s="121">
        <v>590</v>
      </c>
      <c r="C6831" s="121">
        <v>9</v>
      </c>
      <c r="D6831" s="734">
        <v>141.59376634749523</v>
      </c>
      <c r="E6831" s="733"/>
    </row>
    <row r="6832" spans="2:5">
      <c r="B6832" s="121">
        <v>590</v>
      </c>
      <c r="C6832" s="121">
        <v>10</v>
      </c>
      <c r="D6832" s="734">
        <v>146.63064074544124</v>
      </c>
      <c r="E6832" s="733"/>
    </row>
    <row r="6833" spans="2:5">
      <c r="B6833" s="121">
        <v>590</v>
      </c>
      <c r="C6833" s="121">
        <v>11</v>
      </c>
      <c r="D6833" s="734">
        <v>143.07296701056919</v>
      </c>
      <c r="E6833" s="733"/>
    </row>
    <row r="6834" spans="2:5">
      <c r="B6834" s="121">
        <v>590</v>
      </c>
      <c r="C6834" s="121">
        <v>12</v>
      </c>
      <c r="D6834" s="734">
        <v>133.94423082866234</v>
      </c>
      <c r="E6834" s="733"/>
    </row>
    <row r="6835" spans="2:5">
      <c r="B6835" s="121">
        <v>590</v>
      </c>
      <c r="C6835" s="121">
        <v>13</v>
      </c>
      <c r="D6835" s="734">
        <v>139.20986401518491</v>
      </c>
      <c r="E6835" s="733"/>
    </row>
    <row r="6836" spans="2:5">
      <c r="B6836" s="121">
        <v>590</v>
      </c>
      <c r="C6836" s="121">
        <v>14</v>
      </c>
      <c r="D6836" s="734">
        <v>136.47225627618201</v>
      </c>
      <c r="E6836" s="733"/>
    </row>
    <row r="6837" spans="2:5">
      <c r="B6837" s="121">
        <v>590</v>
      </c>
      <c r="C6837" s="121">
        <v>15</v>
      </c>
      <c r="D6837" s="734">
        <v>143.67112797997007</v>
      </c>
      <c r="E6837" s="733"/>
    </row>
    <row r="6838" spans="2:5">
      <c r="B6838" s="121">
        <v>590</v>
      </c>
      <c r="C6838" s="121">
        <v>16</v>
      </c>
      <c r="D6838" s="734">
        <v>135.92870022209763</v>
      </c>
      <c r="E6838" s="733"/>
    </row>
    <row r="6839" spans="2:5">
      <c r="B6839" s="121">
        <v>590</v>
      </c>
      <c r="C6839" s="121">
        <v>17</v>
      </c>
      <c r="D6839" s="734">
        <v>133.68547282289063</v>
      </c>
      <c r="E6839" s="733"/>
    </row>
    <row r="6840" spans="2:5">
      <c r="B6840" s="121">
        <v>590</v>
      </c>
      <c r="C6840" s="121">
        <v>18</v>
      </c>
      <c r="D6840" s="734">
        <v>136.35277487866</v>
      </c>
      <c r="E6840" s="733"/>
    </row>
    <row r="6841" spans="2:5">
      <c r="B6841" s="121">
        <v>591</v>
      </c>
      <c r="C6841" s="121">
        <v>1</v>
      </c>
      <c r="D6841" s="734">
        <v>5</v>
      </c>
      <c r="E6841" s="733"/>
    </row>
    <row r="6842" spans="2:5">
      <c r="B6842" s="121">
        <v>591</v>
      </c>
      <c r="C6842" s="121">
        <v>2</v>
      </c>
      <c r="D6842" s="734">
        <v>96.122161126491719</v>
      </c>
      <c r="E6842" s="733"/>
    </row>
    <row r="6843" spans="2:5">
      <c r="B6843" s="121">
        <v>591</v>
      </c>
      <c r="C6843" s="121">
        <v>3</v>
      </c>
      <c r="D6843" s="734">
        <v>124.20547313002285</v>
      </c>
      <c r="E6843" s="733"/>
    </row>
    <row r="6844" spans="2:5">
      <c r="B6844" s="121">
        <v>591</v>
      </c>
      <c r="C6844" s="121">
        <v>4</v>
      </c>
      <c r="D6844" s="734">
        <v>135.02534540085281</v>
      </c>
      <c r="E6844" s="733"/>
    </row>
    <row r="6845" spans="2:5">
      <c r="B6845" s="121">
        <v>591</v>
      </c>
      <c r="C6845" s="121">
        <v>5</v>
      </c>
      <c r="D6845" s="734">
        <v>135.69578211324421</v>
      </c>
      <c r="E6845" s="733"/>
    </row>
    <row r="6846" spans="2:5">
      <c r="B6846" s="121">
        <v>591</v>
      </c>
      <c r="C6846" s="121">
        <v>6</v>
      </c>
      <c r="D6846" s="734">
        <v>144.06710914405016</v>
      </c>
      <c r="E6846" s="733"/>
    </row>
    <row r="6847" spans="2:5">
      <c r="B6847" s="121">
        <v>591</v>
      </c>
      <c r="C6847" s="121">
        <v>7</v>
      </c>
      <c r="D6847" s="734">
        <v>144.03371562970185</v>
      </c>
      <c r="E6847" s="733"/>
    </row>
    <row r="6848" spans="2:5">
      <c r="B6848" s="121">
        <v>591</v>
      </c>
      <c r="C6848" s="121">
        <v>8</v>
      </c>
      <c r="D6848" s="734">
        <v>138.73368685543491</v>
      </c>
      <c r="E6848" s="733"/>
    </row>
    <row r="6849" spans="2:5">
      <c r="B6849" s="121">
        <v>591</v>
      </c>
      <c r="C6849" s="121">
        <v>9</v>
      </c>
      <c r="D6849" s="734">
        <v>142.35243001557313</v>
      </c>
      <c r="E6849" s="733"/>
    </row>
    <row r="6850" spans="2:5">
      <c r="B6850" s="121">
        <v>591</v>
      </c>
      <c r="C6850" s="121">
        <v>10</v>
      </c>
      <c r="D6850" s="734">
        <v>142.86154134063571</v>
      </c>
      <c r="E6850" s="733"/>
    </row>
    <row r="6851" spans="2:5">
      <c r="B6851" s="121">
        <v>592</v>
      </c>
      <c r="C6851" s="121">
        <v>1</v>
      </c>
      <c r="D6851" s="734">
        <v>5</v>
      </c>
      <c r="E6851" s="733"/>
    </row>
    <row r="6852" spans="2:5">
      <c r="B6852" s="121">
        <v>592</v>
      </c>
      <c r="C6852" s="121">
        <v>2</v>
      </c>
      <c r="D6852" s="734">
        <v>96.348227273286525</v>
      </c>
      <c r="E6852" s="733"/>
    </row>
    <row r="6853" spans="2:5">
      <c r="B6853" s="121">
        <v>592</v>
      </c>
      <c r="C6853" s="121">
        <v>3</v>
      </c>
      <c r="D6853" s="734">
        <v>117.15842830408116</v>
      </c>
      <c r="E6853" s="733"/>
    </row>
    <row r="6854" spans="2:5">
      <c r="B6854" s="121">
        <v>592</v>
      </c>
      <c r="C6854" s="121">
        <v>4</v>
      </c>
      <c r="D6854" s="734">
        <v>136.8174469048918</v>
      </c>
      <c r="E6854" s="733"/>
    </row>
    <row r="6855" spans="2:5">
      <c r="B6855" s="121">
        <v>592</v>
      </c>
      <c r="C6855" s="121">
        <v>5</v>
      </c>
      <c r="D6855" s="734">
        <v>147.00190657513775</v>
      </c>
      <c r="E6855" s="733"/>
    </row>
    <row r="6856" spans="2:5">
      <c r="B6856" s="121">
        <v>592</v>
      </c>
      <c r="C6856" s="121">
        <v>6</v>
      </c>
      <c r="D6856" s="734">
        <v>143.9768430839828</v>
      </c>
      <c r="E6856" s="733"/>
    </row>
    <row r="6857" spans="2:5">
      <c r="B6857" s="121">
        <v>592</v>
      </c>
      <c r="C6857" s="121">
        <v>7</v>
      </c>
      <c r="D6857" s="734">
        <v>141.99687909099907</v>
      </c>
      <c r="E6857" s="733"/>
    </row>
    <row r="6858" spans="2:5">
      <c r="B6858" s="121">
        <v>592</v>
      </c>
      <c r="C6858" s="121">
        <v>8</v>
      </c>
      <c r="D6858" s="734">
        <v>138.19288149317384</v>
      </c>
      <c r="E6858" s="733"/>
    </row>
    <row r="6859" spans="2:5">
      <c r="B6859" s="121">
        <v>592</v>
      </c>
      <c r="C6859" s="121">
        <v>9</v>
      </c>
      <c r="D6859" s="734">
        <v>140.62252370183853</v>
      </c>
      <c r="E6859" s="733"/>
    </row>
    <row r="6860" spans="2:5">
      <c r="B6860" s="121">
        <v>592</v>
      </c>
      <c r="C6860" s="121">
        <v>10</v>
      </c>
      <c r="D6860" s="734">
        <v>136.46709797610569</v>
      </c>
      <c r="E6860" s="733"/>
    </row>
    <row r="6861" spans="2:5">
      <c r="B6861" s="121">
        <v>592</v>
      </c>
      <c r="C6861" s="121">
        <v>11</v>
      </c>
      <c r="D6861" s="734">
        <v>144.67143090471438</v>
      </c>
      <c r="E6861" s="733"/>
    </row>
    <row r="6862" spans="2:5">
      <c r="B6862" s="121">
        <v>592</v>
      </c>
      <c r="C6862" s="121">
        <v>12</v>
      </c>
      <c r="D6862" s="734">
        <v>141.1995628898654</v>
      </c>
      <c r="E6862" s="733"/>
    </row>
    <row r="6863" spans="2:5">
      <c r="B6863" s="121">
        <v>592</v>
      </c>
      <c r="C6863" s="121">
        <v>13</v>
      </c>
      <c r="D6863" s="734">
        <v>144.36754123383852</v>
      </c>
      <c r="E6863" s="733"/>
    </row>
    <row r="6864" spans="2:5">
      <c r="B6864" s="121">
        <v>593</v>
      </c>
      <c r="C6864" s="121">
        <v>1</v>
      </c>
      <c r="D6864" s="734">
        <v>5</v>
      </c>
      <c r="E6864" s="733"/>
    </row>
    <row r="6865" spans="2:5">
      <c r="B6865" s="121">
        <v>593</v>
      </c>
      <c r="C6865" s="121">
        <v>2</v>
      </c>
      <c r="D6865" s="734">
        <v>101.05648845523734</v>
      </c>
      <c r="E6865" s="733"/>
    </row>
    <row r="6866" spans="2:5">
      <c r="B6866" s="121">
        <v>593</v>
      </c>
      <c r="C6866" s="121">
        <v>3</v>
      </c>
      <c r="D6866" s="734">
        <v>124.87990666847618</v>
      </c>
      <c r="E6866" s="733"/>
    </row>
    <row r="6867" spans="2:5">
      <c r="B6867" s="121">
        <v>593</v>
      </c>
      <c r="C6867" s="121">
        <v>4</v>
      </c>
      <c r="D6867" s="734">
        <v>137.94767369587962</v>
      </c>
      <c r="E6867" s="733"/>
    </row>
    <row r="6868" spans="2:5">
      <c r="B6868" s="121">
        <v>593</v>
      </c>
      <c r="C6868" s="121">
        <v>5</v>
      </c>
      <c r="D6868" s="734">
        <v>141.37380856122957</v>
      </c>
      <c r="E6868" s="733"/>
    </row>
    <row r="6869" spans="2:5">
      <c r="B6869" s="121">
        <v>593</v>
      </c>
      <c r="C6869" s="121">
        <v>6</v>
      </c>
      <c r="D6869" s="734">
        <v>135.84128296253903</v>
      </c>
      <c r="E6869" s="733"/>
    </row>
    <row r="6870" spans="2:5">
      <c r="B6870" s="121">
        <v>593</v>
      </c>
      <c r="C6870" s="121">
        <v>7</v>
      </c>
      <c r="D6870" s="734">
        <v>142.20024324579163</v>
      </c>
      <c r="E6870" s="733"/>
    </row>
    <row r="6871" spans="2:5">
      <c r="B6871" s="121">
        <v>593</v>
      </c>
      <c r="C6871" s="121">
        <v>8</v>
      </c>
      <c r="D6871" s="734">
        <v>137.68312792146088</v>
      </c>
      <c r="E6871" s="733"/>
    </row>
    <row r="6872" spans="2:5">
      <c r="B6872" s="121">
        <v>594</v>
      </c>
      <c r="C6872" s="121">
        <v>1</v>
      </c>
      <c r="D6872" s="734">
        <v>5</v>
      </c>
      <c r="E6872" s="733"/>
    </row>
    <row r="6873" spans="2:5">
      <c r="B6873" s="121">
        <v>595</v>
      </c>
      <c r="C6873" s="121">
        <v>1</v>
      </c>
      <c r="D6873" s="734">
        <v>5</v>
      </c>
      <c r="E6873" s="733"/>
    </row>
    <row r="6874" spans="2:5">
      <c r="B6874" s="121">
        <v>595</v>
      </c>
      <c r="C6874" s="121">
        <v>2</v>
      </c>
      <c r="D6874" s="734">
        <v>99.974429737135722</v>
      </c>
      <c r="E6874" s="733"/>
    </row>
    <row r="6875" spans="2:5">
      <c r="B6875" s="121">
        <v>595</v>
      </c>
      <c r="C6875" s="121">
        <v>3</v>
      </c>
      <c r="D6875" s="734">
        <v>124.46894352029138</v>
      </c>
      <c r="E6875" s="733"/>
    </row>
    <row r="6876" spans="2:5">
      <c r="B6876" s="121">
        <v>595</v>
      </c>
      <c r="C6876" s="121">
        <v>4</v>
      </c>
      <c r="D6876" s="734">
        <v>145.5626630953569</v>
      </c>
      <c r="E6876" s="733"/>
    </row>
    <row r="6877" spans="2:5">
      <c r="B6877" s="121">
        <v>595</v>
      </c>
      <c r="C6877" s="121">
        <v>5</v>
      </c>
      <c r="D6877" s="734">
        <v>139.02648697677387</v>
      </c>
      <c r="E6877" s="733"/>
    </row>
    <row r="6878" spans="2:5">
      <c r="B6878" s="121">
        <v>595</v>
      </c>
      <c r="C6878" s="121">
        <v>6</v>
      </c>
      <c r="D6878" s="734">
        <v>141.05004736423112</v>
      </c>
      <c r="E6878" s="733"/>
    </row>
    <row r="6879" spans="2:5">
      <c r="B6879" s="121">
        <v>596</v>
      </c>
      <c r="C6879" s="121">
        <v>1</v>
      </c>
      <c r="D6879" s="734">
        <v>5</v>
      </c>
      <c r="E6879" s="733"/>
    </row>
    <row r="6880" spans="2:5">
      <c r="B6880" s="121">
        <v>597</v>
      </c>
      <c r="C6880" s="121">
        <v>1</v>
      </c>
      <c r="D6880" s="734">
        <v>5</v>
      </c>
      <c r="E6880" s="733"/>
    </row>
    <row r="6881" spans="2:5">
      <c r="B6881" s="121">
        <v>597</v>
      </c>
      <c r="C6881" s="121">
        <v>2</v>
      </c>
      <c r="D6881" s="734">
        <v>94.792695554107226</v>
      </c>
      <c r="E6881" s="733"/>
    </row>
    <row r="6882" spans="2:5">
      <c r="B6882" s="121">
        <v>597</v>
      </c>
      <c r="C6882" s="121">
        <v>3</v>
      </c>
      <c r="D6882" s="734">
        <v>115.59514928273344</v>
      </c>
      <c r="E6882" s="733"/>
    </row>
    <row r="6883" spans="2:5">
      <c r="B6883" s="121">
        <v>597</v>
      </c>
      <c r="C6883" s="121">
        <v>4</v>
      </c>
      <c r="D6883" s="734">
        <v>141.70844884308386</v>
      </c>
      <c r="E6883" s="733"/>
    </row>
    <row r="6884" spans="2:5">
      <c r="B6884" s="121">
        <v>597</v>
      </c>
      <c r="C6884" s="121">
        <v>5</v>
      </c>
      <c r="D6884" s="734">
        <v>136.42770641275806</v>
      </c>
      <c r="E6884" s="733"/>
    </row>
    <row r="6885" spans="2:5">
      <c r="B6885" s="121">
        <v>597</v>
      </c>
      <c r="C6885" s="121">
        <v>6</v>
      </c>
      <c r="D6885" s="734">
        <v>136.35583003151058</v>
      </c>
      <c r="E6885" s="733"/>
    </row>
    <row r="6886" spans="2:5">
      <c r="B6886" s="121">
        <v>597</v>
      </c>
      <c r="C6886" s="121">
        <v>7</v>
      </c>
      <c r="D6886" s="734">
        <v>140.08068706753693</v>
      </c>
      <c r="E6886" s="733"/>
    </row>
    <row r="6887" spans="2:5">
      <c r="B6887" s="121">
        <v>597</v>
      </c>
      <c r="C6887" s="121">
        <v>8</v>
      </c>
      <c r="D6887" s="734">
        <v>141.46148738127073</v>
      </c>
      <c r="E6887" s="733"/>
    </row>
    <row r="6888" spans="2:5">
      <c r="B6888" s="121">
        <v>597</v>
      </c>
      <c r="C6888" s="121">
        <v>9</v>
      </c>
      <c r="D6888" s="734">
        <v>144.52009290125326</v>
      </c>
      <c r="E6888" s="733"/>
    </row>
    <row r="6889" spans="2:5">
      <c r="B6889" s="121">
        <v>597</v>
      </c>
      <c r="C6889" s="121">
        <v>10</v>
      </c>
      <c r="D6889" s="734">
        <v>142.52912959353111</v>
      </c>
      <c r="E6889" s="733"/>
    </row>
    <row r="6890" spans="2:5">
      <c r="B6890" s="121">
        <v>597</v>
      </c>
      <c r="C6890" s="121">
        <v>11</v>
      </c>
      <c r="D6890" s="734">
        <v>140.98760967161559</v>
      </c>
      <c r="E6890" s="733"/>
    </row>
    <row r="6891" spans="2:5">
      <c r="B6891" s="121">
        <v>597</v>
      </c>
      <c r="C6891" s="121">
        <v>12</v>
      </c>
      <c r="D6891" s="734">
        <v>137.68129166546743</v>
      </c>
      <c r="E6891" s="733"/>
    </row>
    <row r="6892" spans="2:5">
      <c r="B6892" s="121">
        <v>597</v>
      </c>
      <c r="C6892" s="121">
        <v>13</v>
      </c>
      <c r="D6892" s="734">
        <v>140.32331805557178</v>
      </c>
      <c r="E6892" s="733"/>
    </row>
    <row r="6893" spans="2:5">
      <c r="B6893" s="121">
        <v>597</v>
      </c>
      <c r="C6893" s="121">
        <v>14</v>
      </c>
      <c r="D6893" s="734">
        <v>139.77515099660584</v>
      </c>
      <c r="E6893" s="733"/>
    </row>
    <row r="6894" spans="2:5">
      <c r="B6894" s="121">
        <v>597</v>
      </c>
      <c r="C6894" s="121">
        <v>15</v>
      </c>
      <c r="D6894" s="734">
        <v>141.77655456183521</v>
      </c>
      <c r="E6894" s="733"/>
    </row>
    <row r="6895" spans="2:5">
      <c r="B6895" s="121">
        <v>597</v>
      </c>
      <c r="C6895" s="121">
        <v>16</v>
      </c>
      <c r="D6895" s="734">
        <v>144.0358711821122</v>
      </c>
      <c r="E6895" s="733"/>
    </row>
    <row r="6896" spans="2:5">
      <c r="B6896" s="121">
        <v>597</v>
      </c>
      <c r="C6896" s="121">
        <v>17</v>
      </c>
      <c r="D6896" s="734">
        <v>138.25623828994642</v>
      </c>
      <c r="E6896" s="733"/>
    </row>
    <row r="6897" spans="2:5">
      <c r="B6897" s="121">
        <v>597</v>
      </c>
      <c r="C6897" s="121">
        <v>18</v>
      </c>
      <c r="D6897" s="734">
        <v>136.54007739245546</v>
      </c>
      <c r="E6897" s="733"/>
    </row>
    <row r="6898" spans="2:5">
      <c r="B6898" s="121">
        <v>597</v>
      </c>
      <c r="C6898" s="121">
        <v>19</v>
      </c>
      <c r="D6898" s="734">
        <v>143.72069168282809</v>
      </c>
      <c r="E6898" s="733"/>
    </row>
    <row r="6899" spans="2:5">
      <c r="B6899" s="121">
        <v>597</v>
      </c>
      <c r="C6899" s="121">
        <v>20</v>
      </c>
      <c r="D6899" s="734">
        <v>135.98816565341093</v>
      </c>
      <c r="E6899" s="733"/>
    </row>
    <row r="6900" spans="2:5">
      <c r="B6900" s="121">
        <v>597</v>
      </c>
      <c r="C6900" s="121">
        <v>21</v>
      </c>
      <c r="D6900" s="734">
        <v>139.88148118352319</v>
      </c>
      <c r="E6900" s="733"/>
    </row>
    <row r="6901" spans="2:5">
      <c r="B6901" s="121">
        <v>597</v>
      </c>
      <c r="C6901" s="121">
        <v>22</v>
      </c>
      <c r="D6901" s="734">
        <v>141.94359566249966</v>
      </c>
      <c r="E6901" s="733"/>
    </row>
    <row r="6902" spans="2:5">
      <c r="B6902" s="121">
        <v>597</v>
      </c>
      <c r="C6902" s="121">
        <v>23</v>
      </c>
      <c r="D6902" s="734">
        <v>138.98318266015204</v>
      </c>
      <c r="E6902" s="733"/>
    </row>
    <row r="6903" spans="2:5">
      <c r="B6903" s="121">
        <v>597</v>
      </c>
      <c r="C6903" s="121">
        <v>24</v>
      </c>
      <c r="D6903" s="734">
        <v>134.79483449196681</v>
      </c>
      <c r="E6903" s="733"/>
    </row>
    <row r="6904" spans="2:5">
      <c r="B6904" s="121">
        <v>597</v>
      </c>
      <c r="C6904" s="121">
        <v>25</v>
      </c>
      <c r="D6904" s="734">
        <v>135.75906556945117</v>
      </c>
      <c r="E6904" s="733"/>
    </row>
    <row r="6905" spans="2:5">
      <c r="B6905" s="121">
        <v>597</v>
      </c>
      <c r="C6905" s="121">
        <v>26</v>
      </c>
      <c r="D6905" s="734">
        <v>146.05824320770196</v>
      </c>
      <c r="E6905" s="733"/>
    </row>
    <row r="6906" spans="2:5">
      <c r="B6906" s="121">
        <v>597</v>
      </c>
      <c r="C6906" s="121">
        <v>27</v>
      </c>
      <c r="D6906" s="734">
        <v>138.69972569292617</v>
      </c>
      <c r="E6906" s="733"/>
    </row>
    <row r="6907" spans="2:5">
      <c r="B6907" s="121">
        <v>597</v>
      </c>
      <c r="C6907" s="121">
        <v>28</v>
      </c>
      <c r="D6907" s="734">
        <v>140.8553253024057</v>
      </c>
      <c r="E6907" s="733"/>
    </row>
    <row r="6908" spans="2:5">
      <c r="B6908" s="121">
        <v>597</v>
      </c>
      <c r="C6908" s="121">
        <v>29</v>
      </c>
      <c r="D6908" s="734">
        <v>140.75686265854088</v>
      </c>
      <c r="E6908" s="733"/>
    </row>
    <row r="6909" spans="2:5">
      <c r="B6909" s="121">
        <v>598</v>
      </c>
      <c r="C6909" s="121">
        <v>1</v>
      </c>
      <c r="D6909" s="734">
        <v>5</v>
      </c>
      <c r="E6909" s="733"/>
    </row>
    <row r="6910" spans="2:5">
      <c r="B6910" s="121">
        <v>599</v>
      </c>
      <c r="C6910" s="121">
        <v>1</v>
      </c>
      <c r="D6910" s="734">
        <v>5</v>
      </c>
      <c r="E6910" s="733"/>
    </row>
    <row r="6911" spans="2:5">
      <c r="B6911" s="121">
        <v>600</v>
      </c>
      <c r="C6911" s="121">
        <v>1</v>
      </c>
      <c r="D6911" s="734">
        <v>5</v>
      </c>
      <c r="E6911" s="733"/>
    </row>
    <row r="6912" spans="2:5">
      <c r="B6912" s="121">
        <v>600</v>
      </c>
      <c r="C6912" s="121">
        <v>2</v>
      </c>
      <c r="D6912" s="734">
        <v>98.976144153446256</v>
      </c>
      <c r="E6912" s="733"/>
    </row>
    <row r="6913" spans="2:5">
      <c r="B6913" s="121">
        <v>600</v>
      </c>
      <c r="C6913" s="121">
        <v>3</v>
      </c>
      <c r="D6913" s="734">
        <v>115.63312022840483</v>
      </c>
      <c r="E6913" s="733"/>
    </row>
    <row r="6914" spans="2:5">
      <c r="B6914" s="121">
        <v>600</v>
      </c>
      <c r="C6914" s="121">
        <v>4</v>
      </c>
      <c r="D6914" s="734">
        <v>135.73275534244348</v>
      </c>
      <c r="E6914" s="733"/>
    </row>
    <row r="6915" spans="2:5">
      <c r="B6915" s="121">
        <v>600</v>
      </c>
      <c r="C6915" s="121">
        <v>5</v>
      </c>
      <c r="D6915" s="734">
        <v>139.03278487677892</v>
      </c>
      <c r="E6915" s="733"/>
    </row>
    <row r="6916" spans="2:5">
      <c r="B6916" s="121">
        <v>600</v>
      </c>
      <c r="C6916" s="121">
        <v>6</v>
      </c>
      <c r="D6916" s="734">
        <v>138.52368873768216</v>
      </c>
      <c r="E6916" s="733"/>
    </row>
    <row r="6917" spans="2:5">
      <c r="B6917" s="121">
        <v>600</v>
      </c>
      <c r="C6917" s="121">
        <v>7</v>
      </c>
      <c r="D6917" s="734">
        <v>139.01033825141798</v>
      </c>
      <c r="E6917" s="733"/>
    </row>
    <row r="6918" spans="2:5">
      <c r="B6918" s="121">
        <v>600</v>
      </c>
      <c r="C6918" s="121">
        <v>8</v>
      </c>
      <c r="D6918" s="734">
        <v>145.89295804219771</v>
      </c>
      <c r="E6918" s="733"/>
    </row>
    <row r="6919" spans="2:5">
      <c r="B6919" s="121">
        <v>600</v>
      </c>
      <c r="C6919" s="121">
        <v>9</v>
      </c>
      <c r="D6919" s="734">
        <v>137.47035087356528</v>
      </c>
      <c r="E6919" s="733"/>
    </row>
    <row r="6920" spans="2:5">
      <c r="B6920" s="121">
        <v>600</v>
      </c>
      <c r="C6920" s="121">
        <v>10</v>
      </c>
      <c r="D6920" s="734">
        <v>136.7275772154793</v>
      </c>
      <c r="E6920" s="733"/>
    </row>
    <row r="6921" spans="2:5">
      <c r="B6921" s="121">
        <v>600</v>
      </c>
      <c r="C6921" s="121">
        <v>11</v>
      </c>
      <c r="D6921" s="734">
        <v>144.80437515275537</v>
      </c>
      <c r="E6921" s="733"/>
    </row>
    <row r="6922" spans="2:5">
      <c r="B6922" s="121">
        <v>600</v>
      </c>
      <c r="C6922" s="121">
        <v>12</v>
      </c>
      <c r="D6922" s="734">
        <v>136.96911320421327</v>
      </c>
      <c r="E6922" s="733"/>
    </row>
    <row r="6923" spans="2:5">
      <c r="B6923" s="121">
        <v>600</v>
      </c>
      <c r="C6923" s="121">
        <v>13</v>
      </c>
      <c r="D6923" s="734">
        <v>136.71392359045345</v>
      </c>
      <c r="E6923" s="733"/>
    </row>
    <row r="6924" spans="2:5">
      <c r="B6924" s="121">
        <v>600</v>
      </c>
      <c r="C6924" s="121">
        <v>14</v>
      </c>
      <c r="D6924" s="734">
        <v>142.86883011478398</v>
      </c>
      <c r="E6924" s="733"/>
    </row>
    <row r="6925" spans="2:5">
      <c r="B6925" s="121">
        <v>600</v>
      </c>
      <c r="C6925" s="121">
        <v>15</v>
      </c>
      <c r="D6925" s="734">
        <v>139.79009959916041</v>
      </c>
      <c r="E6925" s="733"/>
    </row>
    <row r="6926" spans="2:5">
      <c r="B6926" s="121">
        <v>600</v>
      </c>
      <c r="C6926" s="121">
        <v>16</v>
      </c>
      <c r="D6926" s="734">
        <v>144.49968231066006</v>
      </c>
      <c r="E6926" s="733"/>
    </row>
    <row r="6927" spans="2:5">
      <c r="B6927" s="121">
        <v>600</v>
      </c>
      <c r="C6927" s="121">
        <v>17</v>
      </c>
      <c r="D6927" s="734">
        <v>139.31956866015398</v>
      </c>
      <c r="E6927" s="733"/>
    </row>
    <row r="6928" spans="2:5">
      <c r="B6928" s="121">
        <v>600</v>
      </c>
      <c r="C6928" s="121">
        <v>18</v>
      </c>
      <c r="D6928" s="734">
        <v>146.81309583801055</v>
      </c>
      <c r="E6928" s="733"/>
    </row>
    <row r="6929" spans="2:5">
      <c r="B6929" s="121">
        <v>600</v>
      </c>
      <c r="C6929" s="121">
        <v>19</v>
      </c>
      <c r="D6929" s="734">
        <v>140.85170493864388</v>
      </c>
      <c r="E6929" s="733"/>
    </row>
    <row r="6930" spans="2:5">
      <c r="B6930" s="121">
        <v>600</v>
      </c>
      <c r="C6930" s="121">
        <v>20</v>
      </c>
      <c r="D6930" s="734">
        <v>137.34744356592648</v>
      </c>
      <c r="E6930" s="733"/>
    </row>
    <row r="6931" spans="2:5">
      <c r="B6931" s="121">
        <v>600</v>
      </c>
      <c r="C6931" s="121">
        <v>21</v>
      </c>
      <c r="D6931" s="734">
        <v>146.84467189382886</v>
      </c>
      <c r="E6931" s="733"/>
    </row>
    <row r="6932" spans="2:5">
      <c r="B6932" s="121">
        <v>600</v>
      </c>
      <c r="C6932" s="121">
        <v>22</v>
      </c>
      <c r="D6932" s="734">
        <v>146.72012034190416</v>
      </c>
      <c r="E6932" s="733"/>
    </row>
    <row r="6933" spans="2:5">
      <c r="B6933" s="121">
        <v>600</v>
      </c>
      <c r="C6933" s="121">
        <v>23</v>
      </c>
      <c r="D6933" s="734">
        <v>143.74006858911716</v>
      </c>
      <c r="E6933" s="733"/>
    </row>
    <row r="6934" spans="2:5">
      <c r="B6934" s="121">
        <v>600</v>
      </c>
      <c r="C6934" s="121">
        <v>24</v>
      </c>
      <c r="D6934" s="734">
        <v>142.418334049191</v>
      </c>
      <c r="E6934" s="733"/>
    </row>
    <row r="6935" spans="2:5">
      <c r="B6935" s="121">
        <v>600</v>
      </c>
      <c r="C6935" s="121">
        <v>25</v>
      </c>
      <c r="D6935" s="734">
        <v>134.69095724155304</v>
      </c>
      <c r="E6935" s="733"/>
    </row>
    <row r="6936" spans="2:5">
      <c r="B6936" s="121">
        <v>600</v>
      </c>
      <c r="C6936" s="121">
        <v>26</v>
      </c>
      <c r="D6936" s="734">
        <v>141.47478315528244</v>
      </c>
      <c r="E6936" s="733"/>
    </row>
    <row r="6937" spans="2:5">
      <c r="B6937" s="121">
        <v>600</v>
      </c>
      <c r="C6937" s="121">
        <v>27</v>
      </c>
      <c r="D6937" s="734">
        <v>136.05457981094577</v>
      </c>
      <c r="E6937" s="733"/>
    </row>
    <row r="6938" spans="2:5">
      <c r="B6938" s="121">
        <v>600</v>
      </c>
      <c r="C6938" s="121">
        <v>28</v>
      </c>
      <c r="D6938" s="734">
        <v>135.74086202599935</v>
      </c>
      <c r="E6938" s="733"/>
    </row>
    <row r="6939" spans="2:5">
      <c r="B6939" s="121">
        <v>600</v>
      </c>
      <c r="C6939" s="121">
        <v>29</v>
      </c>
      <c r="D6939" s="734">
        <v>141.77766461535248</v>
      </c>
      <c r="E6939" s="733"/>
    </row>
    <row r="6940" spans="2:5">
      <c r="B6940" s="121">
        <v>600</v>
      </c>
      <c r="C6940" s="121">
        <v>30</v>
      </c>
      <c r="D6940" s="734">
        <v>143.77211464465438</v>
      </c>
      <c r="E6940" s="733"/>
    </row>
    <row r="6941" spans="2:5">
      <c r="B6941" s="121">
        <v>600</v>
      </c>
      <c r="C6941" s="121">
        <v>31</v>
      </c>
      <c r="D6941" s="734">
        <v>142.5094245277289</v>
      </c>
      <c r="E6941" s="733"/>
    </row>
    <row r="6942" spans="2:5">
      <c r="B6942" s="121">
        <v>600</v>
      </c>
      <c r="C6942" s="121">
        <v>32</v>
      </c>
      <c r="D6942" s="734">
        <v>144.90632258298697</v>
      </c>
      <c r="E6942" s="733"/>
    </row>
    <row r="6943" spans="2:5">
      <c r="B6943" s="121">
        <v>600</v>
      </c>
      <c r="C6943" s="121">
        <v>33</v>
      </c>
      <c r="D6943" s="734">
        <v>138.56313961944696</v>
      </c>
      <c r="E6943" s="733"/>
    </row>
    <row r="6944" spans="2:5">
      <c r="B6944" s="121">
        <v>600</v>
      </c>
      <c r="C6944" s="121">
        <v>34</v>
      </c>
      <c r="D6944" s="734">
        <v>140.73406611451944</v>
      </c>
      <c r="E6944" s="733"/>
    </row>
    <row r="6945" spans="2:5">
      <c r="B6945" s="121">
        <v>600</v>
      </c>
      <c r="C6945" s="121">
        <v>35</v>
      </c>
      <c r="D6945" s="734">
        <v>138.73619617918851</v>
      </c>
      <c r="E6945" s="733"/>
    </row>
    <row r="6946" spans="2:5">
      <c r="B6946" s="121">
        <v>600</v>
      </c>
      <c r="C6946" s="121">
        <v>36</v>
      </c>
      <c r="D6946" s="734">
        <v>139.79825552724904</v>
      </c>
      <c r="E6946" s="733"/>
    </row>
    <row r="6947" spans="2:5">
      <c r="B6947" s="121">
        <v>601</v>
      </c>
      <c r="C6947" s="121">
        <v>1</v>
      </c>
      <c r="D6947" s="734">
        <v>5</v>
      </c>
      <c r="E6947" s="733"/>
    </row>
    <row r="6948" spans="2:5">
      <c r="B6948" s="121">
        <v>601</v>
      </c>
      <c r="C6948" s="121">
        <v>2</v>
      </c>
      <c r="D6948" s="734">
        <v>94.309239140690778</v>
      </c>
      <c r="E6948" s="733"/>
    </row>
    <row r="6949" spans="2:5">
      <c r="B6949" s="121">
        <v>601</v>
      </c>
      <c r="C6949" s="121">
        <v>3</v>
      </c>
      <c r="D6949" s="734">
        <v>125.30608062021594</v>
      </c>
      <c r="E6949" s="733"/>
    </row>
    <row r="6950" spans="2:5">
      <c r="B6950" s="121">
        <v>601</v>
      </c>
      <c r="C6950" s="121">
        <v>4</v>
      </c>
      <c r="D6950" s="734">
        <v>138.8354619777447</v>
      </c>
      <c r="E6950" s="733"/>
    </row>
    <row r="6951" spans="2:5">
      <c r="B6951" s="121">
        <v>601</v>
      </c>
      <c r="C6951" s="121">
        <v>5</v>
      </c>
      <c r="D6951" s="734">
        <v>139.51022559552047</v>
      </c>
      <c r="E6951" s="733"/>
    </row>
    <row r="6952" spans="2:5">
      <c r="B6952" s="121">
        <v>601</v>
      </c>
      <c r="C6952" s="121">
        <v>6</v>
      </c>
      <c r="D6952" s="734">
        <v>136.78995198784523</v>
      </c>
      <c r="E6952" s="733"/>
    </row>
    <row r="6953" spans="2:5">
      <c r="B6953" s="121">
        <v>601</v>
      </c>
      <c r="C6953" s="121">
        <v>7</v>
      </c>
      <c r="D6953" s="734">
        <v>146.7202274950734</v>
      </c>
      <c r="E6953" s="733"/>
    </row>
    <row r="6954" spans="2:5">
      <c r="B6954" s="121">
        <v>601</v>
      </c>
      <c r="C6954" s="121">
        <v>8</v>
      </c>
      <c r="D6954" s="734">
        <v>134.85568684175325</v>
      </c>
      <c r="E6954" s="733"/>
    </row>
    <row r="6955" spans="2:5">
      <c r="B6955" s="121">
        <v>601</v>
      </c>
      <c r="C6955" s="121">
        <v>9</v>
      </c>
      <c r="D6955" s="734">
        <v>145.27404461026131</v>
      </c>
      <c r="E6955" s="733"/>
    </row>
    <row r="6956" spans="2:5">
      <c r="B6956" s="121">
        <v>601</v>
      </c>
      <c r="C6956" s="121">
        <v>10</v>
      </c>
      <c r="D6956" s="734">
        <v>146.76570583272039</v>
      </c>
      <c r="E6956" s="733"/>
    </row>
    <row r="6957" spans="2:5">
      <c r="B6957" s="121">
        <v>601</v>
      </c>
      <c r="C6957" s="121">
        <v>11</v>
      </c>
      <c r="D6957" s="734">
        <v>146.90064479152778</v>
      </c>
      <c r="E6957" s="733"/>
    </row>
    <row r="6958" spans="2:5">
      <c r="B6958" s="121">
        <v>601</v>
      </c>
      <c r="C6958" s="121">
        <v>12</v>
      </c>
      <c r="D6958" s="734">
        <v>138.59975125212938</v>
      </c>
      <c r="E6958" s="733"/>
    </row>
    <row r="6959" spans="2:5">
      <c r="B6959" s="121">
        <v>601</v>
      </c>
      <c r="C6959" s="121">
        <v>13</v>
      </c>
      <c r="D6959" s="734">
        <v>140.05752389018596</v>
      </c>
      <c r="E6959" s="733"/>
    </row>
    <row r="6960" spans="2:5">
      <c r="B6960" s="121">
        <v>601</v>
      </c>
      <c r="C6960" s="121">
        <v>14</v>
      </c>
      <c r="D6960" s="734">
        <v>139.40037281077088</v>
      </c>
      <c r="E6960" s="733"/>
    </row>
    <row r="6961" spans="2:5">
      <c r="B6961" s="121">
        <v>601</v>
      </c>
      <c r="C6961" s="121">
        <v>15</v>
      </c>
      <c r="D6961" s="734">
        <v>143.74175302859936</v>
      </c>
      <c r="E6961" s="733"/>
    </row>
    <row r="6962" spans="2:5">
      <c r="B6962" s="121">
        <v>602</v>
      </c>
      <c r="C6962" s="121">
        <v>1</v>
      </c>
      <c r="D6962" s="734">
        <v>5</v>
      </c>
      <c r="E6962" s="733"/>
    </row>
    <row r="6963" spans="2:5">
      <c r="B6963" s="121">
        <v>603</v>
      </c>
      <c r="C6963" s="121">
        <v>1</v>
      </c>
      <c r="D6963" s="734">
        <v>5</v>
      </c>
      <c r="E6963" s="733"/>
    </row>
    <row r="6964" spans="2:5">
      <c r="B6964" s="121">
        <v>604</v>
      </c>
      <c r="C6964" s="121">
        <v>1</v>
      </c>
      <c r="D6964" s="734">
        <v>5</v>
      </c>
      <c r="E6964" s="733"/>
    </row>
    <row r="6965" spans="2:5">
      <c r="B6965" s="121">
        <v>604</v>
      </c>
      <c r="C6965" s="121">
        <v>2</v>
      </c>
      <c r="D6965" s="734">
        <v>102.74820698498924</v>
      </c>
      <c r="E6965" s="733"/>
    </row>
    <row r="6966" spans="2:5">
      <c r="B6966" s="121">
        <v>604</v>
      </c>
      <c r="C6966" s="121">
        <v>3</v>
      </c>
      <c r="D6966" s="734">
        <v>115.78953732171519</v>
      </c>
      <c r="E6966" s="733"/>
    </row>
    <row r="6967" spans="2:5">
      <c r="B6967" s="121">
        <v>604</v>
      </c>
      <c r="C6967" s="121">
        <v>4</v>
      </c>
      <c r="D6967" s="734">
        <v>145.76006196740795</v>
      </c>
      <c r="E6967" s="733"/>
    </row>
    <row r="6968" spans="2:5">
      <c r="B6968" s="121">
        <v>604</v>
      </c>
      <c r="C6968" s="121">
        <v>5</v>
      </c>
      <c r="D6968" s="734">
        <v>141.93299328751641</v>
      </c>
      <c r="E6968" s="733"/>
    </row>
    <row r="6969" spans="2:5">
      <c r="B6969" s="121">
        <v>604</v>
      </c>
      <c r="C6969" s="121">
        <v>6</v>
      </c>
      <c r="D6969" s="734">
        <v>139.55583637258493</v>
      </c>
      <c r="E6969" s="733"/>
    </row>
    <row r="6970" spans="2:5">
      <c r="B6970" s="121">
        <v>604</v>
      </c>
      <c r="C6970" s="121">
        <v>7</v>
      </c>
      <c r="D6970" s="734">
        <v>139.90592628304248</v>
      </c>
      <c r="E6970" s="733"/>
    </row>
    <row r="6971" spans="2:5">
      <c r="B6971" s="121">
        <v>604</v>
      </c>
      <c r="C6971" s="121">
        <v>8</v>
      </c>
      <c r="D6971" s="734">
        <v>136.77098240945492</v>
      </c>
      <c r="E6971" s="733"/>
    </row>
    <row r="6972" spans="2:5">
      <c r="B6972" s="121">
        <v>604</v>
      </c>
      <c r="C6972" s="121">
        <v>9</v>
      </c>
      <c r="D6972" s="734">
        <v>144.8362232345487</v>
      </c>
      <c r="E6972" s="733"/>
    </row>
    <row r="6973" spans="2:5">
      <c r="B6973" s="121">
        <v>604</v>
      </c>
      <c r="C6973" s="121">
        <v>10</v>
      </c>
      <c r="D6973" s="734">
        <v>138.00222635869821</v>
      </c>
      <c r="E6973" s="733"/>
    </row>
    <row r="6974" spans="2:5">
      <c r="B6974" s="121">
        <v>604</v>
      </c>
      <c r="C6974" s="121">
        <v>11</v>
      </c>
      <c r="D6974" s="734">
        <v>136.89815948424089</v>
      </c>
      <c r="E6974" s="733"/>
    </row>
    <row r="6975" spans="2:5">
      <c r="B6975" s="121">
        <v>604</v>
      </c>
      <c r="C6975" s="121">
        <v>12</v>
      </c>
      <c r="D6975" s="734">
        <v>134.26956717008201</v>
      </c>
      <c r="E6975" s="733"/>
    </row>
    <row r="6976" spans="2:5">
      <c r="B6976" s="121">
        <v>604</v>
      </c>
      <c r="C6976" s="121">
        <v>13</v>
      </c>
      <c r="D6976" s="734">
        <v>140.33848241292321</v>
      </c>
      <c r="E6976" s="733"/>
    </row>
    <row r="6977" spans="2:5">
      <c r="B6977" s="121">
        <v>604</v>
      </c>
      <c r="C6977" s="121">
        <v>14</v>
      </c>
      <c r="D6977" s="734">
        <v>135.5460423441001</v>
      </c>
      <c r="E6977" s="733"/>
    </row>
    <row r="6978" spans="2:5">
      <c r="B6978" s="121">
        <v>604</v>
      </c>
      <c r="C6978" s="121">
        <v>15</v>
      </c>
      <c r="D6978" s="734">
        <v>136.53896388778654</v>
      </c>
      <c r="E6978" s="733"/>
    </row>
    <row r="6979" spans="2:5">
      <c r="B6979" s="121">
        <v>604</v>
      </c>
      <c r="C6979" s="121">
        <v>16</v>
      </c>
      <c r="D6979" s="734">
        <v>139.7626406743307</v>
      </c>
      <c r="E6979" s="733"/>
    </row>
    <row r="6980" spans="2:5">
      <c r="B6980" s="121">
        <v>604</v>
      </c>
      <c r="C6980" s="121">
        <v>17</v>
      </c>
      <c r="D6980" s="734">
        <v>139.90063050519254</v>
      </c>
      <c r="E6980" s="733"/>
    </row>
    <row r="6981" spans="2:5">
      <c r="B6981" s="121">
        <v>604</v>
      </c>
      <c r="C6981" s="121">
        <v>18</v>
      </c>
      <c r="D6981" s="734">
        <v>134.72012819015077</v>
      </c>
      <c r="E6981" s="733"/>
    </row>
    <row r="6982" spans="2:5">
      <c r="B6982" s="121">
        <v>604</v>
      </c>
      <c r="C6982" s="121">
        <v>19</v>
      </c>
      <c r="D6982" s="734">
        <v>138.62215781295953</v>
      </c>
      <c r="E6982" s="733"/>
    </row>
    <row r="6983" spans="2:5">
      <c r="B6983" s="121">
        <v>604</v>
      </c>
      <c r="C6983" s="121">
        <v>20</v>
      </c>
      <c r="D6983" s="734">
        <v>138.88462119834506</v>
      </c>
      <c r="E6983" s="733"/>
    </row>
    <row r="6984" spans="2:5">
      <c r="B6984" s="121">
        <v>604</v>
      </c>
      <c r="C6984" s="121">
        <v>21</v>
      </c>
      <c r="D6984" s="734">
        <v>136.33944766843231</v>
      </c>
      <c r="E6984" s="733"/>
    </row>
    <row r="6985" spans="2:5">
      <c r="B6985" s="121">
        <v>604</v>
      </c>
      <c r="C6985" s="121">
        <v>22</v>
      </c>
      <c r="D6985" s="734">
        <v>142.53673259638657</v>
      </c>
      <c r="E6985" s="733"/>
    </row>
    <row r="6986" spans="2:5">
      <c r="B6986" s="121">
        <v>604</v>
      </c>
      <c r="C6986" s="121">
        <v>23</v>
      </c>
      <c r="D6986" s="734">
        <v>143.2434530446869</v>
      </c>
      <c r="E6986" s="733"/>
    </row>
    <row r="6987" spans="2:5">
      <c r="B6987" s="121">
        <v>604</v>
      </c>
      <c r="C6987" s="121">
        <v>24</v>
      </c>
      <c r="D6987" s="734">
        <v>142.95820100884725</v>
      </c>
      <c r="E6987" s="733"/>
    </row>
    <row r="6988" spans="2:5">
      <c r="B6988" s="121">
        <v>604</v>
      </c>
      <c r="C6988" s="121">
        <v>25</v>
      </c>
      <c r="D6988" s="734">
        <v>145.26363243448264</v>
      </c>
      <c r="E6988" s="733"/>
    </row>
    <row r="6989" spans="2:5">
      <c r="B6989" s="121">
        <v>604</v>
      </c>
      <c r="C6989" s="121">
        <v>26</v>
      </c>
      <c r="D6989" s="734">
        <v>144.38025114019109</v>
      </c>
      <c r="E6989" s="733"/>
    </row>
    <row r="6990" spans="2:5">
      <c r="B6990" s="121">
        <v>605</v>
      </c>
      <c r="C6990" s="121">
        <v>1</v>
      </c>
      <c r="D6990" s="734">
        <v>5</v>
      </c>
      <c r="E6990" s="733"/>
    </row>
    <row r="6991" spans="2:5">
      <c r="B6991" s="121">
        <v>605</v>
      </c>
      <c r="C6991" s="121">
        <v>2</v>
      </c>
      <c r="D6991" s="734">
        <v>100.21297264646689</v>
      </c>
      <c r="E6991" s="733"/>
    </row>
    <row r="6992" spans="2:5">
      <c r="B6992" s="121">
        <v>605</v>
      </c>
      <c r="C6992" s="121">
        <v>3</v>
      </c>
      <c r="D6992" s="734">
        <v>120.50043412002157</v>
      </c>
      <c r="E6992" s="733"/>
    </row>
    <row r="6993" spans="2:5">
      <c r="B6993" s="121">
        <v>605</v>
      </c>
      <c r="C6993" s="121">
        <v>4</v>
      </c>
      <c r="D6993" s="734">
        <v>134.76767429651542</v>
      </c>
      <c r="E6993" s="733"/>
    </row>
    <row r="6994" spans="2:5">
      <c r="B6994" s="121">
        <v>606</v>
      </c>
      <c r="C6994" s="121">
        <v>1</v>
      </c>
      <c r="D6994" s="734">
        <v>5</v>
      </c>
      <c r="E6994" s="733"/>
    </row>
    <row r="6995" spans="2:5">
      <c r="B6995" s="121">
        <v>606</v>
      </c>
      <c r="C6995" s="121">
        <v>2</v>
      </c>
      <c r="D6995" s="734">
        <v>98.748653484163199</v>
      </c>
      <c r="E6995" s="733"/>
    </row>
    <row r="6996" spans="2:5">
      <c r="B6996" s="121">
        <v>606</v>
      </c>
      <c r="C6996" s="121">
        <v>3</v>
      </c>
      <c r="D6996" s="734">
        <v>122.27645525734731</v>
      </c>
      <c r="E6996" s="733"/>
    </row>
    <row r="6997" spans="2:5">
      <c r="B6997" s="121">
        <v>606</v>
      </c>
      <c r="C6997" s="121">
        <v>4</v>
      </c>
      <c r="D6997" s="734">
        <v>133.98182857346191</v>
      </c>
      <c r="E6997" s="733"/>
    </row>
    <row r="6998" spans="2:5">
      <c r="B6998" s="121">
        <v>606</v>
      </c>
      <c r="C6998" s="121">
        <v>5</v>
      </c>
      <c r="D6998" s="734">
        <v>146.78861191140393</v>
      </c>
      <c r="E6998" s="733"/>
    </row>
    <row r="6999" spans="2:5">
      <c r="B6999" s="121">
        <v>606</v>
      </c>
      <c r="C6999" s="121">
        <v>6</v>
      </c>
      <c r="D6999" s="734">
        <v>137.50846160322007</v>
      </c>
      <c r="E6999" s="733"/>
    </row>
    <row r="7000" spans="2:5">
      <c r="B7000" s="121">
        <v>606</v>
      </c>
      <c r="C7000" s="121">
        <v>7</v>
      </c>
      <c r="D7000" s="734">
        <v>136.01399614902448</v>
      </c>
      <c r="E7000" s="733"/>
    </row>
    <row r="7001" spans="2:5">
      <c r="B7001" s="121">
        <v>606</v>
      </c>
      <c r="C7001" s="121">
        <v>8</v>
      </c>
      <c r="D7001" s="734">
        <v>140.79848317059927</v>
      </c>
      <c r="E7001" s="733"/>
    </row>
    <row r="7002" spans="2:5">
      <c r="B7002" s="121">
        <v>606</v>
      </c>
      <c r="C7002" s="121">
        <v>9</v>
      </c>
      <c r="D7002" s="734">
        <v>142.85930528432289</v>
      </c>
      <c r="E7002" s="733"/>
    </row>
    <row r="7003" spans="2:5">
      <c r="B7003" s="121">
        <v>606</v>
      </c>
      <c r="C7003" s="121">
        <v>10</v>
      </c>
      <c r="D7003" s="734">
        <v>138.52648191160029</v>
      </c>
      <c r="E7003" s="733"/>
    </row>
    <row r="7004" spans="2:5">
      <c r="B7004" s="121">
        <v>606</v>
      </c>
      <c r="C7004" s="121">
        <v>11</v>
      </c>
      <c r="D7004" s="734">
        <v>137.77418987915718</v>
      </c>
      <c r="E7004" s="733"/>
    </row>
    <row r="7005" spans="2:5">
      <c r="B7005" s="121">
        <v>606</v>
      </c>
      <c r="C7005" s="121">
        <v>12</v>
      </c>
      <c r="D7005" s="734">
        <v>147.2611527565696</v>
      </c>
      <c r="E7005" s="733"/>
    </row>
    <row r="7006" spans="2:5">
      <c r="B7006" s="121">
        <v>606</v>
      </c>
      <c r="C7006" s="121">
        <v>13</v>
      </c>
      <c r="D7006" s="734">
        <v>137.46771906440068</v>
      </c>
      <c r="E7006" s="733"/>
    </row>
    <row r="7007" spans="2:5">
      <c r="B7007" s="121">
        <v>606</v>
      </c>
      <c r="C7007" s="121">
        <v>14</v>
      </c>
      <c r="D7007" s="734">
        <v>139.73117199221747</v>
      </c>
      <c r="E7007" s="733"/>
    </row>
    <row r="7008" spans="2:5">
      <c r="B7008" s="121">
        <v>606</v>
      </c>
      <c r="C7008" s="121">
        <v>15</v>
      </c>
      <c r="D7008" s="734">
        <v>144.42521522421904</v>
      </c>
      <c r="E7008" s="733"/>
    </row>
    <row r="7009" spans="2:5">
      <c r="B7009" s="121">
        <v>606</v>
      </c>
      <c r="C7009" s="121">
        <v>16</v>
      </c>
      <c r="D7009" s="734">
        <v>140.45299710007095</v>
      </c>
      <c r="E7009" s="733"/>
    </row>
    <row r="7010" spans="2:5">
      <c r="B7010" s="121">
        <v>606</v>
      </c>
      <c r="C7010" s="121">
        <v>17</v>
      </c>
      <c r="D7010" s="734">
        <v>134.68413695958193</v>
      </c>
      <c r="E7010" s="733"/>
    </row>
    <row r="7011" spans="2:5">
      <c r="B7011" s="121">
        <v>606</v>
      </c>
      <c r="C7011" s="121">
        <v>18</v>
      </c>
      <c r="D7011" s="734">
        <v>140.97611059916471</v>
      </c>
      <c r="E7011" s="733"/>
    </row>
    <row r="7012" spans="2:5">
      <c r="B7012" s="121">
        <v>606</v>
      </c>
      <c r="C7012" s="121">
        <v>19</v>
      </c>
      <c r="D7012" s="734">
        <v>136.04190201734386</v>
      </c>
      <c r="E7012" s="733"/>
    </row>
    <row r="7013" spans="2:5">
      <c r="B7013" s="121">
        <v>606</v>
      </c>
      <c r="C7013" s="121">
        <v>20</v>
      </c>
      <c r="D7013" s="734">
        <v>145.69324763747113</v>
      </c>
      <c r="E7013" s="733"/>
    </row>
    <row r="7014" spans="2:5">
      <c r="B7014" s="121">
        <v>606</v>
      </c>
      <c r="C7014" s="121">
        <v>21</v>
      </c>
      <c r="D7014" s="734">
        <v>142.23993503444069</v>
      </c>
      <c r="E7014" s="733"/>
    </row>
    <row r="7015" spans="2:5">
      <c r="B7015" s="121">
        <v>606</v>
      </c>
      <c r="C7015" s="121">
        <v>22</v>
      </c>
      <c r="D7015" s="734">
        <v>139.56313663030645</v>
      </c>
      <c r="E7015" s="733"/>
    </row>
    <row r="7016" spans="2:5">
      <c r="B7016" s="121">
        <v>606</v>
      </c>
      <c r="C7016" s="121">
        <v>23</v>
      </c>
      <c r="D7016" s="734">
        <v>136.84738338762193</v>
      </c>
      <c r="E7016" s="733"/>
    </row>
    <row r="7017" spans="2:5">
      <c r="B7017" s="121">
        <v>607</v>
      </c>
      <c r="C7017" s="121">
        <v>1</v>
      </c>
      <c r="D7017" s="734">
        <v>5</v>
      </c>
      <c r="E7017" s="733"/>
    </row>
    <row r="7018" spans="2:5">
      <c r="B7018" s="121">
        <v>607</v>
      </c>
      <c r="C7018" s="121">
        <v>2</v>
      </c>
      <c r="D7018" s="734">
        <v>97.536132063307093</v>
      </c>
      <c r="E7018" s="733"/>
    </row>
    <row r="7019" spans="2:5">
      <c r="B7019" s="121">
        <v>607</v>
      </c>
      <c r="C7019" s="121">
        <v>3</v>
      </c>
      <c r="D7019" s="734">
        <v>119.67834529941368</v>
      </c>
      <c r="E7019" s="733"/>
    </row>
    <row r="7020" spans="2:5">
      <c r="B7020" s="121">
        <v>607</v>
      </c>
      <c r="C7020" s="121">
        <v>4</v>
      </c>
      <c r="D7020" s="734">
        <v>139.70673062730665</v>
      </c>
      <c r="E7020" s="733"/>
    </row>
    <row r="7021" spans="2:5">
      <c r="B7021" s="121">
        <v>607</v>
      </c>
      <c r="C7021" s="121">
        <v>5</v>
      </c>
      <c r="D7021" s="734">
        <v>141.93614762001289</v>
      </c>
      <c r="E7021" s="733"/>
    </row>
    <row r="7022" spans="2:5">
      <c r="B7022" s="121">
        <v>607</v>
      </c>
      <c r="C7022" s="121">
        <v>6</v>
      </c>
      <c r="D7022" s="734">
        <v>139.73691477667447</v>
      </c>
      <c r="E7022" s="733"/>
    </row>
    <row r="7023" spans="2:5">
      <c r="B7023" s="121">
        <v>607</v>
      </c>
      <c r="C7023" s="121">
        <v>7</v>
      </c>
      <c r="D7023" s="734">
        <v>143.20554080971411</v>
      </c>
      <c r="E7023" s="733"/>
    </row>
    <row r="7024" spans="2:5">
      <c r="B7024" s="121">
        <v>608</v>
      </c>
      <c r="C7024" s="121">
        <v>1</v>
      </c>
      <c r="D7024" s="734">
        <v>5</v>
      </c>
      <c r="E7024" s="733"/>
    </row>
    <row r="7025" spans="2:5">
      <c r="B7025" s="121">
        <v>609</v>
      </c>
      <c r="C7025" s="121">
        <v>1</v>
      </c>
      <c r="D7025" s="734">
        <v>5</v>
      </c>
      <c r="E7025" s="733"/>
    </row>
    <row r="7026" spans="2:5">
      <c r="B7026" s="121">
        <v>610</v>
      </c>
      <c r="C7026" s="121">
        <v>1</v>
      </c>
      <c r="D7026" s="734">
        <v>5</v>
      </c>
      <c r="E7026" s="733"/>
    </row>
    <row r="7027" spans="2:5">
      <c r="B7027" s="121">
        <v>610</v>
      </c>
      <c r="C7027" s="121">
        <v>2</v>
      </c>
      <c r="D7027" s="734">
        <v>101.34493088730439</v>
      </c>
      <c r="E7027" s="733"/>
    </row>
    <row r="7028" spans="2:5">
      <c r="B7028" s="121">
        <v>610</v>
      </c>
      <c r="C7028" s="121">
        <v>3</v>
      </c>
      <c r="D7028" s="734">
        <v>114.27751530490953</v>
      </c>
      <c r="E7028" s="733"/>
    </row>
    <row r="7029" spans="2:5">
      <c r="B7029" s="121">
        <v>610</v>
      </c>
      <c r="C7029" s="121">
        <v>4</v>
      </c>
      <c r="D7029" s="734">
        <v>145.82095331155358</v>
      </c>
      <c r="E7029" s="733"/>
    </row>
    <row r="7030" spans="2:5">
      <c r="B7030" s="121">
        <v>611</v>
      </c>
      <c r="C7030" s="121">
        <v>1</v>
      </c>
      <c r="D7030" s="734">
        <v>5</v>
      </c>
      <c r="E7030" s="733"/>
    </row>
    <row r="7031" spans="2:5">
      <c r="B7031" s="121">
        <v>611</v>
      </c>
      <c r="C7031" s="121">
        <v>2</v>
      </c>
      <c r="D7031" s="734">
        <v>102.20345585534243</v>
      </c>
      <c r="E7031" s="733"/>
    </row>
    <row r="7032" spans="2:5">
      <c r="B7032" s="121">
        <v>611</v>
      </c>
      <c r="C7032" s="121">
        <v>3</v>
      </c>
      <c r="D7032" s="734">
        <v>118.02415135225674</v>
      </c>
      <c r="E7032" s="733"/>
    </row>
    <row r="7033" spans="2:5">
      <c r="B7033" s="121">
        <v>611</v>
      </c>
      <c r="C7033" s="121">
        <v>4</v>
      </c>
      <c r="D7033" s="734">
        <v>140.57987174624753</v>
      </c>
      <c r="E7033" s="733"/>
    </row>
    <row r="7034" spans="2:5">
      <c r="B7034" s="121">
        <v>611</v>
      </c>
      <c r="C7034" s="121">
        <v>5</v>
      </c>
      <c r="D7034" s="734">
        <v>134.46329380920025</v>
      </c>
      <c r="E7034" s="733"/>
    </row>
    <row r="7035" spans="2:5">
      <c r="B7035" s="121">
        <v>611</v>
      </c>
      <c r="C7035" s="121">
        <v>6</v>
      </c>
      <c r="D7035" s="734">
        <v>138.77882056589539</v>
      </c>
      <c r="E7035" s="733"/>
    </row>
    <row r="7036" spans="2:5">
      <c r="B7036" s="121">
        <v>611</v>
      </c>
      <c r="C7036" s="121">
        <v>7</v>
      </c>
      <c r="D7036" s="734">
        <v>133.72401463938388</v>
      </c>
      <c r="E7036" s="733"/>
    </row>
    <row r="7037" spans="2:5">
      <c r="B7037" s="121">
        <v>611</v>
      </c>
      <c r="C7037" s="121">
        <v>8</v>
      </c>
      <c r="D7037" s="734">
        <v>143.73089379240179</v>
      </c>
      <c r="E7037" s="733"/>
    </row>
    <row r="7038" spans="2:5">
      <c r="B7038" s="121">
        <v>611</v>
      </c>
      <c r="C7038" s="121">
        <v>9</v>
      </c>
      <c r="D7038" s="734">
        <v>142.37901885460764</v>
      </c>
      <c r="E7038" s="733"/>
    </row>
    <row r="7039" spans="2:5">
      <c r="B7039" s="121">
        <v>611</v>
      </c>
      <c r="C7039" s="121">
        <v>10</v>
      </c>
      <c r="D7039" s="734">
        <v>136.21555024816405</v>
      </c>
      <c r="E7039" s="733"/>
    </row>
    <row r="7040" spans="2:5">
      <c r="B7040" s="121">
        <v>611</v>
      </c>
      <c r="C7040" s="121">
        <v>11</v>
      </c>
      <c r="D7040" s="734">
        <v>134.51955713617494</v>
      </c>
      <c r="E7040" s="733"/>
    </row>
    <row r="7041" spans="2:5">
      <c r="B7041" s="121">
        <v>611</v>
      </c>
      <c r="C7041" s="121">
        <v>12</v>
      </c>
      <c r="D7041" s="734">
        <v>143.78031243561938</v>
      </c>
      <c r="E7041" s="733"/>
    </row>
    <row r="7042" spans="2:5">
      <c r="B7042" s="121">
        <v>611</v>
      </c>
      <c r="C7042" s="121">
        <v>13</v>
      </c>
      <c r="D7042" s="734">
        <v>146.95383654644735</v>
      </c>
      <c r="E7042" s="733"/>
    </row>
    <row r="7043" spans="2:5">
      <c r="B7043" s="121">
        <v>611</v>
      </c>
      <c r="C7043" s="121">
        <v>14</v>
      </c>
      <c r="D7043" s="734">
        <v>142.74906013347874</v>
      </c>
      <c r="E7043" s="733"/>
    </row>
    <row r="7044" spans="2:5">
      <c r="B7044" s="121">
        <v>611</v>
      </c>
      <c r="C7044" s="121">
        <v>15</v>
      </c>
      <c r="D7044" s="734">
        <v>137.04530201251575</v>
      </c>
      <c r="E7044" s="733"/>
    </row>
    <row r="7045" spans="2:5">
      <c r="B7045" s="121">
        <v>611</v>
      </c>
      <c r="C7045" s="121">
        <v>16</v>
      </c>
      <c r="D7045" s="734">
        <v>145.66641968669211</v>
      </c>
      <c r="E7045" s="733"/>
    </row>
    <row r="7046" spans="2:5">
      <c r="B7046" s="121">
        <v>611</v>
      </c>
      <c r="C7046" s="121">
        <v>17</v>
      </c>
      <c r="D7046" s="734">
        <v>134.87015216980987</v>
      </c>
      <c r="E7046" s="733"/>
    </row>
    <row r="7047" spans="2:5">
      <c r="B7047" s="121">
        <v>611</v>
      </c>
      <c r="C7047" s="121">
        <v>18</v>
      </c>
      <c r="D7047" s="734">
        <v>146.22612883858443</v>
      </c>
      <c r="E7047" s="733"/>
    </row>
    <row r="7048" spans="2:5">
      <c r="B7048" s="121">
        <v>611</v>
      </c>
      <c r="C7048" s="121">
        <v>19</v>
      </c>
      <c r="D7048" s="734">
        <v>137.89930187294672</v>
      </c>
      <c r="E7048" s="733"/>
    </row>
    <row r="7049" spans="2:5">
      <c r="B7049" s="121">
        <v>611</v>
      </c>
      <c r="C7049" s="121">
        <v>20</v>
      </c>
      <c r="D7049" s="734">
        <v>141.57157293045648</v>
      </c>
      <c r="E7049" s="733"/>
    </row>
    <row r="7050" spans="2:5">
      <c r="B7050" s="121">
        <v>611</v>
      </c>
      <c r="C7050" s="121">
        <v>21</v>
      </c>
      <c r="D7050" s="734">
        <v>135.76701503307822</v>
      </c>
      <c r="E7050" s="733"/>
    </row>
    <row r="7051" spans="2:5">
      <c r="B7051" s="121">
        <v>611</v>
      </c>
      <c r="C7051" s="121">
        <v>22</v>
      </c>
      <c r="D7051" s="734">
        <v>143.4521616231828</v>
      </c>
      <c r="E7051" s="733"/>
    </row>
    <row r="7052" spans="2:5">
      <c r="B7052" s="121">
        <v>611</v>
      </c>
      <c r="C7052" s="121">
        <v>23</v>
      </c>
      <c r="D7052" s="734">
        <v>139.66263987843095</v>
      </c>
      <c r="E7052" s="733"/>
    </row>
    <row r="7053" spans="2:5">
      <c r="B7053" s="121">
        <v>611</v>
      </c>
      <c r="C7053" s="121">
        <v>24</v>
      </c>
      <c r="D7053" s="734">
        <v>136.50672460062611</v>
      </c>
      <c r="E7053" s="733"/>
    </row>
    <row r="7054" spans="2:5">
      <c r="B7054" s="121">
        <v>611</v>
      </c>
      <c r="C7054" s="121">
        <v>25</v>
      </c>
      <c r="D7054" s="734">
        <v>140.61525692728418</v>
      </c>
      <c r="E7054" s="733"/>
    </row>
    <row r="7055" spans="2:5">
      <c r="B7055" s="121">
        <v>611</v>
      </c>
      <c r="C7055" s="121">
        <v>26</v>
      </c>
      <c r="D7055" s="734">
        <v>140.85914464593728</v>
      </c>
      <c r="E7055" s="733"/>
    </row>
    <row r="7056" spans="2:5">
      <c r="B7056" s="121">
        <v>611</v>
      </c>
      <c r="C7056" s="121">
        <v>27</v>
      </c>
      <c r="D7056" s="734">
        <v>146.27734215113108</v>
      </c>
      <c r="E7056" s="733"/>
    </row>
    <row r="7057" spans="2:5">
      <c r="B7057" s="121">
        <v>611</v>
      </c>
      <c r="C7057" s="121">
        <v>28</v>
      </c>
      <c r="D7057" s="734">
        <v>143.78032121701725</v>
      </c>
      <c r="E7057" s="733"/>
    </row>
    <row r="7058" spans="2:5">
      <c r="B7058" s="121">
        <v>611</v>
      </c>
      <c r="C7058" s="121">
        <v>29</v>
      </c>
      <c r="D7058" s="734">
        <v>141.07544311774024</v>
      </c>
      <c r="E7058" s="733"/>
    </row>
    <row r="7059" spans="2:5">
      <c r="B7059" s="121">
        <v>611</v>
      </c>
      <c r="C7059" s="121">
        <v>30</v>
      </c>
      <c r="D7059" s="734">
        <v>133.75132767687097</v>
      </c>
      <c r="E7059" s="733"/>
    </row>
    <row r="7060" spans="2:5">
      <c r="B7060" s="121">
        <v>611</v>
      </c>
      <c r="C7060" s="121">
        <v>31</v>
      </c>
      <c r="D7060" s="734">
        <v>135.33558512848691</v>
      </c>
      <c r="E7060" s="733"/>
    </row>
    <row r="7061" spans="2:5">
      <c r="B7061" s="121">
        <v>611</v>
      </c>
      <c r="C7061" s="121">
        <v>32</v>
      </c>
      <c r="D7061" s="734">
        <v>138.73808010224838</v>
      </c>
      <c r="E7061" s="733"/>
    </row>
    <row r="7062" spans="2:5">
      <c r="B7062" s="121">
        <v>611</v>
      </c>
      <c r="C7062" s="121">
        <v>33</v>
      </c>
      <c r="D7062" s="734">
        <v>145.63541020807088</v>
      </c>
      <c r="E7062" s="733"/>
    </row>
    <row r="7063" spans="2:5">
      <c r="B7063" s="121">
        <v>611</v>
      </c>
      <c r="C7063" s="121">
        <v>34</v>
      </c>
      <c r="D7063" s="734">
        <v>140.95490055157066</v>
      </c>
      <c r="E7063" s="733"/>
    </row>
    <row r="7064" spans="2:5">
      <c r="B7064" s="121">
        <v>611</v>
      </c>
      <c r="C7064" s="121">
        <v>35</v>
      </c>
      <c r="D7064" s="734">
        <v>146.4481434603137</v>
      </c>
      <c r="E7064" s="733"/>
    </row>
    <row r="7065" spans="2:5">
      <c r="B7065" s="121">
        <v>611</v>
      </c>
      <c r="C7065" s="121">
        <v>36</v>
      </c>
      <c r="D7065" s="734">
        <v>146.29041189314722</v>
      </c>
      <c r="E7065" s="733"/>
    </row>
    <row r="7066" spans="2:5">
      <c r="B7066" s="121">
        <v>612</v>
      </c>
      <c r="C7066" s="121">
        <v>1</v>
      </c>
      <c r="D7066" s="734">
        <v>5</v>
      </c>
      <c r="E7066" s="733"/>
    </row>
    <row r="7067" spans="2:5">
      <c r="B7067" s="121">
        <v>612</v>
      </c>
      <c r="C7067" s="121">
        <v>2</v>
      </c>
      <c r="D7067" s="734">
        <v>101.99129289317246</v>
      </c>
      <c r="E7067" s="733"/>
    </row>
    <row r="7068" spans="2:5">
      <c r="B7068" s="121">
        <v>612</v>
      </c>
      <c r="C7068" s="121">
        <v>3</v>
      </c>
      <c r="D7068" s="734">
        <v>115.61892651624036</v>
      </c>
      <c r="E7068" s="733"/>
    </row>
    <row r="7069" spans="2:5">
      <c r="B7069" s="121">
        <v>612</v>
      </c>
      <c r="C7069" s="121">
        <v>4</v>
      </c>
      <c r="D7069" s="734">
        <v>144.83320446827011</v>
      </c>
      <c r="E7069" s="733"/>
    </row>
    <row r="7070" spans="2:5">
      <c r="B7070" s="121">
        <v>612</v>
      </c>
      <c r="C7070" s="121">
        <v>5</v>
      </c>
      <c r="D7070" s="734">
        <v>142.33524944737152</v>
      </c>
      <c r="E7070" s="733"/>
    </row>
    <row r="7071" spans="2:5">
      <c r="B7071" s="121">
        <v>612</v>
      </c>
      <c r="C7071" s="121">
        <v>6</v>
      </c>
      <c r="D7071" s="734">
        <v>141.0826921862313</v>
      </c>
      <c r="E7071" s="733"/>
    </row>
    <row r="7072" spans="2:5">
      <c r="B7072" s="121">
        <v>612</v>
      </c>
      <c r="C7072" s="121">
        <v>7</v>
      </c>
      <c r="D7072" s="734">
        <v>139.40422249384244</v>
      </c>
      <c r="E7072" s="733"/>
    </row>
    <row r="7073" spans="2:5">
      <c r="B7073" s="121">
        <v>612</v>
      </c>
      <c r="C7073" s="121">
        <v>8</v>
      </c>
      <c r="D7073" s="734">
        <v>142.43733083745366</v>
      </c>
      <c r="E7073" s="733"/>
    </row>
    <row r="7074" spans="2:5">
      <c r="B7074" s="121">
        <v>612</v>
      </c>
      <c r="C7074" s="121">
        <v>9</v>
      </c>
      <c r="D7074" s="734">
        <v>135.55456654883963</v>
      </c>
      <c r="E7074" s="733"/>
    </row>
    <row r="7075" spans="2:5">
      <c r="B7075" s="121">
        <v>613</v>
      </c>
      <c r="C7075" s="121">
        <v>1</v>
      </c>
      <c r="D7075" s="734">
        <v>5</v>
      </c>
      <c r="E7075" s="733"/>
    </row>
    <row r="7076" spans="2:5">
      <c r="B7076" s="121">
        <v>614</v>
      </c>
      <c r="C7076" s="121">
        <v>1</v>
      </c>
      <c r="D7076" s="734">
        <v>5</v>
      </c>
      <c r="E7076" s="733"/>
    </row>
    <row r="7077" spans="2:5">
      <c r="B7077" s="121">
        <v>615</v>
      </c>
      <c r="C7077" s="121">
        <v>1</v>
      </c>
      <c r="D7077" s="734">
        <v>5</v>
      </c>
      <c r="E7077" s="733"/>
    </row>
    <row r="7078" spans="2:5">
      <c r="B7078" s="121">
        <v>616</v>
      </c>
      <c r="C7078" s="121">
        <v>1</v>
      </c>
      <c r="D7078" s="734">
        <v>5</v>
      </c>
      <c r="E7078" s="733"/>
    </row>
    <row r="7079" spans="2:5">
      <c r="B7079" s="121">
        <v>616</v>
      </c>
      <c r="C7079" s="121">
        <v>2</v>
      </c>
      <c r="D7079" s="734">
        <v>100.60501351123423</v>
      </c>
      <c r="E7079" s="733"/>
    </row>
    <row r="7080" spans="2:5">
      <c r="B7080" s="121">
        <v>616</v>
      </c>
      <c r="C7080" s="121">
        <v>3</v>
      </c>
      <c r="D7080" s="734">
        <v>121.68205088279559</v>
      </c>
      <c r="E7080" s="733"/>
    </row>
    <row r="7081" spans="2:5">
      <c r="B7081" s="121">
        <v>616</v>
      </c>
      <c r="C7081" s="121">
        <v>4</v>
      </c>
      <c r="D7081" s="734">
        <v>146.89176778067417</v>
      </c>
      <c r="E7081" s="733"/>
    </row>
    <row r="7082" spans="2:5">
      <c r="B7082" s="121">
        <v>616</v>
      </c>
      <c r="C7082" s="121">
        <v>5</v>
      </c>
      <c r="D7082" s="734">
        <v>134.23336133810534</v>
      </c>
      <c r="E7082" s="733"/>
    </row>
    <row r="7083" spans="2:5">
      <c r="B7083" s="121">
        <v>616</v>
      </c>
      <c r="C7083" s="121">
        <v>6</v>
      </c>
      <c r="D7083" s="734">
        <v>136.75021564611819</v>
      </c>
      <c r="E7083" s="733"/>
    </row>
    <row r="7084" spans="2:5">
      <c r="B7084" s="121">
        <v>616</v>
      </c>
      <c r="C7084" s="121">
        <v>7</v>
      </c>
      <c r="D7084" s="734">
        <v>145.94421263237797</v>
      </c>
      <c r="E7084" s="733"/>
    </row>
    <row r="7085" spans="2:5">
      <c r="B7085" s="121">
        <v>616</v>
      </c>
      <c r="C7085" s="121">
        <v>8</v>
      </c>
      <c r="D7085" s="734">
        <v>137.97671542214997</v>
      </c>
      <c r="E7085" s="733"/>
    </row>
    <row r="7086" spans="2:5">
      <c r="B7086" s="121">
        <v>616</v>
      </c>
      <c r="C7086" s="121">
        <v>9</v>
      </c>
      <c r="D7086" s="734">
        <v>141.36189372838882</v>
      </c>
      <c r="E7086" s="733"/>
    </row>
    <row r="7087" spans="2:5">
      <c r="B7087" s="121">
        <v>616</v>
      </c>
      <c r="C7087" s="121">
        <v>10</v>
      </c>
      <c r="D7087" s="734">
        <v>145.70988363682116</v>
      </c>
      <c r="E7087" s="733"/>
    </row>
    <row r="7088" spans="2:5">
      <c r="B7088" s="121">
        <v>616</v>
      </c>
      <c r="C7088" s="121">
        <v>11</v>
      </c>
      <c r="D7088" s="734">
        <v>137.00187712011711</v>
      </c>
      <c r="E7088" s="733"/>
    </row>
    <row r="7089" spans="2:5">
      <c r="B7089" s="121">
        <v>616</v>
      </c>
      <c r="C7089" s="121">
        <v>12</v>
      </c>
      <c r="D7089" s="734">
        <v>138.04513727860009</v>
      </c>
      <c r="E7089" s="733"/>
    </row>
    <row r="7090" spans="2:5">
      <c r="B7090" s="121">
        <v>616</v>
      </c>
      <c r="C7090" s="121">
        <v>13</v>
      </c>
      <c r="D7090" s="734">
        <v>135.84154180270565</v>
      </c>
      <c r="E7090" s="733"/>
    </row>
    <row r="7091" spans="2:5">
      <c r="B7091" s="121">
        <v>616</v>
      </c>
      <c r="C7091" s="121">
        <v>14</v>
      </c>
      <c r="D7091" s="734">
        <v>146.55840085833273</v>
      </c>
      <c r="E7091" s="733"/>
    </row>
    <row r="7092" spans="2:5">
      <c r="B7092" s="121">
        <v>616</v>
      </c>
      <c r="C7092" s="121">
        <v>15</v>
      </c>
      <c r="D7092" s="734">
        <v>135.29340400187667</v>
      </c>
      <c r="E7092" s="733"/>
    </row>
    <row r="7093" spans="2:5">
      <c r="B7093" s="121">
        <v>616</v>
      </c>
      <c r="C7093" s="121">
        <v>16</v>
      </c>
      <c r="D7093" s="734">
        <v>138.20254896162916</v>
      </c>
      <c r="E7093" s="733"/>
    </row>
    <row r="7094" spans="2:5">
      <c r="B7094" s="121">
        <v>616</v>
      </c>
      <c r="C7094" s="121">
        <v>17</v>
      </c>
      <c r="D7094" s="734">
        <v>137.87652630751199</v>
      </c>
      <c r="E7094" s="733"/>
    </row>
    <row r="7095" spans="2:5">
      <c r="B7095" s="121">
        <v>616</v>
      </c>
      <c r="C7095" s="121">
        <v>18</v>
      </c>
      <c r="D7095" s="734">
        <v>140.98987565929204</v>
      </c>
      <c r="E7095" s="733"/>
    </row>
    <row r="7096" spans="2:5">
      <c r="B7096" s="121">
        <v>616</v>
      </c>
      <c r="C7096" s="121">
        <v>19</v>
      </c>
      <c r="D7096" s="734">
        <v>134.62152308984292</v>
      </c>
      <c r="E7096" s="733"/>
    </row>
    <row r="7097" spans="2:5">
      <c r="B7097" s="121">
        <v>616</v>
      </c>
      <c r="C7097" s="121">
        <v>20</v>
      </c>
      <c r="D7097" s="734">
        <v>134.26520763291077</v>
      </c>
      <c r="E7097" s="733"/>
    </row>
    <row r="7098" spans="2:5">
      <c r="B7098" s="121">
        <v>616</v>
      </c>
      <c r="C7098" s="121">
        <v>21</v>
      </c>
      <c r="D7098" s="734">
        <v>144.60514270328915</v>
      </c>
      <c r="E7098" s="733"/>
    </row>
    <row r="7099" spans="2:5">
      <c r="B7099" s="121">
        <v>616</v>
      </c>
      <c r="C7099" s="121">
        <v>22</v>
      </c>
      <c r="D7099" s="734">
        <v>138.90691577788016</v>
      </c>
      <c r="E7099" s="733"/>
    </row>
    <row r="7100" spans="2:5">
      <c r="B7100" s="121">
        <v>616</v>
      </c>
      <c r="C7100" s="121">
        <v>23</v>
      </c>
      <c r="D7100" s="734">
        <v>141.92659500084224</v>
      </c>
      <c r="E7100" s="733"/>
    </row>
    <row r="7101" spans="2:5">
      <c r="B7101" s="121">
        <v>616</v>
      </c>
      <c r="C7101" s="121">
        <v>24</v>
      </c>
      <c r="D7101" s="734">
        <v>147.11194435082385</v>
      </c>
      <c r="E7101" s="733"/>
    </row>
    <row r="7102" spans="2:5">
      <c r="B7102" s="121">
        <v>616</v>
      </c>
      <c r="C7102" s="121">
        <v>25</v>
      </c>
      <c r="D7102" s="734">
        <v>137.97693706010364</v>
      </c>
      <c r="E7102" s="733"/>
    </row>
    <row r="7103" spans="2:5">
      <c r="B7103" s="121">
        <v>616</v>
      </c>
      <c r="C7103" s="121">
        <v>26</v>
      </c>
      <c r="D7103" s="734">
        <v>133.66838168651321</v>
      </c>
      <c r="E7103" s="733"/>
    </row>
    <row r="7104" spans="2:5">
      <c r="B7104" s="121">
        <v>616</v>
      </c>
      <c r="C7104" s="121">
        <v>27</v>
      </c>
      <c r="D7104" s="734">
        <v>134.59565999436043</v>
      </c>
      <c r="E7104" s="733"/>
    </row>
    <row r="7105" spans="2:5">
      <c r="B7105" s="121">
        <v>616</v>
      </c>
      <c r="C7105" s="121">
        <v>28</v>
      </c>
      <c r="D7105" s="734">
        <v>140.51733383378888</v>
      </c>
      <c r="E7105" s="733"/>
    </row>
    <row r="7106" spans="2:5">
      <c r="B7106" s="121">
        <v>616</v>
      </c>
      <c r="C7106" s="121">
        <v>29</v>
      </c>
      <c r="D7106" s="734">
        <v>146.45885128774316</v>
      </c>
      <c r="E7106" s="733"/>
    </row>
    <row r="7107" spans="2:5">
      <c r="B7107" s="121">
        <v>616</v>
      </c>
      <c r="C7107" s="121">
        <v>30</v>
      </c>
      <c r="D7107" s="734">
        <v>139.25695832033631</v>
      </c>
      <c r="E7107" s="733"/>
    </row>
    <row r="7108" spans="2:5">
      <c r="B7108" s="121">
        <v>616</v>
      </c>
      <c r="C7108" s="121">
        <v>31</v>
      </c>
      <c r="D7108" s="734">
        <v>134.04374982093256</v>
      </c>
      <c r="E7108" s="733"/>
    </row>
    <row r="7109" spans="2:5">
      <c r="B7109" s="121">
        <v>616</v>
      </c>
      <c r="C7109" s="121">
        <v>32</v>
      </c>
      <c r="D7109" s="734">
        <v>134.91720611438663</v>
      </c>
      <c r="E7109" s="733"/>
    </row>
    <row r="7110" spans="2:5">
      <c r="B7110" s="121">
        <v>616</v>
      </c>
      <c r="C7110" s="121">
        <v>33</v>
      </c>
      <c r="D7110" s="734">
        <v>136.79336747395081</v>
      </c>
      <c r="E7110" s="733"/>
    </row>
    <row r="7111" spans="2:5">
      <c r="B7111" s="121">
        <v>616</v>
      </c>
      <c r="C7111" s="121">
        <v>34</v>
      </c>
      <c r="D7111" s="734">
        <v>143.38522910720113</v>
      </c>
      <c r="E7111" s="733"/>
    </row>
    <row r="7112" spans="2:5">
      <c r="B7112" s="121">
        <v>616</v>
      </c>
      <c r="C7112" s="121">
        <v>35</v>
      </c>
      <c r="D7112" s="734">
        <v>144.97989918074347</v>
      </c>
      <c r="E7112" s="733"/>
    </row>
    <row r="7113" spans="2:5">
      <c r="B7113" s="121">
        <v>616</v>
      </c>
      <c r="C7113" s="121">
        <v>36</v>
      </c>
      <c r="D7113" s="734">
        <v>146.79431500894458</v>
      </c>
      <c r="E7113" s="733"/>
    </row>
    <row r="7114" spans="2:5">
      <c r="B7114" s="121">
        <v>617</v>
      </c>
      <c r="C7114" s="121">
        <v>1</v>
      </c>
      <c r="D7114" s="734">
        <v>5</v>
      </c>
      <c r="E7114" s="733"/>
    </row>
    <row r="7115" spans="2:5">
      <c r="B7115" s="121">
        <v>617</v>
      </c>
      <c r="C7115" s="121">
        <v>2</v>
      </c>
      <c r="D7115" s="734">
        <v>101.01645116449762</v>
      </c>
      <c r="E7115" s="733"/>
    </row>
    <row r="7116" spans="2:5">
      <c r="B7116" s="121">
        <v>617</v>
      </c>
      <c r="C7116" s="121">
        <v>3</v>
      </c>
      <c r="D7116" s="734">
        <v>114.94752217691661</v>
      </c>
      <c r="E7116" s="733"/>
    </row>
    <row r="7117" spans="2:5">
      <c r="B7117" s="121">
        <v>617</v>
      </c>
      <c r="C7117" s="121">
        <v>4</v>
      </c>
      <c r="D7117" s="734">
        <v>144.2226994217975</v>
      </c>
      <c r="E7117" s="733"/>
    </row>
    <row r="7118" spans="2:5">
      <c r="B7118" s="121">
        <v>617</v>
      </c>
      <c r="C7118" s="121">
        <v>5</v>
      </c>
      <c r="D7118" s="734">
        <v>138.01220349464069</v>
      </c>
      <c r="E7118" s="733"/>
    </row>
    <row r="7119" spans="2:5">
      <c r="B7119" s="121">
        <v>617</v>
      </c>
      <c r="C7119" s="121">
        <v>6</v>
      </c>
      <c r="D7119" s="734">
        <v>146.22291759356568</v>
      </c>
      <c r="E7119" s="733"/>
    </row>
    <row r="7120" spans="2:5">
      <c r="B7120" s="121">
        <v>617</v>
      </c>
      <c r="C7120" s="121">
        <v>7</v>
      </c>
      <c r="D7120" s="734">
        <v>142.33297606382953</v>
      </c>
      <c r="E7120" s="733"/>
    </row>
    <row r="7121" spans="2:5">
      <c r="B7121" s="121">
        <v>617</v>
      </c>
      <c r="C7121" s="121">
        <v>8</v>
      </c>
      <c r="D7121" s="734">
        <v>135.72704440645208</v>
      </c>
      <c r="E7121" s="733"/>
    </row>
    <row r="7122" spans="2:5">
      <c r="B7122" s="121">
        <v>617</v>
      </c>
      <c r="C7122" s="121">
        <v>9</v>
      </c>
      <c r="D7122" s="734">
        <v>141.80687183045006</v>
      </c>
      <c r="E7122" s="733"/>
    </row>
    <row r="7123" spans="2:5">
      <c r="B7123" s="121">
        <v>617</v>
      </c>
      <c r="C7123" s="121">
        <v>10</v>
      </c>
      <c r="D7123" s="734">
        <v>136.20588664660519</v>
      </c>
      <c r="E7123" s="733"/>
    </row>
    <row r="7124" spans="2:5">
      <c r="B7124" s="121">
        <v>617</v>
      </c>
      <c r="C7124" s="121">
        <v>11</v>
      </c>
      <c r="D7124" s="734">
        <v>134.47153622260268</v>
      </c>
      <c r="E7124" s="733"/>
    </row>
    <row r="7125" spans="2:5">
      <c r="B7125" s="121">
        <v>617</v>
      </c>
      <c r="C7125" s="121">
        <v>12</v>
      </c>
      <c r="D7125" s="734">
        <v>135.20665380709099</v>
      </c>
      <c r="E7125" s="733"/>
    </row>
    <row r="7126" spans="2:5">
      <c r="B7126" s="121">
        <v>617</v>
      </c>
      <c r="C7126" s="121">
        <v>13</v>
      </c>
      <c r="D7126" s="734">
        <v>139.76736063998911</v>
      </c>
      <c r="E7126" s="733"/>
    </row>
    <row r="7127" spans="2:5">
      <c r="B7127" s="121">
        <v>617</v>
      </c>
      <c r="C7127" s="121">
        <v>14</v>
      </c>
      <c r="D7127" s="734">
        <v>135.55432463579922</v>
      </c>
      <c r="E7127" s="733"/>
    </row>
    <row r="7128" spans="2:5">
      <c r="B7128" s="121">
        <v>617</v>
      </c>
      <c r="C7128" s="121">
        <v>15</v>
      </c>
      <c r="D7128" s="734">
        <v>137.40604798794703</v>
      </c>
      <c r="E7128" s="733"/>
    </row>
    <row r="7129" spans="2:5">
      <c r="B7129" s="121">
        <v>617</v>
      </c>
      <c r="C7129" s="121">
        <v>16</v>
      </c>
      <c r="D7129" s="734">
        <v>141.24882588899456</v>
      </c>
      <c r="E7129" s="733"/>
    </row>
    <row r="7130" spans="2:5">
      <c r="B7130" s="121">
        <v>617</v>
      </c>
      <c r="C7130" s="121">
        <v>17</v>
      </c>
      <c r="D7130" s="734">
        <v>145.92478462993179</v>
      </c>
      <c r="E7130" s="733"/>
    </row>
    <row r="7131" spans="2:5">
      <c r="B7131" s="121">
        <v>617</v>
      </c>
      <c r="C7131" s="121">
        <v>18</v>
      </c>
      <c r="D7131" s="734">
        <v>137.72323732293131</v>
      </c>
      <c r="E7131" s="733"/>
    </row>
    <row r="7132" spans="2:5">
      <c r="B7132" s="121">
        <v>617</v>
      </c>
      <c r="C7132" s="121">
        <v>19</v>
      </c>
      <c r="D7132" s="734">
        <v>134.72408952862034</v>
      </c>
      <c r="E7132" s="733"/>
    </row>
    <row r="7133" spans="2:5">
      <c r="B7133" s="121">
        <v>617</v>
      </c>
      <c r="C7133" s="121">
        <v>20</v>
      </c>
      <c r="D7133" s="734">
        <v>137.0034471938493</v>
      </c>
      <c r="E7133" s="733"/>
    </row>
    <row r="7134" spans="2:5">
      <c r="B7134" s="121">
        <v>617</v>
      </c>
      <c r="C7134" s="121">
        <v>21</v>
      </c>
      <c r="D7134" s="734">
        <v>141.24238587264088</v>
      </c>
      <c r="E7134" s="733"/>
    </row>
    <row r="7135" spans="2:5">
      <c r="B7135" s="121">
        <v>617</v>
      </c>
      <c r="C7135" s="121">
        <v>22</v>
      </c>
      <c r="D7135" s="734">
        <v>138.613515289975</v>
      </c>
      <c r="E7135" s="733"/>
    </row>
    <row r="7136" spans="2:5">
      <c r="B7136" s="121">
        <v>617</v>
      </c>
      <c r="C7136" s="121">
        <v>23</v>
      </c>
      <c r="D7136" s="734">
        <v>137.85529374716248</v>
      </c>
      <c r="E7136" s="733"/>
    </row>
    <row r="7137" spans="2:5">
      <c r="B7137" s="121">
        <v>617</v>
      </c>
      <c r="C7137" s="121">
        <v>24</v>
      </c>
      <c r="D7137" s="734">
        <v>134.16313246592813</v>
      </c>
      <c r="E7137" s="733"/>
    </row>
    <row r="7138" spans="2:5">
      <c r="B7138" s="121">
        <v>617</v>
      </c>
      <c r="C7138" s="121">
        <v>25</v>
      </c>
      <c r="D7138" s="734">
        <v>134.68270691978097</v>
      </c>
      <c r="E7138" s="733"/>
    </row>
    <row r="7139" spans="2:5">
      <c r="B7139" s="121">
        <v>617</v>
      </c>
      <c r="C7139" s="121">
        <v>26</v>
      </c>
      <c r="D7139" s="734">
        <v>135.41092678463039</v>
      </c>
      <c r="E7139" s="733"/>
    </row>
    <row r="7140" spans="2:5">
      <c r="B7140" s="121">
        <v>618</v>
      </c>
      <c r="C7140" s="121">
        <v>1</v>
      </c>
      <c r="D7140" s="734">
        <v>5</v>
      </c>
      <c r="E7140" s="733"/>
    </row>
    <row r="7141" spans="2:5">
      <c r="B7141" s="121">
        <v>619</v>
      </c>
      <c r="C7141" s="121">
        <v>1</v>
      </c>
      <c r="D7141" s="734">
        <v>5</v>
      </c>
      <c r="E7141" s="733"/>
    </row>
    <row r="7142" spans="2:5">
      <c r="B7142" s="121">
        <v>619</v>
      </c>
      <c r="C7142" s="121">
        <v>2</v>
      </c>
      <c r="D7142" s="734">
        <v>94.421971043758774</v>
      </c>
      <c r="E7142" s="733"/>
    </row>
    <row r="7143" spans="2:5">
      <c r="B7143" s="121">
        <v>619</v>
      </c>
      <c r="C7143" s="121">
        <v>3</v>
      </c>
      <c r="D7143" s="734">
        <v>123.81753196814287</v>
      </c>
      <c r="E7143" s="733"/>
    </row>
    <row r="7144" spans="2:5">
      <c r="B7144" s="121">
        <v>619</v>
      </c>
      <c r="C7144" s="121">
        <v>4</v>
      </c>
      <c r="D7144" s="734">
        <v>143.37482883254063</v>
      </c>
      <c r="E7144" s="733"/>
    </row>
    <row r="7145" spans="2:5">
      <c r="B7145" s="121">
        <v>619</v>
      </c>
      <c r="C7145" s="121">
        <v>5</v>
      </c>
      <c r="D7145" s="734">
        <v>143.84663476209661</v>
      </c>
      <c r="E7145" s="733"/>
    </row>
    <row r="7146" spans="2:5">
      <c r="B7146" s="121">
        <v>619</v>
      </c>
      <c r="C7146" s="121">
        <v>6</v>
      </c>
      <c r="D7146" s="734">
        <v>139.92468917151473</v>
      </c>
      <c r="E7146" s="733"/>
    </row>
    <row r="7147" spans="2:5">
      <c r="B7147" s="121">
        <v>619</v>
      </c>
      <c r="C7147" s="121">
        <v>7</v>
      </c>
      <c r="D7147" s="734">
        <v>133.67456555945978</v>
      </c>
      <c r="E7147" s="733"/>
    </row>
    <row r="7148" spans="2:5">
      <c r="B7148" s="121">
        <v>620</v>
      </c>
      <c r="C7148" s="121">
        <v>1</v>
      </c>
      <c r="D7148" s="734">
        <v>5</v>
      </c>
      <c r="E7148" s="733"/>
    </row>
    <row r="7149" spans="2:5">
      <c r="B7149" s="121">
        <v>621</v>
      </c>
      <c r="C7149" s="121">
        <v>1</v>
      </c>
      <c r="D7149" s="734">
        <v>5</v>
      </c>
      <c r="E7149" s="733"/>
    </row>
    <row r="7150" spans="2:5">
      <c r="B7150" s="121">
        <v>621</v>
      </c>
      <c r="C7150" s="121">
        <v>2</v>
      </c>
      <c r="D7150" s="734">
        <v>97.714034041299584</v>
      </c>
      <c r="E7150" s="733"/>
    </row>
    <row r="7151" spans="2:5">
      <c r="B7151" s="121">
        <v>621</v>
      </c>
      <c r="C7151" s="121">
        <v>3</v>
      </c>
      <c r="D7151" s="734">
        <v>121.79638933713522</v>
      </c>
      <c r="E7151" s="733"/>
    </row>
    <row r="7152" spans="2:5">
      <c r="B7152" s="121">
        <v>621</v>
      </c>
      <c r="C7152" s="121">
        <v>4</v>
      </c>
      <c r="D7152" s="734">
        <v>144.77434072357698</v>
      </c>
      <c r="E7152" s="733"/>
    </row>
    <row r="7153" spans="2:5">
      <c r="B7153" s="121">
        <v>621</v>
      </c>
      <c r="C7153" s="121">
        <v>5</v>
      </c>
      <c r="D7153" s="734">
        <v>134.2191991545541</v>
      </c>
      <c r="E7153" s="733"/>
    </row>
    <row r="7154" spans="2:5">
      <c r="B7154" s="121">
        <v>621</v>
      </c>
      <c r="C7154" s="121">
        <v>6</v>
      </c>
      <c r="D7154" s="734">
        <v>144.79530158628486</v>
      </c>
      <c r="E7154" s="733"/>
    </row>
    <row r="7155" spans="2:5">
      <c r="B7155" s="121">
        <v>621</v>
      </c>
      <c r="C7155" s="121">
        <v>7</v>
      </c>
      <c r="D7155" s="734">
        <v>142.6866690717911</v>
      </c>
      <c r="E7155" s="733"/>
    </row>
    <row r="7156" spans="2:5">
      <c r="B7156" s="121">
        <v>621</v>
      </c>
      <c r="C7156" s="121">
        <v>8</v>
      </c>
      <c r="D7156" s="734">
        <v>142.22887439985971</v>
      </c>
      <c r="E7156" s="733"/>
    </row>
    <row r="7157" spans="2:5">
      <c r="B7157" s="121">
        <v>621</v>
      </c>
      <c r="C7157" s="121">
        <v>9</v>
      </c>
      <c r="D7157" s="734">
        <v>146.80866455822564</v>
      </c>
      <c r="E7157" s="733"/>
    </row>
    <row r="7158" spans="2:5">
      <c r="B7158" s="121">
        <v>621</v>
      </c>
      <c r="C7158" s="121">
        <v>10</v>
      </c>
      <c r="D7158" s="734">
        <v>137.89694182350297</v>
      </c>
      <c r="E7158" s="733"/>
    </row>
    <row r="7159" spans="2:5">
      <c r="B7159" s="121">
        <v>621</v>
      </c>
      <c r="C7159" s="121">
        <v>11</v>
      </c>
      <c r="D7159" s="734">
        <v>139.75341500008471</v>
      </c>
      <c r="E7159" s="733"/>
    </row>
    <row r="7160" spans="2:5">
      <c r="B7160" s="121">
        <v>621</v>
      </c>
      <c r="C7160" s="121">
        <v>12</v>
      </c>
      <c r="D7160" s="734">
        <v>146.37311034322613</v>
      </c>
      <c r="E7160" s="733"/>
    </row>
    <row r="7161" spans="2:5">
      <c r="B7161" s="121">
        <v>621</v>
      </c>
      <c r="C7161" s="121">
        <v>13</v>
      </c>
      <c r="D7161" s="734">
        <v>139.04879253515671</v>
      </c>
      <c r="E7161" s="733"/>
    </row>
    <row r="7162" spans="2:5">
      <c r="B7162" s="121">
        <v>621</v>
      </c>
      <c r="C7162" s="121">
        <v>14</v>
      </c>
      <c r="D7162" s="734">
        <v>135.17840733598922</v>
      </c>
      <c r="E7162" s="733"/>
    </row>
    <row r="7163" spans="2:5">
      <c r="B7163" s="121">
        <v>621</v>
      </c>
      <c r="C7163" s="121">
        <v>15</v>
      </c>
      <c r="D7163" s="734">
        <v>139.74899595946118</v>
      </c>
      <c r="E7163" s="733"/>
    </row>
    <row r="7164" spans="2:5">
      <c r="B7164" s="121">
        <v>621</v>
      </c>
      <c r="C7164" s="121">
        <v>16</v>
      </c>
      <c r="D7164" s="734">
        <v>140.20383363604219</v>
      </c>
      <c r="E7164" s="733"/>
    </row>
    <row r="7165" spans="2:5">
      <c r="B7165" s="121">
        <v>621</v>
      </c>
      <c r="C7165" s="121">
        <v>17</v>
      </c>
      <c r="D7165" s="734">
        <v>136.7220272812792</v>
      </c>
      <c r="E7165" s="733"/>
    </row>
    <row r="7166" spans="2:5">
      <c r="B7166" s="121">
        <v>621</v>
      </c>
      <c r="C7166" s="121">
        <v>18</v>
      </c>
      <c r="D7166" s="734">
        <v>144.61719332386045</v>
      </c>
      <c r="E7166" s="733"/>
    </row>
    <row r="7167" spans="2:5">
      <c r="B7167" s="121">
        <v>621</v>
      </c>
      <c r="C7167" s="121">
        <v>19</v>
      </c>
      <c r="D7167" s="734">
        <v>135.68041894116888</v>
      </c>
      <c r="E7167" s="733"/>
    </row>
    <row r="7168" spans="2:5">
      <c r="B7168" s="121">
        <v>621</v>
      </c>
      <c r="C7168" s="121">
        <v>20</v>
      </c>
      <c r="D7168" s="734">
        <v>146.64887198526466</v>
      </c>
      <c r="E7168" s="733"/>
    </row>
    <row r="7169" spans="2:5">
      <c r="B7169" s="121">
        <v>621</v>
      </c>
      <c r="C7169" s="121">
        <v>21</v>
      </c>
      <c r="D7169" s="734">
        <v>139.23232557762844</v>
      </c>
      <c r="E7169" s="733"/>
    </row>
    <row r="7170" spans="2:5">
      <c r="B7170" s="121">
        <v>621</v>
      </c>
      <c r="C7170" s="121">
        <v>22</v>
      </c>
      <c r="D7170" s="734">
        <v>135.05504299854593</v>
      </c>
      <c r="E7170" s="733"/>
    </row>
    <row r="7171" spans="2:5">
      <c r="B7171" s="121">
        <v>621</v>
      </c>
      <c r="C7171" s="121">
        <v>23</v>
      </c>
      <c r="D7171" s="734">
        <v>134.03765573895203</v>
      </c>
      <c r="E7171" s="733"/>
    </row>
    <row r="7172" spans="2:5">
      <c r="B7172" s="121">
        <v>621</v>
      </c>
      <c r="C7172" s="121">
        <v>24</v>
      </c>
      <c r="D7172" s="734">
        <v>139.62436946683127</v>
      </c>
      <c r="E7172" s="733"/>
    </row>
    <row r="7173" spans="2:5">
      <c r="B7173" s="121">
        <v>621</v>
      </c>
      <c r="C7173" s="121">
        <v>25</v>
      </c>
      <c r="D7173" s="734">
        <v>144.27534855947084</v>
      </c>
      <c r="E7173" s="733"/>
    </row>
    <row r="7174" spans="2:5">
      <c r="B7174" s="121">
        <v>621</v>
      </c>
      <c r="C7174" s="121">
        <v>26</v>
      </c>
      <c r="D7174" s="734">
        <v>144.07445503650982</v>
      </c>
      <c r="E7174" s="733"/>
    </row>
    <row r="7175" spans="2:5">
      <c r="B7175" s="121">
        <v>621</v>
      </c>
      <c r="C7175" s="121">
        <v>27</v>
      </c>
      <c r="D7175" s="734">
        <v>139.82152986328663</v>
      </c>
      <c r="E7175" s="733"/>
    </row>
    <row r="7176" spans="2:5">
      <c r="B7176" s="121">
        <v>621</v>
      </c>
      <c r="C7176" s="121">
        <v>28</v>
      </c>
      <c r="D7176" s="734">
        <v>138.4213041811515</v>
      </c>
      <c r="E7176" s="733"/>
    </row>
    <row r="7177" spans="2:5">
      <c r="B7177" s="121">
        <v>621</v>
      </c>
      <c r="C7177" s="121">
        <v>29</v>
      </c>
      <c r="D7177" s="734">
        <v>145.83408746585019</v>
      </c>
      <c r="E7177" s="733"/>
    </row>
    <row r="7178" spans="2:5">
      <c r="B7178" s="121">
        <v>621</v>
      </c>
      <c r="C7178" s="121">
        <v>30</v>
      </c>
      <c r="D7178" s="734">
        <v>141.54495872169161</v>
      </c>
      <c r="E7178" s="733"/>
    </row>
    <row r="7179" spans="2:5">
      <c r="B7179" s="121">
        <v>621</v>
      </c>
      <c r="C7179" s="121">
        <v>31</v>
      </c>
      <c r="D7179" s="734">
        <v>144.26780175810259</v>
      </c>
      <c r="E7179" s="733"/>
    </row>
    <row r="7180" spans="2:5">
      <c r="B7180" s="121">
        <v>621</v>
      </c>
      <c r="C7180" s="121">
        <v>32</v>
      </c>
      <c r="D7180" s="734">
        <v>145.76437301031442</v>
      </c>
      <c r="E7180" s="733"/>
    </row>
    <row r="7181" spans="2:5">
      <c r="B7181" s="121">
        <v>621</v>
      </c>
      <c r="C7181" s="121">
        <v>33</v>
      </c>
      <c r="D7181" s="734">
        <v>138.40180319773279</v>
      </c>
      <c r="E7181" s="733"/>
    </row>
    <row r="7182" spans="2:5">
      <c r="B7182" s="121">
        <v>621</v>
      </c>
      <c r="C7182" s="121">
        <v>34</v>
      </c>
      <c r="D7182" s="734">
        <v>134.56089755276003</v>
      </c>
      <c r="E7182" s="733"/>
    </row>
    <row r="7183" spans="2:5">
      <c r="B7183" s="121">
        <v>621</v>
      </c>
      <c r="C7183" s="121">
        <v>35</v>
      </c>
      <c r="D7183" s="734">
        <v>145.40605504999365</v>
      </c>
      <c r="E7183" s="733"/>
    </row>
    <row r="7184" spans="2:5">
      <c r="B7184" s="121">
        <v>621</v>
      </c>
      <c r="C7184" s="121">
        <v>36</v>
      </c>
      <c r="D7184" s="734">
        <v>142.97598908132605</v>
      </c>
      <c r="E7184" s="733"/>
    </row>
    <row r="7185" spans="2:5">
      <c r="B7185" s="121">
        <v>622</v>
      </c>
      <c r="C7185" s="121">
        <v>1</v>
      </c>
      <c r="D7185" s="734">
        <v>5</v>
      </c>
      <c r="E7185" s="733"/>
    </row>
    <row r="7186" spans="2:5">
      <c r="B7186" s="121">
        <v>622</v>
      </c>
      <c r="C7186" s="121">
        <v>2</v>
      </c>
      <c r="D7186" s="734">
        <v>101.72628554753406</v>
      </c>
      <c r="E7186" s="733"/>
    </row>
    <row r="7187" spans="2:5">
      <c r="B7187" s="121">
        <v>622</v>
      </c>
      <c r="C7187" s="121">
        <v>3</v>
      </c>
      <c r="D7187" s="734">
        <v>125.2714541163535</v>
      </c>
      <c r="E7187" s="733"/>
    </row>
    <row r="7188" spans="2:5">
      <c r="B7188" s="121">
        <v>622</v>
      </c>
      <c r="C7188" s="121">
        <v>4</v>
      </c>
      <c r="D7188" s="734">
        <v>139.18229982634088</v>
      </c>
      <c r="E7188" s="733"/>
    </row>
    <row r="7189" spans="2:5">
      <c r="B7189" s="121">
        <v>622</v>
      </c>
      <c r="C7189" s="121">
        <v>5</v>
      </c>
      <c r="D7189" s="734">
        <v>146.55123305112915</v>
      </c>
      <c r="E7189" s="733"/>
    </row>
    <row r="7190" spans="2:5">
      <c r="B7190" s="121">
        <v>622</v>
      </c>
      <c r="C7190" s="121">
        <v>6</v>
      </c>
      <c r="D7190" s="734">
        <v>142.77451515701597</v>
      </c>
      <c r="E7190" s="733"/>
    </row>
    <row r="7191" spans="2:5">
      <c r="B7191" s="121">
        <v>622</v>
      </c>
      <c r="C7191" s="121">
        <v>7</v>
      </c>
      <c r="D7191" s="734">
        <v>140.07409198435255</v>
      </c>
      <c r="E7191" s="733"/>
    </row>
    <row r="7192" spans="2:5">
      <c r="B7192" s="121">
        <v>622</v>
      </c>
      <c r="C7192" s="121">
        <v>8</v>
      </c>
      <c r="D7192" s="734">
        <v>142.41875897708056</v>
      </c>
      <c r="E7192" s="733"/>
    </row>
    <row r="7193" spans="2:5">
      <c r="B7193" s="121">
        <v>622</v>
      </c>
      <c r="C7193" s="121">
        <v>9</v>
      </c>
      <c r="D7193" s="734">
        <v>140.53746457467975</v>
      </c>
      <c r="E7193" s="733"/>
    </row>
    <row r="7194" spans="2:5">
      <c r="B7194" s="121">
        <v>622</v>
      </c>
      <c r="C7194" s="121">
        <v>10</v>
      </c>
      <c r="D7194" s="734">
        <v>140.77875415609594</v>
      </c>
      <c r="E7194" s="733"/>
    </row>
    <row r="7195" spans="2:5">
      <c r="B7195" s="121">
        <v>622</v>
      </c>
      <c r="C7195" s="121">
        <v>11</v>
      </c>
      <c r="D7195" s="734">
        <v>139.77968233040937</v>
      </c>
      <c r="E7195" s="733"/>
    </row>
    <row r="7196" spans="2:5">
      <c r="B7196" s="121">
        <v>622</v>
      </c>
      <c r="C7196" s="121">
        <v>12</v>
      </c>
      <c r="D7196" s="734">
        <v>146.44728222932466</v>
      </c>
      <c r="E7196" s="733"/>
    </row>
    <row r="7197" spans="2:5">
      <c r="B7197" s="121">
        <v>622</v>
      </c>
      <c r="C7197" s="121">
        <v>13</v>
      </c>
      <c r="D7197" s="734">
        <v>142.0796889885427</v>
      </c>
      <c r="E7197" s="733"/>
    </row>
    <row r="7198" spans="2:5">
      <c r="B7198" s="121">
        <v>622</v>
      </c>
      <c r="C7198" s="121">
        <v>14</v>
      </c>
      <c r="D7198" s="734">
        <v>138.20264165173182</v>
      </c>
      <c r="E7198" s="733"/>
    </row>
    <row r="7199" spans="2:5">
      <c r="B7199" s="121">
        <v>622</v>
      </c>
      <c r="C7199" s="121">
        <v>15</v>
      </c>
      <c r="D7199" s="734">
        <v>145.96332458364455</v>
      </c>
      <c r="E7199" s="733"/>
    </row>
    <row r="7200" spans="2:5">
      <c r="B7200" s="121">
        <v>622</v>
      </c>
      <c r="C7200" s="121">
        <v>16</v>
      </c>
      <c r="D7200" s="734">
        <v>142.75971987099086</v>
      </c>
      <c r="E7200" s="733"/>
    </row>
    <row r="7201" spans="2:5">
      <c r="B7201" s="121">
        <v>622</v>
      </c>
      <c r="C7201" s="121">
        <v>17</v>
      </c>
      <c r="D7201" s="734">
        <v>141.65209825901451</v>
      </c>
      <c r="E7201" s="733"/>
    </row>
    <row r="7202" spans="2:5">
      <c r="B7202" s="121">
        <v>622</v>
      </c>
      <c r="C7202" s="121">
        <v>18</v>
      </c>
      <c r="D7202" s="734">
        <v>141.40856711576748</v>
      </c>
      <c r="E7202" s="733"/>
    </row>
    <row r="7203" spans="2:5">
      <c r="B7203" s="121">
        <v>622</v>
      </c>
      <c r="C7203" s="121">
        <v>19</v>
      </c>
      <c r="D7203" s="734">
        <v>140.69418322564206</v>
      </c>
      <c r="E7203" s="733"/>
    </row>
    <row r="7204" spans="2:5">
      <c r="B7204" s="121">
        <v>622</v>
      </c>
      <c r="C7204" s="121">
        <v>20</v>
      </c>
      <c r="D7204" s="734">
        <v>142.77299878375516</v>
      </c>
      <c r="E7204" s="733"/>
    </row>
    <row r="7205" spans="2:5">
      <c r="B7205" s="121">
        <v>623</v>
      </c>
      <c r="C7205" s="121">
        <v>1</v>
      </c>
      <c r="D7205" s="734">
        <v>5</v>
      </c>
      <c r="E7205" s="733"/>
    </row>
    <row r="7206" spans="2:5">
      <c r="B7206" s="121">
        <v>623</v>
      </c>
      <c r="C7206" s="121">
        <v>2</v>
      </c>
      <c r="D7206" s="734">
        <v>102.07473560806271</v>
      </c>
      <c r="E7206" s="733"/>
    </row>
    <row r="7207" spans="2:5">
      <c r="B7207" s="121">
        <v>624</v>
      </c>
      <c r="C7207" s="121">
        <v>1</v>
      </c>
      <c r="D7207" s="734">
        <v>5</v>
      </c>
      <c r="E7207" s="733"/>
    </row>
    <row r="7208" spans="2:5">
      <c r="B7208" s="121">
        <v>625</v>
      </c>
      <c r="C7208" s="121">
        <v>1</v>
      </c>
      <c r="D7208" s="734">
        <v>5</v>
      </c>
      <c r="E7208" s="733"/>
    </row>
    <row r="7209" spans="2:5">
      <c r="B7209" s="121">
        <v>626</v>
      </c>
      <c r="C7209" s="121">
        <v>1</v>
      </c>
      <c r="D7209" s="734">
        <v>5</v>
      </c>
      <c r="E7209" s="733"/>
    </row>
    <row r="7210" spans="2:5">
      <c r="B7210" s="121">
        <v>627</v>
      </c>
      <c r="C7210" s="121">
        <v>1</v>
      </c>
      <c r="D7210" s="734">
        <v>5</v>
      </c>
      <c r="E7210" s="733"/>
    </row>
    <row r="7211" spans="2:5">
      <c r="B7211" s="121">
        <v>627</v>
      </c>
      <c r="C7211" s="121">
        <v>2</v>
      </c>
      <c r="D7211" s="734">
        <v>99.884123246007533</v>
      </c>
      <c r="E7211" s="733"/>
    </row>
    <row r="7212" spans="2:5">
      <c r="B7212" s="121">
        <v>627</v>
      </c>
      <c r="C7212" s="121">
        <v>3</v>
      </c>
      <c r="D7212" s="734">
        <v>118.32599972402087</v>
      </c>
      <c r="E7212" s="733"/>
    </row>
    <row r="7213" spans="2:5">
      <c r="B7213" s="121">
        <v>627</v>
      </c>
      <c r="C7213" s="121">
        <v>4</v>
      </c>
      <c r="D7213" s="734">
        <v>146.72900574752737</v>
      </c>
      <c r="E7213" s="733"/>
    </row>
    <row r="7214" spans="2:5">
      <c r="B7214" s="121">
        <v>627</v>
      </c>
      <c r="C7214" s="121">
        <v>5</v>
      </c>
      <c r="D7214" s="734">
        <v>139.84843528356839</v>
      </c>
      <c r="E7214" s="733"/>
    </row>
    <row r="7215" spans="2:5">
      <c r="B7215" s="121">
        <v>627</v>
      </c>
      <c r="C7215" s="121">
        <v>6</v>
      </c>
      <c r="D7215" s="734">
        <v>142.73137545395244</v>
      </c>
      <c r="E7215" s="733"/>
    </row>
    <row r="7216" spans="2:5">
      <c r="B7216" s="121">
        <v>627</v>
      </c>
      <c r="C7216" s="121">
        <v>7</v>
      </c>
      <c r="D7216" s="734">
        <v>135.59817913395634</v>
      </c>
      <c r="E7216" s="733"/>
    </row>
    <row r="7217" spans="2:5">
      <c r="B7217" s="121">
        <v>627</v>
      </c>
      <c r="C7217" s="121">
        <v>8</v>
      </c>
      <c r="D7217" s="734">
        <v>134.68798439274804</v>
      </c>
      <c r="E7217" s="733"/>
    </row>
    <row r="7218" spans="2:5">
      <c r="B7218" s="121">
        <v>627</v>
      </c>
      <c r="C7218" s="121">
        <v>9</v>
      </c>
      <c r="D7218" s="734">
        <v>133.9099359497622</v>
      </c>
      <c r="E7218" s="733"/>
    </row>
    <row r="7219" spans="2:5">
      <c r="B7219" s="121">
        <v>627</v>
      </c>
      <c r="C7219" s="121">
        <v>10</v>
      </c>
      <c r="D7219" s="734">
        <v>138.7130236346074</v>
      </c>
      <c r="E7219" s="733"/>
    </row>
    <row r="7220" spans="2:5">
      <c r="B7220" s="121">
        <v>627</v>
      </c>
      <c r="C7220" s="121">
        <v>11</v>
      </c>
      <c r="D7220" s="734">
        <v>142.68730789672114</v>
      </c>
      <c r="E7220" s="733"/>
    </row>
    <row r="7221" spans="2:5">
      <c r="B7221" s="121">
        <v>627</v>
      </c>
      <c r="C7221" s="121">
        <v>12</v>
      </c>
      <c r="D7221" s="734">
        <v>141.98114858498784</v>
      </c>
      <c r="E7221" s="733"/>
    </row>
    <row r="7222" spans="2:5">
      <c r="B7222" s="121">
        <v>627</v>
      </c>
      <c r="C7222" s="121">
        <v>13</v>
      </c>
      <c r="D7222" s="734">
        <v>146.33808167076143</v>
      </c>
      <c r="E7222" s="733"/>
    </row>
    <row r="7223" spans="2:5">
      <c r="B7223" s="121">
        <v>627</v>
      </c>
      <c r="C7223" s="121">
        <v>14</v>
      </c>
      <c r="D7223" s="734">
        <v>146.78332295789406</v>
      </c>
      <c r="E7223" s="733"/>
    </row>
    <row r="7224" spans="2:5">
      <c r="B7224" s="121">
        <v>627</v>
      </c>
      <c r="C7224" s="121">
        <v>15</v>
      </c>
      <c r="D7224" s="734">
        <v>139.74110489797542</v>
      </c>
      <c r="E7224" s="733"/>
    </row>
    <row r="7225" spans="2:5">
      <c r="B7225" s="121">
        <v>627</v>
      </c>
      <c r="C7225" s="121">
        <v>16</v>
      </c>
      <c r="D7225" s="734">
        <v>143.53018778802175</v>
      </c>
      <c r="E7225" s="733"/>
    </row>
    <row r="7226" spans="2:5">
      <c r="B7226" s="121">
        <v>627</v>
      </c>
      <c r="C7226" s="121">
        <v>17</v>
      </c>
      <c r="D7226" s="734">
        <v>136.33672575357863</v>
      </c>
      <c r="E7226" s="733"/>
    </row>
    <row r="7227" spans="2:5">
      <c r="B7227" s="121">
        <v>627</v>
      </c>
      <c r="C7227" s="121">
        <v>18</v>
      </c>
      <c r="D7227" s="734">
        <v>137.6864603248919</v>
      </c>
      <c r="E7227" s="733"/>
    </row>
    <row r="7228" spans="2:5">
      <c r="B7228" s="121">
        <v>627</v>
      </c>
      <c r="C7228" s="121">
        <v>19</v>
      </c>
      <c r="D7228" s="734">
        <v>137.49299549280565</v>
      </c>
      <c r="E7228" s="733"/>
    </row>
    <row r="7229" spans="2:5">
      <c r="B7229" s="121">
        <v>627</v>
      </c>
      <c r="C7229" s="121">
        <v>20</v>
      </c>
      <c r="D7229" s="734">
        <v>136.22724263381372</v>
      </c>
      <c r="E7229" s="733"/>
    </row>
    <row r="7230" spans="2:5">
      <c r="B7230" s="121">
        <v>627</v>
      </c>
      <c r="C7230" s="121">
        <v>21</v>
      </c>
      <c r="D7230" s="734">
        <v>139.948362422917</v>
      </c>
      <c r="E7230" s="733"/>
    </row>
    <row r="7231" spans="2:5">
      <c r="B7231" s="121">
        <v>628</v>
      </c>
      <c r="C7231" s="121">
        <v>1</v>
      </c>
      <c r="D7231" s="734">
        <v>5</v>
      </c>
      <c r="E7231" s="733"/>
    </row>
    <row r="7232" spans="2:5">
      <c r="B7232" s="121">
        <v>629</v>
      </c>
      <c r="C7232" s="121">
        <v>1</v>
      </c>
      <c r="D7232" s="734">
        <v>5</v>
      </c>
      <c r="E7232" s="733"/>
    </row>
    <row r="7233" spans="2:5">
      <c r="B7233" s="121">
        <v>630</v>
      </c>
      <c r="C7233" s="121">
        <v>1</v>
      </c>
      <c r="D7233" s="734">
        <v>5</v>
      </c>
      <c r="E7233" s="733"/>
    </row>
    <row r="7234" spans="2:5">
      <c r="B7234" s="121">
        <v>630</v>
      </c>
      <c r="C7234" s="121">
        <v>2</v>
      </c>
      <c r="D7234" s="734">
        <v>97.401482357874229</v>
      </c>
      <c r="E7234" s="733"/>
    </row>
    <row r="7235" spans="2:5">
      <c r="B7235" s="121">
        <v>631</v>
      </c>
      <c r="C7235" s="121">
        <v>1</v>
      </c>
      <c r="D7235" s="734">
        <v>5</v>
      </c>
      <c r="E7235" s="733"/>
    </row>
    <row r="7236" spans="2:5">
      <c r="B7236" s="121">
        <v>631</v>
      </c>
      <c r="C7236" s="121">
        <v>2</v>
      </c>
      <c r="D7236" s="734">
        <v>98.353316174224119</v>
      </c>
      <c r="E7236" s="733"/>
    </row>
    <row r="7237" spans="2:5">
      <c r="B7237" s="121">
        <v>631</v>
      </c>
      <c r="C7237" s="121">
        <v>3</v>
      </c>
      <c r="D7237" s="734">
        <v>114.78626478928867</v>
      </c>
      <c r="E7237" s="733"/>
    </row>
    <row r="7238" spans="2:5">
      <c r="B7238" s="121">
        <v>631</v>
      </c>
      <c r="C7238" s="121">
        <v>4</v>
      </c>
      <c r="D7238" s="734">
        <v>139.71517949639437</v>
      </c>
      <c r="E7238" s="733"/>
    </row>
    <row r="7239" spans="2:5">
      <c r="B7239" s="121">
        <v>631</v>
      </c>
      <c r="C7239" s="121">
        <v>5</v>
      </c>
      <c r="D7239" s="734">
        <v>138.7904967515147</v>
      </c>
      <c r="E7239" s="733"/>
    </row>
    <row r="7240" spans="2:5">
      <c r="B7240" s="121">
        <v>631</v>
      </c>
      <c r="C7240" s="121">
        <v>6</v>
      </c>
      <c r="D7240" s="734">
        <v>140.56535129586348</v>
      </c>
      <c r="E7240" s="733"/>
    </row>
    <row r="7241" spans="2:5">
      <c r="B7241" s="121">
        <v>631</v>
      </c>
      <c r="C7241" s="121">
        <v>7</v>
      </c>
      <c r="D7241" s="734">
        <v>136.23186438690001</v>
      </c>
      <c r="E7241" s="733"/>
    </row>
    <row r="7242" spans="2:5">
      <c r="B7242" s="121">
        <v>631</v>
      </c>
      <c r="C7242" s="121">
        <v>8</v>
      </c>
      <c r="D7242" s="734">
        <v>144.36055952500897</v>
      </c>
      <c r="E7242" s="733"/>
    </row>
    <row r="7243" spans="2:5">
      <c r="B7243" s="121">
        <v>632</v>
      </c>
      <c r="C7243" s="121">
        <v>1</v>
      </c>
      <c r="D7243" s="734">
        <v>5</v>
      </c>
      <c r="E7243" s="733"/>
    </row>
    <row r="7244" spans="2:5">
      <c r="B7244" s="121">
        <v>632</v>
      </c>
      <c r="C7244" s="121">
        <v>2</v>
      </c>
      <c r="D7244" s="734">
        <v>102.77116458999431</v>
      </c>
      <c r="E7244" s="733"/>
    </row>
    <row r="7245" spans="2:5">
      <c r="B7245" s="121">
        <v>632</v>
      </c>
      <c r="C7245" s="121">
        <v>3</v>
      </c>
      <c r="D7245" s="734">
        <v>115.21709958136171</v>
      </c>
      <c r="E7245" s="733"/>
    </row>
    <row r="7246" spans="2:5">
      <c r="B7246" s="121">
        <v>632</v>
      </c>
      <c r="C7246" s="121">
        <v>4</v>
      </c>
      <c r="D7246" s="734">
        <v>143.72154535533326</v>
      </c>
      <c r="E7246" s="733"/>
    </row>
    <row r="7247" spans="2:5">
      <c r="B7247" s="121">
        <v>632</v>
      </c>
      <c r="C7247" s="121">
        <v>5</v>
      </c>
      <c r="D7247" s="734">
        <v>147.05321753265065</v>
      </c>
      <c r="E7247" s="733"/>
    </row>
    <row r="7248" spans="2:5">
      <c r="B7248" s="121">
        <v>632</v>
      </c>
      <c r="C7248" s="121">
        <v>6</v>
      </c>
      <c r="D7248" s="734">
        <v>145.86812066383243</v>
      </c>
      <c r="E7248" s="733"/>
    </row>
    <row r="7249" spans="2:5">
      <c r="B7249" s="121">
        <v>632</v>
      </c>
      <c r="C7249" s="121">
        <v>7</v>
      </c>
      <c r="D7249" s="734">
        <v>145.10088076958883</v>
      </c>
      <c r="E7249" s="733"/>
    </row>
    <row r="7250" spans="2:5">
      <c r="B7250" s="121">
        <v>632</v>
      </c>
      <c r="C7250" s="121">
        <v>8</v>
      </c>
      <c r="D7250" s="734">
        <v>143.32790036073391</v>
      </c>
      <c r="E7250" s="733"/>
    </row>
    <row r="7251" spans="2:5">
      <c r="B7251" s="121">
        <v>632</v>
      </c>
      <c r="C7251" s="121">
        <v>9</v>
      </c>
      <c r="D7251" s="734">
        <v>138.3065561697415</v>
      </c>
      <c r="E7251" s="733"/>
    </row>
    <row r="7252" spans="2:5">
      <c r="B7252" s="121">
        <v>632</v>
      </c>
      <c r="C7252" s="121">
        <v>10</v>
      </c>
      <c r="D7252" s="734">
        <v>145.43582298359146</v>
      </c>
      <c r="E7252" s="733"/>
    </row>
    <row r="7253" spans="2:5">
      <c r="B7253" s="121">
        <v>632</v>
      </c>
      <c r="C7253" s="121">
        <v>11</v>
      </c>
      <c r="D7253" s="734">
        <v>146.55070261244319</v>
      </c>
      <c r="E7253" s="733"/>
    </row>
    <row r="7254" spans="2:5">
      <c r="B7254" s="121">
        <v>632</v>
      </c>
      <c r="C7254" s="121">
        <v>12</v>
      </c>
      <c r="D7254" s="734">
        <v>137.18320404094817</v>
      </c>
      <c r="E7254" s="733"/>
    </row>
    <row r="7255" spans="2:5">
      <c r="B7255" s="121">
        <v>632</v>
      </c>
      <c r="C7255" s="121">
        <v>13</v>
      </c>
      <c r="D7255" s="734">
        <v>140.80193151133122</v>
      </c>
      <c r="E7255" s="733"/>
    </row>
    <row r="7256" spans="2:5">
      <c r="B7256" s="121">
        <v>632</v>
      </c>
      <c r="C7256" s="121">
        <v>14</v>
      </c>
      <c r="D7256" s="734">
        <v>145.42195443929322</v>
      </c>
      <c r="E7256" s="733"/>
    </row>
    <row r="7257" spans="2:5">
      <c r="B7257" s="121">
        <v>632</v>
      </c>
      <c r="C7257" s="121">
        <v>15</v>
      </c>
      <c r="D7257" s="734">
        <v>146.92604267695461</v>
      </c>
      <c r="E7257" s="733"/>
    </row>
    <row r="7258" spans="2:5">
      <c r="B7258" s="121">
        <v>633</v>
      </c>
      <c r="C7258" s="121">
        <v>1</v>
      </c>
      <c r="D7258" s="734">
        <v>5</v>
      </c>
      <c r="E7258" s="733"/>
    </row>
    <row r="7259" spans="2:5">
      <c r="B7259" s="121">
        <v>634</v>
      </c>
      <c r="C7259" s="121">
        <v>1</v>
      </c>
      <c r="D7259" s="734">
        <v>5</v>
      </c>
      <c r="E7259" s="733"/>
    </row>
    <row r="7260" spans="2:5">
      <c r="B7260" s="121">
        <v>634</v>
      </c>
      <c r="C7260" s="121">
        <v>2</v>
      </c>
      <c r="D7260" s="734">
        <v>97.88703846566203</v>
      </c>
      <c r="E7260" s="733"/>
    </row>
    <row r="7261" spans="2:5">
      <c r="B7261" s="121">
        <v>634</v>
      </c>
      <c r="C7261" s="121">
        <v>3</v>
      </c>
      <c r="D7261" s="734">
        <v>122.0164816657106</v>
      </c>
      <c r="E7261" s="733"/>
    </row>
    <row r="7262" spans="2:5">
      <c r="B7262" s="121">
        <v>634</v>
      </c>
      <c r="C7262" s="121">
        <v>4</v>
      </c>
      <c r="D7262" s="734">
        <v>138.88616836964715</v>
      </c>
      <c r="E7262" s="733"/>
    </row>
    <row r="7263" spans="2:5">
      <c r="B7263" s="121">
        <v>634</v>
      </c>
      <c r="C7263" s="121">
        <v>5</v>
      </c>
      <c r="D7263" s="734">
        <v>139.45819093397631</v>
      </c>
      <c r="E7263" s="733"/>
    </row>
    <row r="7264" spans="2:5">
      <c r="B7264" s="121">
        <v>634</v>
      </c>
      <c r="C7264" s="121">
        <v>6</v>
      </c>
      <c r="D7264" s="734">
        <v>142.56035737041401</v>
      </c>
      <c r="E7264" s="733"/>
    </row>
    <row r="7265" spans="2:5">
      <c r="B7265" s="121">
        <v>634</v>
      </c>
      <c r="C7265" s="121">
        <v>7</v>
      </c>
      <c r="D7265" s="734">
        <v>135.53068526057245</v>
      </c>
      <c r="E7265" s="733"/>
    </row>
    <row r="7266" spans="2:5">
      <c r="B7266" s="121">
        <v>634</v>
      </c>
      <c r="C7266" s="121">
        <v>8</v>
      </c>
      <c r="D7266" s="734">
        <v>146.02438487727784</v>
      </c>
      <c r="E7266" s="733"/>
    </row>
    <row r="7267" spans="2:5">
      <c r="B7267" s="121">
        <v>634</v>
      </c>
      <c r="C7267" s="121">
        <v>9</v>
      </c>
      <c r="D7267" s="734">
        <v>139.29980993853144</v>
      </c>
      <c r="E7267" s="733"/>
    </row>
    <row r="7268" spans="2:5">
      <c r="B7268" s="121">
        <v>634</v>
      </c>
      <c r="C7268" s="121">
        <v>10</v>
      </c>
      <c r="D7268" s="734">
        <v>134.9036057840656</v>
      </c>
      <c r="E7268" s="733"/>
    </row>
    <row r="7269" spans="2:5">
      <c r="B7269" s="121">
        <v>634</v>
      </c>
      <c r="C7269" s="121">
        <v>11</v>
      </c>
      <c r="D7269" s="734">
        <v>139.83173926540212</v>
      </c>
      <c r="E7269" s="733"/>
    </row>
    <row r="7270" spans="2:5">
      <c r="B7270" s="121">
        <v>634</v>
      </c>
      <c r="C7270" s="121">
        <v>12</v>
      </c>
      <c r="D7270" s="734">
        <v>144.37042890568978</v>
      </c>
      <c r="E7270" s="733"/>
    </row>
    <row r="7271" spans="2:5">
      <c r="B7271" s="121">
        <v>634</v>
      </c>
      <c r="C7271" s="121">
        <v>13</v>
      </c>
      <c r="D7271" s="734">
        <v>141.76965750164248</v>
      </c>
      <c r="E7271" s="733"/>
    </row>
    <row r="7272" spans="2:5">
      <c r="B7272" s="121">
        <v>634</v>
      </c>
      <c r="C7272" s="121">
        <v>14</v>
      </c>
      <c r="D7272" s="734">
        <v>145.29581926460691</v>
      </c>
      <c r="E7272" s="733"/>
    </row>
    <row r="7273" spans="2:5">
      <c r="B7273" s="121">
        <v>634</v>
      </c>
      <c r="C7273" s="121">
        <v>15</v>
      </c>
      <c r="D7273" s="734">
        <v>139.72498881918696</v>
      </c>
      <c r="E7273" s="733"/>
    </row>
    <row r="7274" spans="2:5">
      <c r="B7274" s="121">
        <v>634</v>
      </c>
      <c r="C7274" s="121">
        <v>16</v>
      </c>
      <c r="D7274" s="734">
        <v>136.19807364336307</v>
      </c>
      <c r="E7274" s="733"/>
    </row>
    <row r="7275" spans="2:5">
      <c r="B7275" s="121">
        <v>634</v>
      </c>
      <c r="C7275" s="121">
        <v>17</v>
      </c>
      <c r="D7275" s="734">
        <v>143.75453962328825</v>
      </c>
      <c r="E7275" s="733"/>
    </row>
    <row r="7276" spans="2:5">
      <c r="B7276" s="121">
        <v>634</v>
      </c>
      <c r="C7276" s="121">
        <v>18</v>
      </c>
      <c r="D7276" s="734">
        <v>138.56880544760142</v>
      </c>
      <c r="E7276" s="733"/>
    </row>
    <row r="7277" spans="2:5">
      <c r="B7277" s="121">
        <v>634</v>
      </c>
      <c r="C7277" s="121">
        <v>19</v>
      </c>
      <c r="D7277" s="734">
        <v>137.38527558559247</v>
      </c>
      <c r="E7277" s="733"/>
    </row>
    <row r="7278" spans="2:5">
      <c r="B7278" s="121">
        <v>634</v>
      </c>
      <c r="C7278" s="121">
        <v>20</v>
      </c>
      <c r="D7278" s="734">
        <v>141.25183230424176</v>
      </c>
      <c r="E7278" s="733"/>
    </row>
    <row r="7279" spans="2:5">
      <c r="B7279" s="121">
        <v>634</v>
      </c>
      <c r="C7279" s="121">
        <v>21</v>
      </c>
      <c r="D7279" s="734">
        <v>141.86918108849116</v>
      </c>
      <c r="E7279" s="733"/>
    </row>
    <row r="7280" spans="2:5">
      <c r="B7280" s="121">
        <v>634</v>
      </c>
      <c r="C7280" s="121">
        <v>22</v>
      </c>
      <c r="D7280" s="734">
        <v>138.83260749029586</v>
      </c>
      <c r="E7280" s="733"/>
    </row>
    <row r="7281" spans="2:5">
      <c r="B7281" s="121">
        <v>634</v>
      </c>
      <c r="C7281" s="121">
        <v>23</v>
      </c>
      <c r="D7281" s="734">
        <v>138.90960256822154</v>
      </c>
      <c r="E7281" s="733"/>
    </row>
    <row r="7282" spans="2:5">
      <c r="B7282" s="121">
        <v>634</v>
      </c>
      <c r="C7282" s="121">
        <v>24</v>
      </c>
      <c r="D7282" s="734">
        <v>141.7872666367094</v>
      </c>
      <c r="E7282" s="733"/>
    </row>
    <row r="7283" spans="2:5">
      <c r="B7283" s="121">
        <v>634</v>
      </c>
      <c r="C7283" s="121">
        <v>25</v>
      </c>
      <c r="D7283" s="734">
        <v>140.75179012567691</v>
      </c>
      <c r="E7283" s="733"/>
    </row>
    <row r="7284" spans="2:5">
      <c r="B7284" s="121">
        <v>635</v>
      </c>
      <c r="C7284" s="121">
        <v>1</v>
      </c>
      <c r="D7284" s="734">
        <v>5</v>
      </c>
      <c r="E7284" s="733"/>
    </row>
    <row r="7285" spans="2:5">
      <c r="B7285" s="121">
        <v>635</v>
      </c>
      <c r="C7285" s="121">
        <v>2</v>
      </c>
      <c r="D7285" s="734">
        <v>99.184475851628804</v>
      </c>
      <c r="E7285" s="733"/>
    </row>
    <row r="7286" spans="2:5">
      <c r="B7286" s="121">
        <v>635</v>
      </c>
      <c r="C7286" s="121">
        <v>3</v>
      </c>
      <c r="D7286" s="734">
        <v>117.30777563933169</v>
      </c>
      <c r="E7286" s="733"/>
    </row>
    <row r="7287" spans="2:5">
      <c r="B7287" s="121">
        <v>635</v>
      </c>
      <c r="C7287" s="121">
        <v>4</v>
      </c>
      <c r="D7287" s="734">
        <v>134.77261320303433</v>
      </c>
      <c r="E7287" s="733"/>
    </row>
    <row r="7288" spans="2:5">
      <c r="B7288" s="121">
        <v>635</v>
      </c>
      <c r="C7288" s="121">
        <v>5</v>
      </c>
      <c r="D7288" s="734">
        <v>136.72977092661716</v>
      </c>
      <c r="E7288" s="733"/>
    </row>
    <row r="7289" spans="2:5">
      <c r="B7289" s="121">
        <v>635</v>
      </c>
      <c r="C7289" s="121">
        <v>6</v>
      </c>
      <c r="D7289" s="734">
        <v>134.57744865315055</v>
      </c>
      <c r="E7289" s="733"/>
    </row>
    <row r="7290" spans="2:5">
      <c r="B7290" s="121">
        <v>635</v>
      </c>
      <c r="C7290" s="121">
        <v>7</v>
      </c>
      <c r="D7290" s="734">
        <v>144.84554158863762</v>
      </c>
      <c r="E7290" s="733"/>
    </row>
    <row r="7291" spans="2:5">
      <c r="B7291" s="121">
        <v>635</v>
      </c>
      <c r="C7291" s="121">
        <v>8</v>
      </c>
      <c r="D7291" s="734">
        <v>144.31800374175728</v>
      </c>
      <c r="E7291" s="733"/>
    </row>
    <row r="7292" spans="2:5">
      <c r="B7292" s="121">
        <v>635</v>
      </c>
      <c r="C7292" s="121">
        <v>9</v>
      </c>
      <c r="D7292" s="734">
        <v>143.29106019822365</v>
      </c>
      <c r="E7292" s="733"/>
    </row>
    <row r="7293" spans="2:5">
      <c r="B7293" s="121">
        <v>635</v>
      </c>
      <c r="C7293" s="121">
        <v>10</v>
      </c>
      <c r="D7293" s="734">
        <v>138.87022624537488</v>
      </c>
      <c r="E7293" s="733"/>
    </row>
    <row r="7294" spans="2:5">
      <c r="B7294" s="121">
        <v>635</v>
      </c>
      <c r="C7294" s="121">
        <v>11</v>
      </c>
      <c r="D7294" s="734">
        <v>145.6163441400796</v>
      </c>
      <c r="E7294" s="733"/>
    </row>
    <row r="7295" spans="2:5">
      <c r="B7295" s="121">
        <v>635</v>
      </c>
      <c r="C7295" s="121">
        <v>12</v>
      </c>
      <c r="D7295" s="734">
        <v>136.90495632903884</v>
      </c>
      <c r="E7295" s="733"/>
    </row>
    <row r="7296" spans="2:5">
      <c r="B7296" s="121">
        <v>635</v>
      </c>
      <c r="C7296" s="121">
        <v>13</v>
      </c>
      <c r="D7296" s="734">
        <v>144.57354043848457</v>
      </c>
      <c r="E7296" s="733"/>
    </row>
    <row r="7297" spans="2:5">
      <c r="B7297" s="121">
        <v>635</v>
      </c>
      <c r="C7297" s="121">
        <v>14</v>
      </c>
      <c r="D7297" s="734">
        <v>135.60031901492272</v>
      </c>
      <c r="E7297" s="733"/>
    </row>
    <row r="7298" spans="2:5">
      <c r="B7298" s="121">
        <v>635</v>
      </c>
      <c r="C7298" s="121">
        <v>15</v>
      </c>
      <c r="D7298" s="734">
        <v>138.98079931856091</v>
      </c>
      <c r="E7298" s="733"/>
    </row>
    <row r="7299" spans="2:5">
      <c r="B7299" s="121">
        <v>635</v>
      </c>
      <c r="C7299" s="121">
        <v>16</v>
      </c>
      <c r="D7299" s="734">
        <v>134.3689198908308</v>
      </c>
      <c r="E7299" s="733"/>
    </row>
    <row r="7300" spans="2:5">
      <c r="B7300" s="121">
        <v>635</v>
      </c>
      <c r="C7300" s="121">
        <v>17</v>
      </c>
      <c r="D7300" s="734">
        <v>147.22061875236051</v>
      </c>
      <c r="E7300" s="733"/>
    </row>
    <row r="7301" spans="2:5">
      <c r="B7301" s="121">
        <v>635</v>
      </c>
      <c r="C7301" s="121">
        <v>18</v>
      </c>
      <c r="D7301" s="734">
        <v>145.04817671902399</v>
      </c>
      <c r="E7301" s="733"/>
    </row>
    <row r="7302" spans="2:5">
      <c r="B7302" s="121">
        <v>635</v>
      </c>
      <c r="C7302" s="121">
        <v>19</v>
      </c>
      <c r="D7302" s="734">
        <v>141.21550355387473</v>
      </c>
      <c r="E7302" s="733"/>
    </row>
    <row r="7303" spans="2:5">
      <c r="B7303" s="121">
        <v>635</v>
      </c>
      <c r="C7303" s="121">
        <v>20</v>
      </c>
      <c r="D7303" s="734">
        <v>140.73225779645998</v>
      </c>
      <c r="E7303" s="733"/>
    </row>
    <row r="7304" spans="2:5">
      <c r="B7304" s="121">
        <v>635</v>
      </c>
      <c r="C7304" s="121">
        <v>21</v>
      </c>
      <c r="D7304" s="734">
        <v>136.88047582070436</v>
      </c>
      <c r="E7304" s="733"/>
    </row>
    <row r="7305" spans="2:5">
      <c r="B7305" s="121">
        <v>635</v>
      </c>
      <c r="C7305" s="121">
        <v>22</v>
      </c>
      <c r="D7305" s="734">
        <v>142.61299519524914</v>
      </c>
      <c r="E7305" s="733"/>
    </row>
    <row r="7306" spans="2:5">
      <c r="B7306" s="121">
        <v>635</v>
      </c>
      <c r="C7306" s="121">
        <v>23</v>
      </c>
      <c r="D7306" s="734">
        <v>145.41141098143711</v>
      </c>
      <c r="E7306" s="733"/>
    </row>
    <row r="7307" spans="2:5">
      <c r="B7307" s="121">
        <v>635</v>
      </c>
      <c r="C7307" s="121">
        <v>24</v>
      </c>
      <c r="D7307" s="734">
        <v>136.51167450132493</v>
      </c>
      <c r="E7307" s="733"/>
    </row>
    <row r="7308" spans="2:5">
      <c r="B7308" s="121">
        <v>635</v>
      </c>
      <c r="C7308" s="121">
        <v>25</v>
      </c>
      <c r="D7308" s="734">
        <v>139.78068526249464</v>
      </c>
      <c r="E7308" s="733"/>
    </row>
    <row r="7309" spans="2:5">
      <c r="B7309" s="121">
        <v>635</v>
      </c>
      <c r="C7309" s="121">
        <v>26</v>
      </c>
      <c r="D7309" s="734">
        <v>134.65486998372666</v>
      </c>
      <c r="E7309" s="733"/>
    </row>
    <row r="7310" spans="2:5">
      <c r="B7310" s="121">
        <v>635</v>
      </c>
      <c r="C7310" s="121">
        <v>27</v>
      </c>
      <c r="D7310" s="734">
        <v>144.06446565196521</v>
      </c>
      <c r="E7310" s="733"/>
    </row>
    <row r="7311" spans="2:5">
      <c r="B7311" s="121">
        <v>635</v>
      </c>
      <c r="C7311" s="121">
        <v>28</v>
      </c>
      <c r="D7311" s="734">
        <v>137.03091144997347</v>
      </c>
      <c r="E7311" s="733"/>
    </row>
    <row r="7312" spans="2:5">
      <c r="B7312" s="121">
        <v>635</v>
      </c>
      <c r="C7312" s="121">
        <v>29</v>
      </c>
      <c r="D7312" s="734">
        <v>145.42688665344986</v>
      </c>
      <c r="E7312" s="733"/>
    </row>
    <row r="7313" spans="2:5">
      <c r="B7313" s="121">
        <v>635</v>
      </c>
      <c r="C7313" s="121">
        <v>30</v>
      </c>
      <c r="D7313" s="734">
        <v>137.62817107383205</v>
      </c>
      <c r="E7313" s="733"/>
    </row>
    <row r="7314" spans="2:5">
      <c r="B7314" s="121">
        <v>635</v>
      </c>
      <c r="C7314" s="121">
        <v>31</v>
      </c>
      <c r="D7314" s="734">
        <v>134.1775187081501</v>
      </c>
      <c r="E7314" s="733"/>
    </row>
    <row r="7315" spans="2:5">
      <c r="B7315" s="121">
        <v>635</v>
      </c>
      <c r="C7315" s="121">
        <v>32</v>
      </c>
      <c r="D7315" s="734">
        <v>140.04730009581908</v>
      </c>
      <c r="E7315" s="733"/>
    </row>
    <row r="7316" spans="2:5">
      <c r="B7316" s="121">
        <v>635</v>
      </c>
      <c r="C7316" s="121">
        <v>33</v>
      </c>
      <c r="D7316" s="734">
        <v>143.48898847451099</v>
      </c>
      <c r="E7316" s="733"/>
    </row>
    <row r="7317" spans="2:5">
      <c r="B7317" s="121">
        <v>635</v>
      </c>
      <c r="C7317" s="121">
        <v>34</v>
      </c>
      <c r="D7317" s="734">
        <v>136.22626321652774</v>
      </c>
      <c r="E7317" s="733"/>
    </row>
    <row r="7318" spans="2:5">
      <c r="B7318" s="121">
        <v>635</v>
      </c>
      <c r="C7318" s="121">
        <v>35</v>
      </c>
      <c r="D7318" s="734">
        <v>143.79732990018007</v>
      </c>
      <c r="E7318" s="733"/>
    </row>
    <row r="7319" spans="2:5">
      <c r="B7319" s="121">
        <v>635</v>
      </c>
      <c r="C7319" s="121">
        <v>36</v>
      </c>
      <c r="D7319" s="734">
        <v>140.46763123228922</v>
      </c>
      <c r="E7319" s="733"/>
    </row>
    <row r="7320" spans="2:5">
      <c r="B7320" s="121">
        <v>636</v>
      </c>
      <c r="C7320" s="121">
        <v>1</v>
      </c>
      <c r="D7320" s="734">
        <v>5</v>
      </c>
      <c r="E7320" s="733"/>
    </row>
    <row r="7321" spans="2:5">
      <c r="B7321" s="121">
        <v>637</v>
      </c>
      <c r="C7321" s="121">
        <v>1</v>
      </c>
      <c r="D7321" s="734">
        <v>5</v>
      </c>
      <c r="E7321" s="733"/>
    </row>
    <row r="7322" spans="2:5">
      <c r="B7322" s="121">
        <v>638</v>
      </c>
      <c r="C7322" s="121">
        <v>1</v>
      </c>
      <c r="D7322" s="734">
        <v>5</v>
      </c>
      <c r="E7322" s="733"/>
    </row>
    <row r="7323" spans="2:5">
      <c r="B7323" s="121">
        <v>638</v>
      </c>
      <c r="C7323" s="121">
        <v>2</v>
      </c>
      <c r="D7323" s="734">
        <v>100.52636485232162</v>
      </c>
      <c r="E7323" s="733"/>
    </row>
    <row r="7324" spans="2:5">
      <c r="B7324" s="121">
        <v>639</v>
      </c>
      <c r="C7324" s="121">
        <v>1</v>
      </c>
      <c r="D7324" s="734">
        <v>5</v>
      </c>
      <c r="E7324" s="733"/>
    </row>
    <row r="7325" spans="2:5">
      <c r="B7325" s="121">
        <v>639</v>
      </c>
      <c r="C7325" s="121">
        <v>2</v>
      </c>
      <c r="D7325" s="734">
        <v>95.057395588288358</v>
      </c>
      <c r="E7325" s="733"/>
    </row>
    <row r="7326" spans="2:5">
      <c r="B7326" s="121">
        <v>639</v>
      </c>
      <c r="C7326" s="121">
        <v>3</v>
      </c>
      <c r="D7326" s="734">
        <v>124.99317993081353</v>
      </c>
      <c r="E7326" s="733"/>
    </row>
    <row r="7327" spans="2:5">
      <c r="B7327" s="121">
        <v>639</v>
      </c>
      <c r="C7327" s="121">
        <v>4</v>
      </c>
      <c r="D7327" s="734">
        <v>139.19523381974253</v>
      </c>
      <c r="E7327" s="733"/>
    </row>
    <row r="7328" spans="2:5">
      <c r="B7328" s="121">
        <v>639</v>
      </c>
      <c r="C7328" s="121">
        <v>5</v>
      </c>
      <c r="D7328" s="734">
        <v>138.30360990049672</v>
      </c>
      <c r="E7328" s="733"/>
    </row>
    <row r="7329" spans="2:5">
      <c r="B7329" s="121">
        <v>639</v>
      </c>
      <c r="C7329" s="121">
        <v>6</v>
      </c>
      <c r="D7329" s="734">
        <v>144.02093661228241</v>
      </c>
      <c r="E7329" s="733"/>
    </row>
    <row r="7330" spans="2:5">
      <c r="B7330" s="121">
        <v>639</v>
      </c>
      <c r="C7330" s="121">
        <v>7</v>
      </c>
      <c r="D7330" s="734">
        <v>145.3797921757668</v>
      </c>
      <c r="E7330" s="733"/>
    </row>
    <row r="7331" spans="2:5">
      <c r="B7331" s="121">
        <v>639</v>
      </c>
      <c r="C7331" s="121">
        <v>8</v>
      </c>
      <c r="D7331" s="734">
        <v>139.38617086584534</v>
      </c>
      <c r="E7331" s="733"/>
    </row>
    <row r="7332" spans="2:5">
      <c r="B7332" s="121">
        <v>639</v>
      </c>
      <c r="C7332" s="121">
        <v>9</v>
      </c>
      <c r="D7332" s="734">
        <v>138.34807395708765</v>
      </c>
      <c r="E7332" s="733"/>
    </row>
    <row r="7333" spans="2:5">
      <c r="B7333" s="121">
        <v>639</v>
      </c>
      <c r="C7333" s="121">
        <v>10</v>
      </c>
      <c r="D7333" s="734">
        <v>137.00665770624838</v>
      </c>
      <c r="E7333" s="733"/>
    </row>
    <row r="7334" spans="2:5">
      <c r="B7334" s="121">
        <v>639</v>
      </c>
      <c r="C7334" s="121">
        <v>11</v>
      </c>
      <c r="D7334" s="734">
        <v>140.65308148630442</v>
      </c>
      <c r="E7334" s="733"/>
    </row>
    <row r="7335" spans="2:5">
      <c r="B7335" s="121">
        <v>639</v>
      </c>
      <c r="C7335" s="121">
        <v>12</v>
      </c>
      <c r="D7335" s="734">
        <v>146.28279171810695</v>
      </c>
      <c r="E7335" s="733"/>
    </row>
    <row r="7336" spans="2:5">
      <c r="B7336" s="121">
        <v>639</v>
      </c>
      <c r="C7336" s="121">
        <v>13</v>
      </c>
      <c r="D7336" s="734">
        <v>135.74004983183815</v>
      </c>
      <c r="E7336" s="733"/>
    </row>
    <row r="7337" spans="2:5">
      <c r="B7337" s="121">
        <v>639</v>
      </c>
      <c r="C7337" s="121">
        <v>14</v>
      </c>
      <c r="D7337" s="734">
        <v>142.55823689100379</v>
      </c>
      <c r="E7337" s="733"/>
    </row>
    <row r="7338" spans="2:5">
      <c r="B7338" s="121">
        <v>639</v>
      </c>
      <c r="C7338" s="121">
        <v>15</v>
      </c>
      <c r="D7338" s="734">
        <v>146.76358960508452</v>
      </c>
      <c r="E7338" s="733"/>
    </row>
    <row r="7339" spans="2:5">
      <c r="B7339" s="121">
        <v>639</v>
      </c>
      <c r="C7339" s="121">
        <v>16</v>
      </c>
      <c r="D7339" s="734">
        <v>134.71102375739201</v>
      </c>
      <c r="E7339" s="733"/>
    </row>
    <row r="7340" spans="2:5">
      <c r="B7340" s="121">
        <v>639</v>
      </c>
      <c r="C7340" s="121">
        <v>17</v>
      </c>
      <c r="D7340" s="734">
        <v>140.73647674040049</v>
      </c>
      <c r="E7340" s="733"/>
    </row>
    <row r="7341" spans="2:5">
      <c r="B7341" s="121">
        <v>639</v>
      </c>
      <c r="C7341" s="121">
        <v>18</v>
      </c>
      <c r="D7341" s="734">
        <v>143.68491226703654</v>
      </c>
      <c r="E7341" s="733"/>
    </row>
    <row r="7342" spans="2:5">
      <c r="B7342" s="121">
        <v>639</v>
      </c>
      <c r="C7342" s="121">
        <v>19</v>
      </c>
      <c r="D7342" s="734">
        <v>139.25942204385572</v>
      </c>
      <c r="E7342" s="733"/>
    </row>
    <row r="7343" spans="2:5">
      <c r="B7343" s="121">
        <v>639</v>
      </c>
      <c r="C7343" s="121">
        <v>20</v>
      </c>
      <c r="D7343" s="734">
        <v>138.04349917772029</v>
      </c>
      <c r="E7343" s="733"/>
    </row>
    <row r="7344" spans="2:5">
      <c r="B7344" s="121">
        <v>639</v>
      </c>
      <c r="C7344" s="121">
        <v>21</v>
      </c>
      <c r="D7344" s="734">
        <v>136.91403351947596</v>
      </c>
      <c r="E7344" s="733"/>
    </row>
    <row r="7345" spans="2:5">
      <c r="B7345" s="121">
        <v>639</v>
      </c>
      <c r="C7345" s="121">
        <v>22</v>
      </c>
      <c r="D7345" s="734">
        <v>136.85250528764897</v>
      </c>
      <c r="E7345" s="733"/>
    </row>
    <row r="7346" spans="2:5">
      <c r="B7346" s="121">
        <v>639</v>
      </c>
      <c r="C7346" s="121">
        <v>23</v>
      </c>
      <c r="D7346" s="734">
        <v>138.58371458645473</v>
      </c>
      <c r="E7346" s="733"/>
    </row>
    <row r="7347" spans="2:5">
      <c r="B7347" s="121">
        <v>639</v>
      </c>
      <c r="C7347" s="121">
        <v>24</v>
      </c>
      <c r="D7347" s="734">
        <v>142.38641543353936</v>
      </c>
      <c r="E7347" s="733"/>
    </row>
    <row r="7348" spans="2:5">
      <c r="B7348" s="121">
        <v>639</v>
      </c>
      <c r="C7348" s="121">
        <v>25</v>
      </c>
      <c r="D7348" s="734">
        <v>146.51111836720699</v>
      </c>
      <c r="E7348" s="733"/>
    </row>
    <row r="7349" spans="2:5">
      <c r="B7349" s="121">
        <v>639</v>
      </c>
      <c r="C7349" s="121">
        <v>26</v>
      </c>
      <c r="D7349" s="734">
        <v>137.78168232296122</v>
      </c>
      <c r="E7349" s="733"/>
    </row>
    <row r="7350" spans="2:5">
      <c r="B7350" s="121">
        <v>639</v>
      </c>
      <c r="C7350" s="121">
        <v>27</v>
      </c>
      <c r="D7350" s="734">
        <v>140.7718002572521</v>
      </c>
      <c r="E7350" s="733"/>
    </row>
    <row r="7351" spans="2:5">
      <c r="B7351" s="121">
        <v>639</v>
      </c>
      <c r="C7351" s="121">
        <v>28</v>
      </c>
      <c r="D7351" s="734">
        <v>145.39592534333917</v>
      </c>
      <c r="E7351" s="733"/>
    </row>
    <row r="7352" spans="2:5">
      <c r="B7352" s="121">
        <v>639</v>
      </c>
      <c r="C7352" s="121">
        <v>29</v>
      </c>
      <c r="D7352" s="734">
        <v>147.21718516446461</v>
      </c>
      <c r="E7352" s="733"/>
    </row>
    <row r="7353" spans="2:5">
      <c r="B7353" s="121">
        <v>639</v>
      </c>
      <c r="C7353" s="121">
        <v>30</v>
      </c>
      <c r="D7353" s="734">
        <v>144.94746592274285</v>
      </c>
      <c r="E7353" s="733"/>
    </row>
    <row r="7354" spans="2:5">
      <c r="B7354" s="121">
        <v>639</v>
      </c>
      <c r="C7354" s="121">
        <v>31</v>
      </c>
      <c r="D7354" s="734">
        <v>144.41468304940466</v>
      </c>
      <c r="E7354" s="733"/>
    </row>
    <row r="7355" spans="2:5">
      <c r="B7355" s="121">
        <v>639</v>
      </c>
      <c r="C7355" s="121">
        <v>32</v>
      </c>
      <c r="D7355" s="734">
        <v>136.69799693830333</v>
      </c>
      <c r="E7355" s="733"/>
    </row>
    <row r="7356" spans="2:5">
      <c r="B7356" s="121">
        <v>639</v>
      </c>
      <c r="C7356" s="121">
        <v>33</v>
      </c>
      <c r="D7356" s="734">
        <v>142.7408864742348</v>
      </c>
      <c r="E7356" s="733"/>
    </row>
    <row r="7357" spans="2:5">
      <c r="B7357" s="121">
        <v>639</v>
      </c>
      <c r="C7357" s="121">
        <v>34</v>
      </c>
      <c r="D7357" s="734">
        <v>140.21293532835153</v>
      </c>
      <c r="E7357" s="733"/>
    </row>
    <row r="7358" spans="2:5">
      <c r="B7358" s="121">
        <v>639</v>
      </c>
      <c r="C7358" s="121">
        <v>35</v>
      </c>
      <c r="D7358" s="734">
        <v>146.93113383095223</v>
      </c>
      <c r="E7358" s="733"/>
    </row>
    <row r="7359" spans="2:5">
      <c r="B7359" s="121">
        <v>639</v>
      </c>
      <c r="C7359" s="121">
        <v>36</v>
      </c>
      <c r="D7359" s="734">
        <v>143.58779900811501</v>
      </c>
      <c r="E7359" s="733"/>
    </row>
    <row r="7360" spans="2:5">
      <c r="B7360" s="121">
        <v>640</v>
      </c>
      <c r="C7360" s="121">
        <v>1</v>
      </c>
      <c r="D7360" s="734">
        <v>5</v>
      </c>
      <c r="E7360" s="733"/>
    </row>
    <row r="7361" spans="2:5">
      <c r="B7361" s="121">
        <v>640</v>
      </c>
      <c r="C7361" s="121">
        <v>2</v>
      </c>
      <c r="D7361" s="734">
        <v>98.499273052043748</v>
      </c>
      <c r="E7361" s="733"/>
    </row>
    <row r="7362" spans="2:5">
      <c r="B7362" s="121">
        <v>640</v>
      </c>
      <c r="C7362" s="121">
        <v>3</v>
      </c>
      <c r="D7362" s="734">
        <v>121.67034606172801</v>
      </c>
      <c r="E7362" s="733"/>
    </row>
    <row r="7363" spans="2:5">
      <c r="B7363" s="121">
        <v>640</v>
      </c>
      <c r="C7363" s="121">
        <v>4</v>
      </c>
      <c r="D7363" s="734">
        <v>140.27201595665579</v>
      </c>
      <c r="E7363" s="733"/>
    </row>
    <row r="7364" spans="2:5">
      <c r="B7364" s="121">
        <v>640</v>
      </c>
      <c r="C7364" s="121">
        <v>5</v>
      </c>
      <c r="D7364" s="734">
        <v>145.23166552612904</v>
      </c>
      <c r="E7364" s="733"/>
    </row>
    <row r="7365" spans="2:5">
      <c r="B7365" s="121">
        <v>641</v>
      </c>
      <c r="C7365" s="121">
        <v>1</v>
      </c>
      <c r="D7365" s="734">
        <v>5</v>
      </c>
      <c r="E7365" s="733"/>
    </row>
    <row r="7366" spans="2:5">
      <c r="B7366" s="121">
        <v>641</v>
      </c>
      <c r="C7366" s="121">
        <v>2</v>
      </c>
      <c r="D7366" s="734">
        <v>97.97735251837419</v>
      </c>
      <c r="E7366" s="733"/>
    </row>
    <row r="7367" spans="2:5">
      <c r="B7367" s="121">
        <v>641</v>
      </c>
      <c r="C7367" s="121">
        <v>3</v>
      </c>
      <c r="D7367" s="734">
        <v>119.81855066441416</v>
      </c>
      <c r="E7367" s="733"/>
    </row>
    <row r="7368" spans="2:5">
      <c r="B7368" s="121">
        <v>641</v>
      </c>
      <c r="C7368" s="121">
        <v>4</v>
      </c>
      <c r="D7368" s="734">
        <v>138.33255254572578</v>
      </c>
      <c r="E7368" s="733"/>
    </row>
    <row r="7369" spans="2:5">
      <c r="B7369" s="121">
        <v>641</v>
      </c>
      <c r="C7369" s="121">
        <v>5</v>
      </c>
      <c r="D7369" s="734">
        <v>143.55219467631088</v>
      </c>
      <c r="E7369" s="733"/>
    </row>
    <row r="7370" spans="2:5">
      <c r="B7370" s="121">
        <v>641</v>
      </c>
      <c r="C7370" s="121">
        <v>6</v>
      </c>
      <c r="D7370" s="734">
        <v>135.51591131036491</v>
      </c>
      <c r="E7370" s="733"/>
    </row>
    <row r="7371" spans="2:5">
      <c r="B7371" s="121">
        <v>641</v>
      </c>
      <c r="C7371" s="121">
        <v>7</v>
      </c>
      <c r="D7371" s="734">
        <v>136.57859153275598</v>
      </c>
      <c r="E7371" s="733"/>
    </row>
    <row r="7372" spans="2:5">
      <c r="B7372" s="121">
        <v>641</v>
      </c>
      <c r="C7372" s="121">
        <v>8</v>
      </c>
      <c r="D7372" s="734">
        <v>136.03713910940547</v>
      </c>
      <c r="E7372" s="733"/>
    </row>
    <row r="7373" spans="2:5">
      <c r="B7373" s="121">
        <v>641</v>
      </c>
      <c r="C7373" s="121">
        <v>9</v>
      </c>
      <c r="D7373" s="734">
        <v>143.46854414070501</v>
      </c>
      <c r="E7373" s="733"/>
    </row>
    <row r="7374" spans="2:5">
      <c r="B7374" s="121">
        <v>642</v>
      </c>
      <c r="C7374" s="121">
        <v>1</v>
      </c>
      <c r="D7374" s="734">
        <v>5</v>
      </c>
      <c r="E7374" s="733"/>
    </row>
    <row r="7375" spans="2:5">
      <c r="B7375" s="121">
        <v>642</v>
      </c>
      <c r="C7375" s="121">
        <v>2</v>
      </c>
      <c r="D7375" s="734">
        <v>98.051382996686996</v>
      </c>
      <c r="E7375" s="733"/>
    </row>
    <row r="7376" spans="2:5">
      <c r="B7376" s="121">
        <v>642</v>
      </c>
      <c r="C7376" s="121">
        <v>3</v>
      </c>
      <c r="D7376" s="734">
        <v>122.69144474405995</v>
      </c>
      <c r="E7376" s="733"/>
    </row>
    <row r="7377" spans="2:5">
      <c r="B7377" s="121">
        <v>642</v>
      </c>
      <c r="C7377" s="121">
        <v>4</v>
      </c>
      <c r="D7377" s="734">
        <v>136.84300126789816</v>
      </c>
      <c r="E7377" s="733"/>
    </row>
    <row r="7378" spans="2:5">
      <c r="B7378" s="121">
        <v>642</v>
      </c>
      <c r="C7378" s="121">
        <v>5</v>
      </c>
      <c r="D7378" s="734">
        <v>140.85100263378266</v>
      </c>
      <c r="E7378" s="733"/>
    </row>
    <row r="7379" spans="2:5">
      <c r="B7379" s="121">
        <v>642</v>
      </c>
      <c r="C7379" s="121">
        <v>6</v>
      </c>
      <c r="D7379" s="734">
        <v>135.62458546739327</v>
      </c>
      <c r="E7379" s="733"/>
    </row>
    <row r="7380" spans="2:5">
      <c r="B7380" s="121">
        <v>642</v>
      </c>
      <c r="C7380" s="121">
        <v>7</v>
      </c>
      <c r="D7380" s="734">
        <v>134.38823514684563</v>
      </c>
      <c r="E7380" s="733"/>
    </row>
    <row r="7381" spans="2:5">
      <c r="B7381" s="121">
        <v>642</v>
      </c>
      <c r="C7381" s="121">
        <v>8</v>
      </c>
      <c r="D7381" s="734">
        <v>143.69765621920709</v>
      </c>
      <c r="E7381" s="733"/>
    </row>
    <row r="7382" spans="2:5">
      <c r="B7382" s="121">
        <v>642</v>
      </c>
      <c r="C7382" s="121">
        <v>9</v>
      </c>
      <c r="D7382" s="734">
        <v>140.87956553727201</v>
      </c>
      <c r="E7382" s="733"/>
    </row>
    <row r="7383" spans="2:5">
      <c r="B7383" s="121">
        <v>642</v>
      </c>
      <c r="C7383" s="121">
        <v>10</v>
      </c>
      <c r="D7383" s="734">
        <v>142.0175780440693</v>
      </c>
      <c r="E7383" s="733"/>
    </row>
    <row r="7384" spans="2:5">
      <c r="B7384" s="121">
        <v>642</v>
      </c>
      <c r="C7384" s="121">
        <v>11</v>
      </c>
      <c r="D7384" s="734">
        <v>134.76203818089542</v>
      </c>
      <c r="E7384" s="733"/>
    </row>
    <row r="7385" spans="2:5">
      <c r="B7385" s="121">
        <v>642</v>
      </c>
      <c r="C7385" s="121">
        <v>12</v>
      </c>
      <c r="D7385" s="734">
        <v>142.19724277689548</v>
      </c>
      <c r="E7385" s="733"/>
    </row>
    <row r="7386" spans="2:5">
      <c r="B7386" s="121">
        <v>642</v>
      </c>
      <c r="C7386" s="121">
        <v>13</v>
      </c>
      <c r="D7386" s="734">
        <v>141.67735506926903</v>
      </c>
      <c r="E7386" s="733"/>
    </row>
    <row r="7387" spans="2:5">
      <c r="B7387" s="121">
        <v>642</v>
      </c>
      <c r="C7387" s="121">
        <v>14</v>
      </c>
      <c r="D7387" s="734">
        <v>145.22348081440839</v>
      </c>
      <c r="E7387" s="733"/>
    </row>
    <row r="7388" spans="2:5">
      <c r="B7388" s="121">
        <v>642</v>
      </c>
      <c r="C7388" s="121">
        <v>15</v>
      </c>
      <c r="D7388" s="734">
        <v>142.38873423742564</v>
      </c>
      <c r="E7388" s="733"/>
    </row>
    <row r="7389" spans="2:5">
      <c r="B7389" s="121">
        <v>642</v>
      </c>
      <c r="C7389" s="121">
        <v>16</v>
      </c>
      <c r="D7389" s="734">
        <v>144.65708093384137</v>
      </c>
      <c r="E7389" s="733"/>
    </row>
    <row r="7390" spans="2:5">
      <c r="B7390" s="121">
        <v>642</v>
      </c>
      <c r="C7390" s="121">
        <v>17</v>
      </c>
      <c r="D7390" s="734">
        <v>141.28200241690621</v>
      </c>
      <c r="E7390" s="733"/>
    </row>
    <row r="7391" spans="2:5">
      <c r="B7391" s="121">
        <v>642</v>
      </c>
      <c r="C7391" s="121">
        <v>18</v>
      </c>
      <c r="D7391" s="734">
        <v>139.9999899269925</v>
      </c>
      <c r="E7391" s="733"/>
    </row>
    <row r="7392" spans="2:5">
      <c r="B7392" s="121">
        <v>642</v>
      </c>
      <c r="C7392" s="121">
        <v>19</v>
      </c>
      <c r="D7392" s="734">
        <v>136.01882688726644</v>
      </c>
      <c r="E7392" s="733"/>
    </row>
    <row r="7393" spans="2:5">
      <c r="B7393" s="121">
        <v>642</v>
      </c>
      <c r="C7393" s="121">
        <v>20</v>
      </c>
      <c r="D7393" s="734">
        <v>146.08764950100371</v>
      </c>
      <c r="E7393" s="733"/>
    </row>
    <row r="7394" spans="2:5">
      <c r="B7394" s="121">
        <v>642</v>
      </c>
      <c r="C7394" s="121">
        <v>21</v>
      </c>
      <c r="D7394" s="734">
        <v>137.8997062621051</v>
      </c>
      <c r="E7394" s="733"/>
    </row>
    <row r="7395" spans="2:5">
      <c r="B7395" s="121">
        <v>642</v>
      </c>
      <c r="C7395" s="121">
        <v>22</v>
      </c>
      <c r="D7395" s="734">
        <v>146.27838269805954</v>
      </c>
      <c r="E7395" s="733"/>
    </row>
    <row r="7396" spans="2:5">
      <c r="B7396" s="121">
        <v>642</v>
      </c>
      <c r="C7396" s="121">
        <v>23</v>
      </c>
      <c r="D7396" s="734">
        <v>136.2006198234522</v>
      </c>
      <c r="E7396" s="733"/>
    </row>
    <row r="7397" spans="2:5">
      <c r="B7397" s="121">
        <v>642</v>
      </c>
      <c r="C7397" s="121">
        <v>24</v>
      </c>
      <c r="D7397" s="734">
        <v>136.91111148133484</v>
      </c>
      <c r="E7397" s="733"/>
    </row>
    <row r="7398" spans="2:5">
      <c r="B7398" s="121">
        <v>642</v>
      </c>
      <c r="C7398" s="121">
        <v>25</v>
      </c>
      <c r="D7398" s="734">
        <v>146.72585766978276</v>
      </c>
      <c r="E7398" s="733"/>
    </row>
    <row r="7399" spans="2:5">
      <c r="B7399" s="121">
        <v>642</v>
      </c>
      <c r="C7399" s="121">
        <v>26</v>
      </c>
      <c r="D7399" s="734">
        <v>135.68947691640227</v>
      </c>
      <c r="E7399" s="733"/>
    </row>
    <row r="7400" spans="2:5">
      <c r="B7400" s="121">
        <v>642</v>
      </c>
      <c r="C7400" s="121">
        <v>27</v>
      </c>
      <c r="D7400" s="734">
        <v>143.73775646179226</v>
      </c>
      <c r="E7400" s="733"/>
    </row>
    <row r="7401" spans="2:5">
      <c r="B7401" s="121">
        <v>642</v>
      </c>
      <c r="C7401" s="121">
        <v>28</v>
      </c>
      <c r="D7401" s="734">
        <v>146.77655730772429</v>
      </c>
      <c r="E7401" s="733"/>
    </row>
    <row r="7402" spans="2:5">
      <c r="B7402" s="121">
        <v>642</v>
      </c>
      <c r="C7402" s="121">
        <v>29</v>
      </c>
      <c r="D7402" s="734">
        <v>141.78407260327208</v>
      </c>
      <c r="E7402" s="733"/>
    </row>
    <row r="7403" spans="2:5">
      <c r="B7403" s="121">
        <v>642</v>
      </c>
      <c r="C7403" s="121">
        <v>30</v>
      </c>
      <c r="D7403" s="734">
        <v>136.8094159951111</v>
      </c>
      <c r="E7403" s="733"/>
    </row>
    <row r="7404" spans="2:5">
      <c r="B7404" s="121">
        <v>642</v>
      </c>
      <c r="C7404" s="121">
        <v>31</v>
      </c>
      <c r="D7404" s="734">
        <v>138.72526549556935</v>
      </c>
      <c r="E7404" s="733"/>
    </row>
    <row r="7405" spans="2:5">
      <c r="B7405" s="121">
        <v>642</v>
      </c>
      <c r="C7405" s="121">
        <v>32</v>
      </c>
      <c r="D7405" s="734">
        <v>138.37458514408215</v>
      </c>
      <c r="E7405" s="733"/>
    </row>
    <row r="7406" spans="2:5">
      <c r="B7406" s="121">
        <v>642</v>
      </c>
      <c r="C7406" s="121">
        <v>33</v>
      </c>
      <c r="D7406" s="734">
        <v>137.83508512697978</v>
      </c>
      <c r="E7406" s="733"/>
    </row>
    <row r="7407" spans="2:5">
      <c r="B7407" s="121">
        <v>642</v>
      </c>
      <c r="C7407" s="121">
        <v>34</v>
      </c>
      <c r="D7407" s="734">
        <v>143.35211879688413</v>
      </c>
      <c r="E7407" s="733"/>
    </row>
    <row r="7408" spans="2:5">
      <c r="B7408" s="121">
        <v>642</v>
      </c>
      <c r="C7408" s="121">
        <v>35</v>
      </c>
      <c r="D7408" s="734">
        <v>146.65541278991626</v>
      </c>
      <c r="E7408" s="733"/>
    </row>
    <row r="7409" spans="2:5">
      <c r="B7409" s="121">
        <v>642</v>
      </c>
      <c r="C7409" s="121">
        <v>36</v>
      </c>
      <c r="D7409" s="734">
        <v>141.56971484146695</v>
      </c>
      <c r="E7409" s="733"/>
    </row>
    <row r="7410" spans="2:5">
      <c r="B7410" s="121">
        <v>643</v>
      </c>
      <c r="C7410" s="121">
        <v>1</v>
      </c>
      <c r="D7410" s="734">
        <v>5</v>
      </c>
      <c r="E7410" s="733"/>
    </row>
    <row r="7411" spans="2:5">
      <c r="B7411" s="121">
        <v>643</v>
      </c>
      <c r="C7411" s="121">
        <v>2</v>
      </c>
      <c r="D7411" s="734">
        <v>100.9619501036793</v>
      </c>
      <c r="E7411" s="733"/>
    </row>
    <row r="7412" spans="2:5">
      <c r="B7412" s="121">
        <v>644</v>
      </c>
      <c r="C7412" s="121">
        <v>1</v>
      </c>
      <c r="D7412" s="734">
        <v>5</v>
      </c>
      <c r="E7412" s="733"/>
    </row>
    <row r="7413" spans="2:5">
      <c r="B7413" s="121">
        <v>644</v>
      </c>
      <c r="C7413" s="121">
        <v>2</v>
      </c>
      <c r="D7413" s="734">
        <v>99.042327609426778</v>
      </c>
      <c r="E7413" s="733"/>
    </row>
    <row r="7414" spans="2:5">
      <c r="B7414" s="121">
        <v>644</v>
      </c>
      <c r="C7414" s="121">
        <v>3</v>
      </c>
      <c r="D7414" s="734">
        <v>117.09078852297203</v>
      </c>
      <c r="E7414" s="733"/>
    </row>
    <row r="7415" spans="2:5">
      <c r="B7415" s="121">
        <v>644</v>
      </c>
      <c r="C7415" s="121">
        <v>4</v>
      </c>
      <c r="D7415" s="734">
        <v>134.83424453790053</v>
      </c>
      <c r="E7415" s="733"/>
    </row>
    <row r="7416" spans="2:5">
      <c r="B7416" s="121">
        <v>644</v>
      </c>
      <c r="C7416" s="121">
        <v>5</v>
      </c>
      <c r="D7416" s="734">
        <v>144.76296736656215</v>
      </c>
      <c r="E7416" s="733"/>
    </row>
    <row r="7417" spans="2:5">
      <c r="B7417" s="121">
        <v>645</v>
      </c>
      <c r="C7417" s="121">
        <v>1</v>
      </c>
      <c r="D7417" s="734">
        <v>5</v>
      </c>
      <c r="E7417" s="733"/>
    </row>
    <row r="7418" spans="2:5">
      <c r="B7418" s="121">
        <v>645</v>
      </c>
      <c r="C7418" s="121">
        <v>2</v>
      </c>
      <c r="D7418" s="734">
        <v>101.56931928404016</v>
      </c>
      <c r="E7418" s="733"/>
    </row>
    <row r="7419" spans="2:5">
      <c r="B7419" s="121">
        <v>645</v>
      </c>
      <c r="C7419" s="121">
        <v>3</v>
      </c>
      <c r="D7419" s="734">
        <v>120.84444651594026</v>
      </c>
      <c r="E7419" s="733"/>
    </row>
    <row r="7420" spans="2:5">
      <c r="B7420" s="121">
        <v>646</v>
      </c>
      <c r="C7420" s="121">
        <v>1</v>
      </c>
      <c r="D7420" s="734">
        <v>5</v>
      </c>
      <c r="E7420" s="733"/>
    </row>
    <row r="7421" spans="2:5">
      <c r="B7421" s="121">
        <v>646</v>
      </c>
      <c r="C7421" s="121">
        <v>2</v>
      </c>
      <c r="D7421" s="734">
        <v>98.527238134372581</v>
      </c>
      <c r="E7421" s="733"/>
    </row>
    <row r="7422" spans="2:5">
      <c r="B7422" s="121">
        <v>647</v>
      </c>
      <c r="C7422" s="121">
        <v>1</v>
      </c>
      <c r="D7422" s="734">
        <v>5</v>
      </c>
      <c r="E7422" s="733"/>
    </row>
    <row r="7423" spans="2:5">
      <c r="B7423" s="121">
        <v>647</v>
      </c>
      <c r="C7423" s="121">
        <v>2</v>
      </c>
      <c r="D7423" s="734">
        <v>95.042957215151887</v>
      </c>
      <c r="E7423" s="733"/>
    </row>
    <row r="7424" spans="2:5">
      <c r="B7424" s="121">
        <v>647</v>
      </c>
      <c r="C7424" s="121">
        <v>3</v>
      </c>
      <c r="D7424" s="734">
        <v>121.13538112385119</v>
      </c>
      <c r="E7424" s="733"/>
    </row>
    <row r="7425" spans="2:5">
      <c r="B7425" s="121">
        <v>647</v>
      </c>
      <c r="C7425" s="121">
        <v>4</v>
      </c>
      <c r="D7425" s="734">
        <v>145.68195108672364</v>
      </c>
      <c r="E7425" s="733"/>
    </row>
    <row r="7426" spans="2:5">
      <c r="B7426" s="121">
        <v>647</v>
      </c>
      <c r="C7426" s="121">
        <v>5</v>
      </c>
      <c r="D7426" s="734">
        <v>135.21321618424429</v>
      </c>
      <c r="E7426" s="733"/>
    </row>
    <row r="7427" spans="2:5">
      <c r="B7427" s="121">
        <v>647</v>
      </c>
      <c r="C7427" s="121">
        <v>6</v>
      </c>
      <c r="D7427" s="734">
        <v>139.72593480366692</v>
      </c>
      <c r="E7427" s="733"/>
    </row>
    <row r="7428" spans="2:5">
      <c r="B7428" s="121">
        <v>647</v>
      </c>
      <c r="C7428" s="121">
        <v>7</v>
      </c>
      <c r="D7428" s="734">
        <v>137.36394862224313</v>
      </c>
      <c r="E7428" s="733"/>
    </row>
    <row r="7429" spans="2:5">
      <c r="B7429" s="121">
        <v>647</v>
      </c>
      <c r="C7429" s="121">
        <v>8</v>
      </c>
      <c r="D7429" s="734">
        <v>139.22882463324805</v>
      </c>
      <c r="E7429" s="733"/>
    </row>
    <row r="7430" spans="2:5">
      <c r="B7430" s="121">
        <v>648</v>
      </c>
      <c r="C7430" s="121">
        <v>1</v>
      </c>
      <c r="D7430" s="734">
        <v>5</v>
      </c>
      <c r="E7430" s="733"/>
    </row>
    <row r="7431" spans="2:5">
      <c r="B7431" s="121">
        <v>648</v>
      </c>
      <c r="C7431" s="121">
        <v>2</v>
      </c>
      <c r="D7431" s="734">
        <v>98.094924356839556</v>
      </c>
      <c r="E7431" s="733"/>
    </row>
    <row r="7432" spans="2:5">
      <c r="B7432" s="121">
        <v>648</v>
      </c>
      <c r="C7432" s="121">
        <v>3</v>
      </c>
      <c r="D7432" s="734">
        <v>124.47463876474478</v>
      </c>
      <c r="E7432" s="733"/>
    </row>
    <row r="7433" spans="2:5">
      <c r="B7433" s="121">
        <v>648</v>
      </c>
      <c r="C7433" s="121">
        <v>4</v>
      </c>
      <c r="D7433" s="734">
        <v>134.69872927839663</v>
      </c>
      <c r="E7433" s="733"/>
    </row>
    <row r="7434" spans="2:5">
      <c r="B7434" s="121">
        <v>648</v>
      </c>
      <c r="C7434" s="121">
        <v>5</v>
      </c>
      <c r="D7434" s="734">
        <v>143.05305762554241</v>
      </c>
      <c r="E7434" s="733"/>
    </row>
    <row r="7435" spans="2:5">
      <c r="B7435" s="121">
        <v>648</v>
      </c>
      <c r="C7435" s="121">
        <v>6</v>
      </c>
      <c r="D7435" s="734">
        <v>135.82177685842515</v>
      </c>
      <c r="E7435" s="733"/>
    </row>
    <row r="7436" spans="2:5">
      <c r="B7436" s="121">
        <v>648</v>
      </c>
      <c r="C7436" s="121">
        <v>7</v>
      </c>
      <c r="D7436" s="734">
        <v>139.44123693390949</v>
      </c>
      <c r="E7436" s="733"/>
    </row>
    <row r="7437" spans="2:5">
      <c r="B7437" s="121">
        <v>648</v>
      </c>
      <c r="C7437" s="121">
        <v>8</v>
      </c>
      <c r="D7437" s="734">
        <v>146.83241214697108</v>
      </c>
      <c r="E7437" s="733"/>
    </row>
    <row r="7438" spans="2:5">
      <c r="B7438" s="121">
        <v>648</v>
      </c>
      <c r="C7438" s="121">
        <v>9</v>
      </c>
      <c r="D7438" s="734">
        <v>137.7992671502011</v>
      </c>
      <c r="E7438" s="733"/>
    </row>
    <row r="7439" spans="2:5">
      <c r="B7439" s="121">
        <v>648</v>
      </c>
      <c r="C7439" s="121">
        <v>10</v>
      </c>
      <c r="D7439" s="734">
        <v>137.30687011551151</v>
      </c>
      <c r="E7439" s="733"/>
    </row>
    <row r="7440" spans="2:5">
      <c r="B7440" s="121">
        <v>648</v>
      </c>
      <c r="C7440" s="121">
        <v>11</v>
      </c>
      <c r="D7440" s="734">
        <v>143.58440105360759</v>
      </c>
      <c r="E7440" s="733"/>
    </row>
    <row r="7441" spans="2:5">
      <c r="B7441" s="121">
        <v>648</v>
      </c>
      <c r="C7441" s="121">
        <v>12</v>
      </c>
      <c r="D7441" s="734">
        <v>143.65182365829116</v>
      </c>
      <c r="E7441" s="733"/>
    </row>
    <row r="7442" spans="2:5">
      <c r="B7442" s="121">
        <v>648</v>
      </c>
      <c r="C7442" s="121">
        <v>13</v>
      </c>
      <c r="D7442" s="734">
        <v>146.73676646572318</v>
      </c>
      <c r="E7442" s="733"/>
    </row>
    <row r="7443" spans="2:5">
      <c r="B7443" s="121">
        <v>648</v>
      </c>
      <c r="C7443" s="121">
        <v>14</v>
      </c>
      <c r="D7443" s="734">
        <v>139.74159706401826</v>
      </c>
      <c r="E7443" s="733"/>
    </row>
    <row r="7444" spans="2:5">
      <c r="B7444" s="121">
        <v>648</v>
      </c>
      <c r="C7444" s="121">
        <v>15</v>
      </c>
      <c r="D7444" s="734">
        <v>146.59569464911368</v>
      </c>
      <c r="E7444" s="733"/>
    </row>
    <row r="7445" spans="2:5">
      <c r="B7445" s="121">
        <v>648</v>
      </c>
      <c r="C7445" s="121">
        <v>16</v>
      </c>
      <c r="D7445" s="734">
        <v>134.87537455513234</v>
      </c>
      <c r="E7445" s="733"/>
    </row>
    <row r="7446" spans="2:5">
      <c r="B7446" s="121">
        <v>648</v>
      </c>
      <c r="C7446" s="121">
        <v>17</v>
      </c>
      <c r="D7446" s="734">
        <v>140.48239366867054</v>
      </c>
      <c r="E7446" s="733"/>
    </row>
    <row r="7447" spans="2:5">
      <c r="B7447" s="121">
        <v>648</v>
      </c>
      <c r="C7447" s="121">
        <v>18</v>
      </c>
      <c r="D7447" s="734">
        <v>146.87109811984109</v>
      </c>
      <c r="E7447" s="733"/>
    </row>
    <row r="7448" spans="2:5">
      <c r="B7448" s="121">
        <v>648</v>
      </c>
      <c r="C7448" s="121">
        <v>19</v>
      </c>
      <c r="D7448" s="734">
        <v>140.7465784476137</v>
      </c>
      <c r="E7448" s="733"/>
    </row>
    <row r="7449" spans="2:5">
      <c r="B7449" s="121">
        <v>648</v>
      </c>
      <c r="C7449" s="121">
        <v>20</v>
      </c>
      <c r="D7449" s="734">
        <v>143.54693419009237</v>
      </c>
      <c r="E7449" s="733"/>
    </row>
    <row r="7450" spans="2:5">
      <c r="B7450" s="121">
        <v>648</v>
      </c>
      <c r="C7450" s="121">
        <v>21</v>
      </c>
      <c r="D7450" s="734">
        <v>136.01022932684936</v>
      </c>
      <c r="E7450" s="733"/>
    </row>
    <row r="7451" spans="2:5">
      <c r="B7451" s="121">
        <v>648</v>
      </c>
      <c r="C7451" s="121">
        <v>22</v>
      </c>
      <c r="D7451" s="734">
        <v>134.2385705687189</v>
      </c>
      <c r="E7451" s="733"/>
    </row>
    <row r="7452" spans="2:5">
      <c r="B7452" s="121">
        <v>649</v>
      </c>
      <c r="C7452" s="121">
        <v>1</v>
      </c>
      <c r="D7452" s="734">
        <v>5</v>
      </c>
      <c r="E7452" s="733"/>
    </row>
    <row r="7453" spans="2:5">
      <c r="B7453" s="121">
        <v>650</v>
      </c>
      <c r="C7453" s="121">
        <v>1</v>
      </c>
      <c r="D7453" s="734">
        <v>5</v>
      </c>
      <c r="E7453" s="733"/>
    </row>
    <row r="7454" spans="2:5">
      <c r="B7454" s="121">
        <v>650</v>
      </c>
      <c r="C7454" s="121">
        <v>2</v>
      </c>
      <c r="D7454" s="734">
        <v>94.574461738282395</v>
      </c>
      <c r="E7454" s="733"/>
    </row>
    <row r="7455" spans="2:5">
      <c r="B7455" s="121">
        <v>650</v>
      </c>
      <c r="C7455" s="121">
        <v>3</v>
      </c>
      <c r="D7455" s="734">
        <v>124.2667328657765</v>
      </c>
      <c r="E7455" s="733"/>
    </row>
    <row r="7456" spans="2:5">
      <c r="B7456" s="121">
        <v>650</v>
      </c>
      <c r="C7456" s="121">
        <v>4</v>
      </c>
      <c r="D7456" s="734">
        <v>139.19429548026326</v>
      </c>
      <c r="E7456" s="733"/>
    </row>
    <row r="7457" spans="2:5">
      <c r="B7457" s="121">
        <v>650</v>
      </c>
      <c r="C7457" s="121">
        <v>5</v>
      </c>
      <c r="D7457" s="734">
        <v>147.23480772625908</v>
      </c>
      <c r="E7457" s="733"/>
    </row>
    <row r="7458" spans="2:5">
      <c r="B7458" s="121">
        <v>650</v>
      </c>
      <c r="C7458" s="121">
        <v>6</v>
      </c>
      <c r="D7458" s="734">
        <v>143.39228423281574</v>
      </c>
      <c r="E7458" s="733"/>
    </row>
    <row r="7459" spans="2:5">
      <c r="B7459" s="121">
        <v>650</v>
      </c>
      <c r="C7459" s="121">
        <v>7</v>
      </c>
      <c r="D7459" s="734">
        <v>145.44083128360975</v>
      </c>
      <c r="E7459" s="733"/>
    </row>
    <row r="7460" spans="2:5">
      <c r="B7460" s="121">
        <v>650</v>
      </c>
      <c r="C7460" s="121">
        <v>8</v>
      </c>
      <c r="D7460" s="734">
        <v>142.48662046150369</v>
      </c>
      <c r="E7460" s="733"/>
    </row>
    <row r="7461" spans="2:5">
      <c r="B7461" s="121">
        <v>650</v>
      </c>
      <c r="C7461" s="121">
        <v>9</v>
      </c>
      <c r="D7461" s="734">
        <v>142.25367218710832</v>
      </c>
      <c r="E7461" s="733"/>
    </row>
    <row r="7462" spans="2:5">
      <c r="B7462" s="121">
        <v>651</v>
      </c>
      <c r="C7462" s="121">
        <v>1</v>
      </c>
      <c r="D7462" s="734">
        <v>5</v>
      </c>
      <c r="E7462" s="733"/>
    </row>
    <row r="7463" spans="2:5">
      <c r="B7463" s="121">
        <v>651</v>
      </c>
      <c r="C7463" s="121">
        <v>2</v>
      </c>
      <c r="D7463" s="734">
        <v>99.617646806870383</v>
      </c>
      <c r="E7463" s="733"/>
    </row>
    <row r="7464" spans="2:5">
      <c r="B7464" s="121">
        <v>651</v>
      </c>
      <c r="C7464" s="121">
        <v>3</v>
      </c>
      <c r="D7464" s="734">
        <v>115.95797171089295</v>
      </c>
      <c r="E7464" s="733"/>
    </row>
    <row r="7465" spans="2:5">
      <c r="B7465" s="121">
        <v>651</v>
      </c>
      <c r="C7465" s="121">
        <v>4</v>
      </c>
      <c r="D7465" s="734">
        <v>146.9691137165359</v>
      </c>
      <c r="E7465" s="733"/>
    </row>
    <row r="7466" spans="2:5">
      <c r="B7466" s="121">
        <v>651</v>
      </c>
      <c r="C7466" s="121">
        <v>5</v>
      </c>
      <c r="D7466" s="734">
        <v>137.77120622276027</v>
      </c>
      <c r="E7466" s="733"/>
    </row>
    <row r="7467" spans="2:5">
      <c r="B7467" s="121">
        <v>651</v>
      </c>
      <c r="C7467" s="121">
        <v>6</v>
      </c>
      <c r="D7467" s="734">
        <v>146.75177222924441</v>
      </c>
      <c r="E7467" s="733"/>
    </row>
    <row r="7468" spans="2:5">
      <c r="B7468" s="121">
        <v>651</v>
      </c>
      <c r="C7468" s="121">
        <v>7</v>
      </c>
      <c r="D7468" s="734">
        <v>141.4196657047907</v>
      </c>
      <c r="E7468" s="733"/>
    </row>
    <row r="7469" spans="2:5">
      <c r="B7469" s="121">
        <v>651</v>
      </c>
      <c r="C7469" s="121">
        <v>8</v>
      </c>
      <c r="D7469" s="734">
        <v>142.32624268850924</v>
      </c>
      <c r="E7469" s="733"/>
    </row>
    <row r="7470" spans="2:5">
      <c r="B7470" s="121">
        <v>651</v>
      </c>
      <c r="C7470" s="121">
        <v>9</v>
      </c>
      <c r="D7470" s="734">
        <v>141.48571254701127</v>
      </c>
      <c r="E7470" s="733"/>
    </row>
    <row r="7471" spans="2:5">
      <c r="B7471" s="121">
        <v>651</v>
      </c>
      <c r="C7471" s="121">
        <v>10</v>
      </c>
      <c r="D7471" s="734">
        <v>141.03280530358532</v>
      </c>
      <c r="E7471" s="733"/>
    </row>
    <row r="7472" spans="2:5">
      <c r="B7472" s="121">
        <v>651</v>
      </c>
      <c r="C7472" s="121">
        <v>11</v>
      </c>
      <c r="D7472" s="734">
        <v>145.7609200924567</v>
      </c>
      <c r="E7472" s="733"/>
    </row>
    <row r="7473" spans="2:5">
      <c r="B7473" s="121">
        <v>651</v>
      </c>
      <c r="C7473" s="121">
        <v>12</v>
      </c>
      <c r="D7473" s="734">
        <v>147.27594244036581</v>
      </c>
      <c r="E7473" s="733"/>
    </row>
    <row r="7474" spans="2:5">
      <c r="B7474" s="121">
        <v>651</v>
      </c>
      <c r="C7474" s="121">
        <v>13</v>
      </c>
      <c r="D7474" s="734">
        <v>143.74493961018027</v>
      </c>
      <c r="E7474" s="733"/>
    </row>
    <row r="7475" spans="2:5">
      <c r="B7475" s="121">
        <v>651</v>
      </c>
      <c r="C7475" s="121">
        <v>14</v>
      </c>
      <c r="D7475" s="734">
        <v>138.71725066620724</v>
      </c>
      <c r="E7475" s="733"/>
    </row>
    <row r="7476" spans="2:5">
      <c r="B7476" s="121">
        <v>651</v>
      </c>
      <c r="C7476" s="121">
        <v>15</v>
      </c>
      <c r="D7476" s="734">
        <v>140.33592684337322</v>
      </c>
      <c r="E7476" s="733"/>
    </row>
    <row r="7477" spans="2:5">
      <c r="B7477" s="121">
        <v>651</v>
      </c>
      <c r="C7477" s="121">
        <v>16</v>
      </c>
      <c r="D7477" s="734">
        <v>143.70353872526462</v>
      </c>
      <c r="E7477" s="733"/>
    </row>
    <row r="7478" spans="2:5">
      <c r="B7478" s="121">
        <v>651</v>
      </c>
      <c r="C7478" s="121">
        <v>17</v>
      </c>
      <c r="D7478" s="734">
        <v>140.00331688584814</v>
      </c>
      <c r="E7478" s="733"/>
    </row>
    <row r="7479" spans="2:5">
      <c r="B7479" s="121">
        <v>651</v>
      </c>
      <c r="C7479" s="121">
        <v>18</v>
      </c>
      <c r="D7479" s="734">
        <v>138.72581498214274</v>
      </c>
      <c r="E7479" s="733"/>
    </row>
    <row r="7480" spans="2:5">
      <c r="B7480" s="121">
        <v>651</v>
      </c>
      <c r="C7480" s="121">
        <v>19</v>
      </c>
      <c r="D7480" s="734">
        <v>136.49628025192453</v>
      </c>
      <c r="E7480" s="733"/>
    </row>
    <row r="7481" spans="2:5">
      <c r="B7481" s="121">
        <v>652</v>
      </c>
      <c r="C7481" s="121">
        <v>1</v>
      </c>
      <c r="D7481" s="734">
        <v>5</v>
      </c>
      <c r="E7481" s="733"/>
    </row>
    <row r="7482" spans="2:5">
      <c r="B7482" s="121">
        <v>653</v>
      </c>
      <c r="C7482" s="121">
        <v>1</v>
      </c>
      <c r="D7482" s="734">
        <v>5</v>
      </c>
      <c r="E7482" s="733"/>
    </row>
    <row r="7483" spans="2:5">
      <c r="B7483" s="121">
        <v>654</v>
      </c>
      <c r="C7483" s="121">
        <v>1</v>
      </c>
      <c r="D7483" s="734">
        <v>5</v>
      </c>
      <c r="E7483" s="733"/>
    </row>
    <row r="7484" spans="2:5">
      <c r="B7484" s="121">
        <v>654</v>
      </c>
      <c r="C7484" s="121">
        <v>2</v>
      </c>
      <c r="D7484" s="734">
        <v>98.238218406038385</v>
      </c>
      <c r="E7484" s="733"/>
    </row>
    <row r="7485" spans="2:5">
      <c r="B7485" s="121">
        <v>654</v>
      </c>
      <c r="C7485" s="121">
        <v>3</v>
      </c>
      <c r="D7485" s="734">
        <v>119.05461866990142</v>
      </c>
      <c r="E7485" s="733"/>
    </row>
    <row r="7486" spans="2:5">
      <c r="B7486" s="121">
        <v>654</v>
      </c>
      <c r="C7486" s="121">
        <v>4</v>
      </c>
      <c r="D7486" s="734">
        <v>144.53456197988348</v>
      </c>
      <c r="E7486" s="733"/>
    </row>
    <row r="7487" spans="2:5">
      <c r="B7487" s="121">
        <v>654</v>
      </c>
      <c r="C7487" s="121">
        <v>5</v>
      </c>
      <c r="D7487" s="734">
        <v>142.84901529708196</v>
      </c>
      <c r="E7487" s="733"/>
    </row>
    <row r="7488" spans="2:5">
      <c r="B7488" s="121">
        <v>654</v>
      </c>
      <c r="C7488" s="121">
        <v>6</v>
      </c>
      <c r="D7488" s="734">
        <v>134.0316448583531</v>
      </c>
      <c r="E7488" s="733"/>
    </row>
    <row r="7489" spans="2:5">
      <c r="B7489" s="121">
        <v>654</v>
      </c>
      <c r="C7489" s="121">
        <v>7</v>
      </c>
      <c r="D7489" s="734">
        <v>135.70197861792627</v>
      </c>
      <c r="E7489" s="733"/>
    </row>
    <row r="7490" spans="2:5">
      <c r="B7490" s="121">
        <v>654</v>
      </c>
      <c r="C7490" s="121">
        <v>8</v>
      </c>
      <c r="D7490" s="734">
        <v>137.95092173239743</v>
      </c>
      <c r="E7490" s="733"/>
    </row>
    <row r="7491" spans="2:5">
      <c r="B7491" s="121">
        <v>654</v>
      </c>
      <c r="C7491" s="121">
        <v>9</v>
      </c>
      <c r="D7491" s="734">
        <v>139.71439191352417</v>
      </c>
      <c r="E7491" s="733"/>
    </row>
    <row r="7492" spans="2:5">
      <c r="B7492" s="121">
        <v>654</v>
      </c>
      <c r="C7492" s="121">
        <v>10</v>
      </c>
      <c r="D7492" s="734">
        <v>143.90640323028038</v>
      </c>
      <c r="E7492" s="733"/>
    </row>
    <row r="7493" spans="2:5">
      <c r="B7493" s="121">
        <v>654</v>
      </c>
      <c r="C7493" s="121">
        <v>11</v>
      </c>
      <c r="D7493" s="734">
        <v>136.86862720208177</v>
      </c>
      <c r="E7493" s="733"/>
    </row>
    <row r="7494" spans="2:5">
      <c r="B7494" s="121">
        <v>654</v>
      </c>
      <c r="C7494" s="121">
        <v>12</v>
      </c>
      <c r="D7494" s="734">
        <v>140.9765590211365</v>
      </c>
      <c r="E7494" s="733"/>
    </row>
    <row r="7495" spans="2:5">
      <c r="B7495" s="121">
        <v>654</v>
      </c>
      <c r="C7495" s="121">
        <v>13</v>
      </c>
      <c r="D7495" s="734">
        <v>134.82804489048283</v>
      </c>
      <c r="E7495" s="733"/>
    </row>
    <row r="7496" spans="2:5">
      <c r="B7496" s="121">
        <v>654</v>
      </c>
      <c r="C7496" s="121">
        <v>14</v>
      </c>
      <c r="D7496" s="734">
        <v>143.98158080113097</v>
      </c>
      <c r="E7496" s="733"/>
    </row>
    <row r="7497" spans="2:5">
      <c r="B7497" s="121">
        <v>654</v>
      </c>
      <c r="C7497" s="121">
        <v>15</v>
      </c>
      <c r="D7497" s="734">
        <v>136.06503644896318</v>
      </c>
      <c r="E7497" s="733"/>
    </row>
    <row r="7498" spans="2:5">
      <c r="B7498" s="121">
        <v>654</v>
      </c>
      <c r="C7498" s="121">
        <v>16</v>
      </c>
      <c r="D7498" s="734">
        <v>139.81184849018717</v>
      </c>
      <c r="E7498" s="733"/>
    </row>
    <row r="7499" spans="2:5">
      <c r="B7499" s="121">
        <v>654</v>
      </c>
      <c r="C7499" s="121">
        <v>17</v>
      </c>
      <c r="D7499" s="734">
        <v>136.84644555767144</v>
      </c>
      <c r="E7499" s="733"/>
    </row>
    <row r="7500" spans="2:5">
      <c r="B7500" s="121">
        <v>654</v>
      </c>
      <c r="C7500" s="121">
        <v>18</v>
      </c>
      <c r="D7500" s="734">
        <v>143.91362109240796</v>
      </c>
      <c r="E7500" s="733"/>
    </row>
    <row r="7501" spans="2:5">
      <c r="B7501" s="121">
        <v>654</v>
      </c>
      <c r="C7501" s="121">
        <v>19</v>
      </c>
      <c r="D7501" s="734">
        <v>137.90886819933368</v>
      </c>
      <c r="E7501" s="733"/>
    </row>
    <row r="7502" spans="2:5">
      <c r="B7502" s="121">
        <v>654</v>
      </c>
      <c r="C7502" s="121">
        <v>20</v>
      </c>
      <c r="D7502" s="734">
        <v>136.33888863903033</v>
      </c>
      <c r="E7502" s="733"/>
    </row>
    <row r="7503" spans="2:5">
      <c r="B7503" s="121">
        <v>654</v>
      </c>
      <c r="C7503" s="121">
        <v>21</v>
      </c>
      <c r="D7503" s="734">
        <v>135.26166351337048</v>
      </c>
      <c r="E7503" s="733"/>
    </row>
    <row r="7504" spans="2:5">
      <c r="B7504" s="121">
        <v>654</v>
      </c>
      <c r="C7504" s="121">
        <v>22</v>
      </c>
      <c r="D7504" s="734">
        <v>135.97678804844364</v>
      </c>
      <c r="E7504" s="733"/>
    </row>
    <row r="7505" spans="2:5">
      <c r="B7505" s="121">
        <v>654</v>
      </c>
      <c r="C7505" s="121">
        <v>23</v>
      </c>
      <c r="D7505" s="734">
        <v>139.4090035792521</v>
      </c>
      <c r="E7505" s="733"/>
    </row>
    <row r="7506" spans="2:5">
      <c r="B7506" s="121">
        <v>654</v>
      </c>
      <c r="C7506" s="121">
        <v>24</v>
      </c>
      <c r="D7506" s="734">
        <v>146.90998489521286</v>
      </c>
      <c r="E7506" s="733"/>
    </row>
    <row r="7507" spans="2:5">
      <c r="B7507" s="121">
        <v>654</v>
      </c>
      <c r="C7507" s="121">
        <v>25</v>
      </c>
      <c r="D7507" s="734">
        <v>146.60060988234432</v>
      </c>
      <c r="E7507" s="733"/>
    </row>
    <row r="7508" spans="2:5">
      <c r="B7508" s="121">
        <v>654</v>
      </c>
      <c r="C7508" s="121">
        <v>26</v>
      </c>
      <c r="D7508" s="734">
        <v>137.05123062552266</v>
      </c>
      <c r="E7508" s="733"/>
    </row>
    <row r="7509" spans="2:5">
      <c r="B7509" s="121">
        <v>654</v>
      </c>
      <c r="C7509" s="121">
        <v>27</v>
      </c>
      <c r="D7509" s="734">
        <v>136.40962904812017</v>
      </c>
      <c r="E7509" s="733"/>
    </row>
    <row r="7510" spans="2:5">
      <c r="B7510" s="121">
        <v>654</v>
      </c>
      <c r="C7510" s="121">
        <v>28</v>
      </c>
      <c r="D7510" s="734">
        <v>145.5361221237909</v>
      </c>
      <c r="E7510" s="733"/>
    </row>
    <row r="7511" spans="2:5">
      <c r="B7511" s="121">
        <v>654</v>
      </c>
      <c r="C7511" s="121">
        <v>29</v>
      </c>
      <c r="D7511" s="734">
        <v>146.89774358976959</v>
      </c>
      <c r="E7511" s="733"/>
    </row>
    <row r="7512" spans="2:5">
      <c r="B7512" s="121">
        <v>654</v>
      </c>
      <c r="C7512" s="121">
        <v>30</v>
      </c>
      <c r="D7512" s="734">
        <v>141.86034075683119</v>
      </c>
      <c r="E7512" s="733"/>
    </row>
    <row r="7513" spans="2:5">
      <c r="B7513" s="121">
        <v>654</v>
      </c>
      <c r="C7513" s="121">
        <v>31</v>
      </c>
      <c r="D7513" s="734">
        <v>134.03163238673974</v>
      </c>
      <c r="E7513" s="733"/>
    </row>
    <row r="7514" spans="2:5">
      <c r="B7514" s="121">
        <v>654</v>
      </c>
      <c r="C7514" s="121">
        <v>32</v>
      </c>
      <c r="D7514" s="734">
        <v>138.21858770445021</v>
      </c>
      <c r="E7514" s="733"/>
    </row>
    <row r="7515" spans="2:5">
      <c r="B7515" s="121">
        <v>654</v>
      </c>
      <c r="C7515" s="121">
        <v>33</v>
      </c>
      <c r="D7515" s="734">
        <v>145.57298305709705</v>
      </c>
      <c r="E7515" s="733"/>
    </row>
    <row r="7516" spans="2:5">
      <c r="B7516" s="121">
        <v>654</v>
      </c>
      <c r="C7516" s="121">
        <v>34</v>
      </c>
      <c r="D7516" s="734">
        <v>136.49768619380805</v>
      </c>
      <c r="E7516" s="733"/>
    </row>
    <row r="7517" spans="2:5">
      <c r="B7517" s="121">
        <v>654</v>
      </c>
      <c r="C7517" s="121">
        <v>35</v>
      </c>
      <c r="D7517" s="734">
        <v>143.00718495551476</v>
      </c>
      <c r="E7517" s="733"/>
    </row>
    <row r="7518" spans="2:5">
      <c r="B7518" s="121">
        <v>655</v>
      </c>
      <c r="C7518" s="121">
        <v>1</v>
      </c>
      <c r="D7518" s="734">
        <v>5</v>
      </c>
      <c r="E7518" s="733"/>
    </row>
    <row r="7519" spans="2:5">
      <c r="B7519" s="121">
        <v>655</v>
      </c>
      <c r="C7519" s="121">
        <v>2</v>
      </c>
      <c r="D7519" s="734">
        <v>94.89947156558884</v>
      </c>
      <c r="E7519" s="733"/>
    </row>
    <row r="7520" spans="2:5">
      <c r="B7520" s="121">
        <v>655</v>
      </c>
      <c r="C7520" s="121">
        <v>3</v>
      </c>
      <c r="D7520" s="734">
        <v>118.98757274342883</v>
      </c>
      <c r="E7520" s="733"/>
    </row>
    <row r="7521" spans="2:5">
      <c r="B7521" s="121">
        <v>655</v>
      </c>
      <c r="C7521" s="121">
        <v>4</v>
      </c>
      <c r="D7521" s="734">
        <v>144.28136755421994</v>
      </c>
      <c r="E7521" s="733"/>
    </row>
    <row r="7522" spans="2:5">
      <c r="B7522" s="121">
        <v>655</v>
      </c>
      <c r="C7522" s="121">
        <v>5</v>
      </c>
      <c r="D7522" s="734">
        <v>137.51833409641876</v>
      </c>
      <c r="E7522" s="733"/>
    </row>
    <row r="7523" spans="2:5">
      <c r="B7523" s="121">
        <v>655</v>
      </c>
      <c r="C7523" s="121">
        <v>6</v>
      </c>
      <c r="D7523" s="734">
        <v>133.99639945959188</v>
      </c>
      <c r="E7523" s="733"/>
    </row>
    <row r="7524" spans="2:5">
      <c r="B7524" s="121">
        <v>655</v>
      </c>
      <c r="C7524" s="121">
        <v>7</v>
      </c>
      <c r="D7524" s="734">
        <v>135.77074096995898</v>
      </c>
      <c r="E7524" s="733"/>
    </row>
    <row r="7525" spans="2:5">
      <c r="B7525" s="121">
        <v>655</v>
      </c>
      <c r="C7525" s="121">
        <v>8</v>
      </c>
      <c r="D7525" s="734">
        <v>141.57925965920685</v>
      </c>
      <c r="E7525" s="733"/>
    </row>
    <row r="7526" spans="2:5">
      <c r="B7526" s="121">
        <v>656</v>
      </c>
      <c r="C7526" s="121">
        <v>1</v>
      </c>
      <c r="D7526" s="734">
        <v>5</v>
      </c>
      <c r="E7526" s="733"/>
    </row>
    <row r="7527" spans="2:5">
      <c r="B7527" s="121">
        <v>657</v>
      </c>
      <c r="C7527" s="121">
        <v>1</v>
      </c>
      <c r="D7527" s="734">
        <v>5</v>
      </c>
      <c r="E7527" s="733"/>
    </row>
    <row r="7528" spans="2:5">
      <c r="B7528" s="121">
        <v>658</v>
      </c>
      <c r="C7528" s="121">
        <v>1</v>
      </c>
      <c r="D7528" s="734">
        <v>5</v>
      </c>
      <c r="E7528" s="733"/>
    </row>
    <row r="7529" spans="2:5">
      <c r="B7529" s="121">
        <v>658</v>
      </c>
      <c r="C7529" s="121">
        <v>2</v>
      </c>
      <c r="D7529" s="734">
        <v>97.199435812863982</v>
      </c>
      <c r="E7529" s="733"/>
    </row>
    <row r="7530" spans="2:5">
      <c r="B7530" s="121">
        <v>658</v>
      </c>
      <c r="C7530" s="121">
        <v>3</v>
      </c>
      <c r="D7530" s="734">
        <v>119.77643262487869</v>
      </c>
      <c r="E7530" s="733"/>
    </row>
    <row r="7531" spans="2:5">
      <c r="B7531" s="121">
        <v>658</v>
      </c>
      <c r="C7531" s="121">
        <v>4</v>
      </c>
      <c r="D7531" s="734">
        <v>146.4494457125038</v>
      </c>
      <c r="E7531" s="733"/>
    </row>
    <row r="7532" spans="2:5">
      <c r="B7532" s="121">
        <v>658</v>
      </c>
      <c r="C7532" s="121">
        <v>5</v>
      </c>
      <c r="D7532" s="734">
        <v>143.51937852135237</v>
      </c>
      <c r="E7532" s="733"/>
    </row>
    <row r="7533" spans="2:5">
      <c r="B7533" s="121">
        <v>658</v>
      </c>
      <c r="C7533" s="121">
        <v>6</v>
      </c>
      <c r="D7533" s="734">
        <v>144.94749325705149</v>
      </c>
      <c r="E7533" s="733"/>
    </row>
    <row r="7534" spans="2:5">
      <c r="B7534" s="121">
        <v>658</v>
      </c>
      <c r="C7534" s="121">
        <v>7</v>
      </c>
      <c r="D7534" s="734">
        <v>139.44569160227999</v>
      </c>
      <c r="E7534" s="733"/>
    </row>
    <row r="7535" spans="2:5">
      <c r="B7535" s="121">
        <v>658</v>
      </c>
      <c r="C7535" s="121">
        <v>8</v>
      </c>
      <c r="D7535" s="734">
        <v>134.88876772065925</v>
      </c>
      <c r="E7535" s="733"/>
    </row>
    <row r="7536" spans="2:5">
      <c r="B7536" s="121">
        <v>658</v>
      </c>
      <c r="C7536" s="121">
        <v>9</v>
      </c>
      <c r="D7536" s="734">
        <v>140.36648198954916</v>
      </c>
      <c r="E7536" s="733"/>
    </row>
    <row r="7537" spans="2:5">
      <c r="B7537" s="121">
        <v>658</v>
      </c>
      <c r="C7537" s="121">
        <v>10</v>
      </c>
      <c r="D7537" s="734">
        <v>136.29416054888628</v>
      </c>
      <c r="E7537" s="733"/>
    </row>
    <row r="7538" spans="2:5">
      <c r="B7538" s="121">
        <v>658</v>
      </c>
      <c r="C7538" s="121">
        <v>11</v>
      </c>
      <c r="D7538" s="734">
        <v>145.62848597816171</v>
      </c>
      <c r="E7538" s="733"/>
    </row>
    <row r="7539" spans="2:5">
      <c r="B7539" s="121">
        <v>658</v>
      </c>
      <c r="C7539" s="121">
        <v>12</v>
      </c>
      <c r="D7539" s="734">
        <v>144.69226400546452</v>
      </c>
      <c r="E7539" s="733"/>
    </row>
    <row r="7540" spans="2:5">
      <c r="B7540" s="121">
        <v>658</v>
      </c>
      <c r="C7540" s="121">
        <v>13</v>
      </c>
      <c r="D7540" s="734">
        <v>141.37348684871142</v>
      </c>
      <c r="E7540" s="733"/>
    </row>
    <row r="7541" spans="2:5">
      <c r="B7541" s="121">
        <v>658</v>
      </c>
      <c r="C7541" s="121">
        <v>14</v>
      </c>
      <c r="D7541" s="734">
        <v>143.54641106012085</v>
      </c>
      <c r="E7541" s="733"/>
    </row>
    <row r="7542" spans="2:5">
      <c r="B7542" s="121">
        <v>658</v>
      </c>
      <c r="C7542" s="121">
        <v>15</v>
      </c>
      <c r="D7542" s="734">
        <v>134.4687913638117</v>
      </c>
      <c r="E7542" s="733"/>
    </row>
    <row r="7543" spans="2:5">
      <c r="B7543" s="121">
        <v>658</v>
      </c>
      <c r="C7543" s="121">
        <v>16</v>
      </c>
      <c r="D7543" s="734">
        <v>140.7779827667724</v>
      </c>
      <c r="E7543" s="733"/>
    </row>
    <row r="7544" spans="2:5">
      <c r="B7544" s="121">
        <v>658</v>
      </c>
      <c r="C7544" s="121">
        <v>17</v>
      </c>
      <c r="D7544" s="734">
        <v>141.04640220303276</v>
      </c>
      <c r="E7544" s="733"/>
    </row>
    <row r="7545" spans="2:5">
      <c r="B7545" s="121">
        <v>658</v>
      </c>
      <c r="C7545" s="121">
        <v>18</v>
      </c>
      <c r="D7545" s="734">
        <v>137.92147741402977</v>
      </c>
      <c r="E7545" s="733"/>
    </row>
    <row r="7546" spans="2:5">
      <c r="B7546" s="121">
        <v>658</v>
      </c>
      <c r="C7546" s="121">
        <v>19</v>
      </c>
      <c r="D7546" s="734">
        <v>142.72243619844659</v>
      </c>
      <c r="E7546" s="733"/>
    </row>
    <row r="7547" spans="2:5">
      <c r="B7547" s="121">
        <v>658</v>
      </c>
      <c r="C7547" s="121">
        <v>20</v>
      </c>
      <c r="D7547" s="734">
        <v>138.9887723481983</v>
      </c>
      <c r="E7547" s="733"/>
    </row>
    <row r="7548" spans="2:5">
      <c r="B7548" s="121">
        <v>658</v>
      </c>
      <c r="C7548" s="121">
        <v>21</v>
      </c>
      <c r="D7548" s="734">
        <v>144.01589668113448</v>
      </c>
      <c r="E7548" s="733"/>
    </row>
    <row r="7549" spans="2:5">
      <c r="B7549" s="121">
        <v>658</v>
      </c>
      <c r="C7549" s="121">
        <v>22</v>
      </c>
      <c r="D7549" s="734">
        <v>136.45223593667259</v>
      </c>
      <c r="E7549" s="733"/>
    </row>
    <row r="7550" spans="2:5">
      <c r="B7550" s="121">
        <v>658</v>
      </c>
      <c r="C7550" s="121">
        <v>23</v>
      </c>
      <c r="D7550" s="734">
        <v>143.5972877872801</v>
      </c>
      <c r="E7550" s="733"/>
    </row>
    <row r="7551" spans="2:5">
      <c r="B7551" s="121">
        <v>658</v>
      </c>
      <c r="C7551" s="121">
        <v>24</v>
      </c>
      <c r="D7551" s="734">
        <v>141.78325146725962</v>
      </c>
      <c r="E7551" s="733"/>
    </row>
    <row r="7552" spans="2:5">
      <c r="B7552" s="121">
        <v>658</v>
      </c>
      <c r="C7552" s="121">
        <v>25</v>
      </c>
      <c r="D7552" s="734">
        <v>145.73676025536361</v>
      </c>
      <c r="E7552" s="733"/>
    </row>
    <row r="7553" spans="2:5">
      <c r="B7553" s="121">
        <v>658</v>
      </c>
      <c r="C7553" s="121">
        <v>26</v>
      </c>
      <c r="D7553" s="734">
        <v>139.37914928529062</v>
      </c>
      <c r="E7553" s="733"/>
    </row>
    <row r="7554" spans="2:5">
      <c r="B7554" s="121">
        <v>658</v>
      </c>
      <c r="C7554" s="121">
        <v>27</v>
      </c>
      <c r="D7554" s="734">
        <v>134.49557444714864</v>
      </c>
      <c r="E7554" s="733"/>
    </row>
    <row r="7555" spans="2:5">
      <c r="B7555" s="121">
        <v>658</v>
      </c>
      <c r="C7555" s="121">
        <v>28</v>
      </c>
      <c r="D7555" s="734">
        <v>146.74637474635816</v>
      </c>
      <c r="E7555" s="733"/>
    </row>
    <row r="7556" spans="2:5">
      <c r="B7556" s="121">
        <v>658</v>
      </c>
      <c r="C7556" s="121">
        <v>29</v>
      </c>
      <c r="D7556" s="734">
        <v>136.18341648668434</v>
      </c>
      <c r="E7556" s="733"/>
    </row>
    <row r="7557" spans="2:5">
      <c r="B7557" s="121">
        <v>658</v>
      </c>
      <c r="C7557" s="121">
        <v>30</v>
      </c>
      <c r="D7557" s="734">
        <v>145.05939004702537</v>
      </c>
      <c r="E7557" s="733"/>
    </row>
    <row r="7558" spans="2:5">
      <c r="B7558" s="121">
        <v>659</v>
      </c>
      <c r="C7558" s="121">
        <v>1</v>
      </c>
      <c r="D7558" s="734">
        <v>5</v>
      </c>
      <c r="E7558" s="733"/>
    </row>
    <row r="7559" spans="2:5">
      <c r="B7559" s="121">
        <v>660</v>
      </c>
      <c r="C7559" s="121">
        <v>1</v>
      </c>
      <c r="D7559" s="734">
        <v>5</v>
      </c>
      <c r="E7559" s="733"/>
    </row>
    <row r="7560" spans="2:5">
      <c r="B7560" s="121">
        <v>660</v>
      </c>
      <c r="C7560" s="121">
        <v>2</v>
      </c>
      <c r="D7560" s="734">
        <v>98.526445129275928</v>
      </c>
      <c r="E7560" s="733"/>
    </row>
    <row r="7561" spans="2:5">
      <c r="B7561" s="121">
        <v>660</v>
      </c>
      <c r="C7561" s="121">
        <v>3</v>
      </c>
      <c r="D7561" s="734">
        <v>121.66552921640405</v>
      </c>
      <c r="E7561" s="733"/>
    </row>
    <row r="7562" spans="2:5">
      <c r="B7562" s="121">
        <v>660</v>
      </c>
      <c r="C7562" s="121">
        <v>4</v>
      </c>
      <c r="D7562" s="734">
        <v>143.04692468664632</v>
      </c>
      <c r="E7562" s="733"/>
    </row>
    <row r="7563" spans="2:5">
      <c r="B7563" s="121">
        <v>660</v>
      </c>
      <c r="C7563" s="121">
        <v>5</v>
      </c>
      <c r="D7563" s="734">
        <v>135.71659330775418</v>
      </c>
      <c r="E7563" s="733"/>
    </row>
    <row r="7564" spans="2:5">
      <c r="B7564" s="121">
        <v>660</v>
      </c>
      <c r="C7564" s="121">
        <v>6</v>
      </c>
      <c r="D7564" s="734">
        <v>143.61307830553426</v>
      </c>
      <c r="E7564" s="733"/>
    </row>
    <row r="7565" spans="2:5">
      <c r="B7565" s="121">
        <v>660</v>
      </c>
      <c r="C7565" s="121">
        <v>7</v>
      </c>
      <c r="D7565" s="734">
        <v>135.00359564956497</v>
      </c>
      <c r="E7565" s="733"/>
    </row>
    <row r="7566" spans="2:5">
      <c r="B7566" s="121">
        <v>660</v>
      </c>
      <c r="C7566" s="121">
        <v>8</v>
      </c>
      <c r="D7566" s="734">
        <v>146.31448218847737</v>
      </c>
      <c r="E7566" s="733"/>
    </row>
    <row r="7567" spans="2:5">
      <c r="B7567" s="121">
        <v>660</v>
      </c>
      <c r="C7567" s="121">
        <v>9</v>
      </c>
      <c r="D7567" s="734">
        <v>146.98410487877709</v>
      </c>
      <c r="E7567" s="733"/>
    </row>
    <row r="7568" spans="2:5">
      <c r="B7568" s="121">
        <v>660</v>
      </c>
      <c r="C7568" s="121">
        <v>10</v>
      </c>
      <c r="D7568" s="734">
        <v>141.08575160569484</v>
      </c>
      <c r="E7568" s="733"/>
    </row>
    <row r="7569" spans="2:5">
      <c r="B7569" s="121">
        <v>660</v>
      </c>
      <c r="C7569" s="121">
        <v>11</v>
      </c>
      <c r="D7569" s="734">
        <v>139.90837359890824</v>
      </c>
      <c r="E7569" s="733"/>
    </row>
    <row r="7570" spans="2:5">
      <c r="B7570" s="121">
        <v>660</v>
      </c>
      <c r="C7570" s="121">
        <v>12</v>
      </c>
      <c r="D7570" s="734">
        <v>136.50631465800899</v>
      </c>
      <c r="E7570" s="733"/>
    </row>
    <row r="7571" spans="2:5">
      <c r="B7571" s="121">
        <v>660</v>
      </c>
      <c r="C7571" s="121">
        <v>13</v>
      </c>
      <c r="D7571" s="734">
        <v>144.35552423751182</v>
      </c>
      <c r="E7571" s="733"/>
    </row>
    <row r="7572" spans="2:5">
      <c r="B7572" s="121">
        <v>660</v>
      </c>
      <c r="C7572" s="121">
        <v>14</v>
      </c>
      <c r="D7572" s="734">
        <v>137.7068815826253</v>
      </c>
      <c r="E7572" s="733"/>
    </row>
    <row r="7573" spans="2:5">
      <c r="B7573" s="121">
        <v>660</v>
      </c>
      <c r="C7573" s="121">
        <v>15</v>
      </c>
      <c r="D7573" s="734">
        <v>143.61420456790268</v>
      </c>
      <c r="E7573" s="733"/>
    </row>
    <row r="7574" spans="2:5">
      <c r="B7574" s="121">
        <v>660</v>
      </c>
      <c r="C7574" s="121">
        <v>16</v>
      </c>
      <c r="D7574" s="734">
        <v>143.53013176596224</v>
      </c>
      <c r="E7574" s="733"/>
    </row>
    <row r="7575" spans="2:5">
      <c r="B7575" s="121">
        <v>660</v>
      </c>
      <c r="C7575" s="121">
        <v>17</v>
      </c>
      <c r="D7575" s="734">
        <v>146.38035874041225</v>
      </c>
      <c r="E7575" s="733"/>
    </row>
    <row r="7576" spans="2:5">
      <c r="B7576" s="121">
        <v>660</v>
      </c>
      <c r="C7576" s="121">
        <v>18</v>
      </c>
      <c r="D7576" s="734">
        <v>140.93673648102035</v>
      </c>
      <c r="E7576" s="733"/>
    </row>
    <row r="7577" spans="2:5">
      <c r="B7577" s="121">
        <v>660</v>
      </c>
      <c r="C7577" s="121">
        <v>19</v>
      </c>
      <c r="D7577" s="734">
        <v>133.73749301348616</v>
      </c>
      <c r="E7577" s="733"/>
    </row>
    <row r="7578" spans="2:5">
      <c r="B7578" s="121">
        <v>660</v>
      </c>
      <c r="C7578" s="121">
        <v>20</v>
      </c>
      <c r="D7578" s="734">
        <v>139.22385951668872</v>
      </c>
      <c r="E7578" s="733"/>
    </row>
    <row r="7579" spans="2:5">
      <c r="B7579" s="121">
        <v>660</v>
      </c>
      <c r="C7579" s="121">
        <v>21</v>
      </c>
      <c r="D7579" s="734">
        <v>143.42930173527014</v>
      </c>
      <c r="E7579" s="733"/>
    </row>
    <row r="7580" spans="2:5">
      <c r="B7580" s="121">
        <v>660</v>
      </c>
      <c r="C7580" s="121">
        <v>22</v>
      </c>
      <c r="D7580" s="734">
        <v>133.98450442973044</v>
      </c>
      <c r="E7580" s="733"/>
    </row>
    <row r="7581" spans="2:5">
      <c r="B7581" s="121">
        <v>660</v>
      </c>
      <c r="C7581" s="121">
        <v>23</v>
      </c>
      <c r="D7581" s="734">
        <v>146.7483654349665</v>
      </c>
      <c r="E7581" s="733"/>
    </row>
    <row r="7582" spans="2:5">
      <c r="B7582" s="121">
        <v>660</v>
      </c>
      <c r="C7582" s="121">
        <v>24</v>
      </c>
      <c r="D7582" s="734">
        <v>141.05314844875346</v>
      </c>
      <c r="E7582" s="733"/>
    </row>
    <row r="7583" spans="2:5">
      <c r="B7583" s="121">
        <v>660</v>
      </c>
      <c r="C7583" s="121">
        <v>25</v>
      </c>
      <c r="D7583" s="734">
        <v>141.61855710423004</v>
      </c>
      <c r="E7583" s="733"/>
    </row>
    <row r="7584" spans="2:5">
      <c r="B7584" s="121">
        <v>660</v>
      </c>
      <c r="C7584" s="121">
        <v>26</v>
      </c>
      <c r="D7584" s="734">
        <v>139.8402646840776</v>
      </c>
      <c r="E7584" s="733"/>
    </row>
    <row r="7585" spans="2:5">
      <c r="B7585" s="121">
        <v>660</v>
      </c>
      <c r="C7585" s="121">
        <v>27</v>
      </c>
      <c r="D7585" s="734">
        <v>141.52817008925169</v>
      </c>
      <c r="E7585" s="733"/>
    </row>
    <row r="7586" spans="2:5">
      <c r="B7586" s="121">
        <v>660</v>
      </c>
      <c r="C7586" s="121">
        <v>28</v>
      </c>
      <c r="D7586" s="734">
        <v>145.66205358408882</v>
      </c>
      <c r="E7586" s="733"/>
    </row>
    <row r="7587" spans="2:5">
      <c r="B7587" s="121">
        <v>660</v>
      </c>
      <c r="C7587" s="121">
        <v>29</v>
      </c>
      <c r="D7587" s="734">
        <v>134.70274732884869</v>
      </c>
      <c r="E7587" s="733"/>
    </row>
    <row r="7588" spans="2:5">
      <c r="B7588" s="121">
        <v>660</v>
      </c>
      <c r="C7588" s="121">
        <v>30</v>
      </c>
      <c r="D7588" s="734">
        <v>145.70621170458597</v>
      </c>
      <c r="E7588" s="733"/>
    </row>
    <row r="7589" spans="2:5">
      <c r="B7589" s="121">
        <v>660</v>
      </c>
      <c r="C7589" s="121">
        <v>31</v>
      </c>
      <c r="D7589" s="734">
        <v>145.59282864916531</v>
      </c>
      <c r="E7589" s="733"/>
    </row>
    <row r="7590" spans="2:5">
      <c r="B7590" s="121">
        <v>660</v>
      </c>
      <c r="C7590" s="121">
        <v>32</v>
      </c>
      <c r="D7590" s="734">
        <v>139.8112887417941</v>
      </c>
      <c r="E7590" s="733"/>
    </row>
    <row r="7591" spans="2:5">
      <c r="B7591" s="121">
        <v>661</v>
      </c>
      <c r="C7591" s="121">
        <v>1</v>
      </c>
      <c r="D7591" s="734">
        <v>5</v>
      </c>
      <c r="E7591" s="733"/>
    </row>
    <row r="7592" spans="2:5">
      <c r="B7592" s="121">
        <v>661</v>
      </c>
      <c r="C7592" s="121">
        <v>2</v>
      </c>
      <c r="D7592" s="734">
        <v>98.819616239970742</v>
      </c>
      <c r="E7592" s="733"/>
    </row>
    <row r="7593" spans="2:5">
      <c r="B7593" s="121">
        <v>661</v>
      </c>
      <c r="C7593" s="121">
        <v>3</v>
      </c>
      <c r="D7593" s="734">
        <v>118.85986148425535</v>
      </c>
      <c r="E7593" s="733"/>
    </row>
    <row r="7594" spans="2:5">
      <c r="B7594" s="121">
        <v>661</v>
      </c>
      <c r="C7594" s="121">
        <v>4</v>
      </c>
      <c r="D7594" s="734">
        <v>147.26394277377469</v>
      </c>
      <c r="E7594" s="733"/>
    </row>
    <row r="7595" spans="2:5">
      <c r="B7595" s="121">
        <v>661</v>
      </c>
      <c r="C7595" s="121">
        <v>5</v>
      </c>
      <c r="D7595" s="734">
        <v>140.99461430311797</v>
      </c>
      <c r="E7595" s="733"/>
    </row>
    <row r="7596" spans="2:5">
      <c r="B7596" s="121">
        <v>661</v>
      </c>
      <c r="C7596" s="121">
        <v>6</v>
      </c>
      <c r="D7596" s="734">
        <v>145.84782444467493</v>
      </c>
      <c r="E7596" s="733"/>
    </row>
    <row r="7597" spans="2:5">
      <c r="B7597" s="121">
        <v>661</v>
      </c>
      <c r="C7597" s="121">
        <v>7</v>
      </c>
      <c r="D7597" s="734">
        <v>140.47727504905055</v>
      </c>
      <c r="E7597" s="733"/>
    </row>
    <row r="7598" spans="2:5">
      <c r="B7598" s="121">
        <v>662</v>
      </c>
      <c r="C7598" s="121">
        <v>1</v>
      </c>
      <c r="D7598" s="734">
        <v>5</v>
      </c>
      <c r="E7598" s="733"/>
    </row>
    <row r="7599" spans="2:5">
      <c r="B7599" s="121">
        <v>662</v>
      </c>
      <c r="C7599" s="121">
        <v>2</v>
      </c>
      <c r="D7599" s="734">
        <v>96.201943168013983</v>
      </c>
      <c r="E7599" s="733"/>
    </row>
    <row r="7600" spans="2:5">
      <c r="B7600" s="121">
        <v>662</v>
      </c>
      <c r="C7600" s="121">
        <v>3</v>
      </c>
      <c r="D7600" s="734">
        <v>115.9412074727947</v>
      </c>
      <c r="E7600" s="733"/>
    </row>
    <row r="7601" spans="2:5">
      <c r="B7601" s="121">
        <v>662</v>
      </c>
      <c r="C7601" s="121">
        <v>4</v>
      </c>
      <c r="D7601" s="734">
        <v>140.93679846517909</v>
      </c>
      <c r="E7601" s="733"/>
    </row>
    <row r="7602" spans="2:5">
      <c r="B7602" s="121">
        <v>662</v>
      </c>
      <c r="C7602" s="121">
        <v>5</v>
      </c>
      <c r="D7602" s="734">
        <v>145.04293070864802</v>
      </c>
      <c r="E7602" s="733"/>
    </row>
    <row r="7603" spans="2:5">
      <c r="B7603" s="121">
        <v>662</v>
      </c>
      <c r="C7603" s="121">
        <v>6</v>
      </c>
      <c r="D7603" s="734">
        <v>142.03715949925825</v>
      </c>
      <c r="E7603" s="733"/>
    </row>
    <row r="7604" spans="2:5">
      <c r="B7604" s="121">
        <v>663</v>
      </c>
      <c r="C7604" s="121">
        <v>1</v>
      </c>
      <c r="D7604" s="734">
        <v>5</v>
      </c>
      <c r="E7604" s="733"/>
    </row>
    <row r="7605" spans="2:5">
      <c r="B7605" s="121">
        <v>664</v>
      </c>
      <c r="C7605" s="121">
        <v>1</v>
      </c>
      <c r="D7605" s="734">
        <v>5</v>
      </c>
      <c r="E7605" s="733"/>
    </row>
    <row r="7606" spans="2:5">
      <c r="B7606" s="121">
        <v>665</v>
      </c>
      <c r="C7606" s="121">
        <v>1</v>
      </c>
      <c r="D7606" s="734">
        <v>5</v>
      </c>
      <c r="E7606" s="733"/>
    </row>
    <row r="7607" spans="2:5">
      <c r="B7607" s="121">
        <v>666</v>
      </c>
      <c r="C7607" s="121">
        <v>1</v>
      </c>
      <c r="D7607" s="734">
        <v>5</v>
      </c>
      <c r="E7607" s="733"/>
    </row>
    <row r="7608" spans="2:5">
      <c r="B7608" s="121">
        <v>666</v>
      </c>
      <c r="C7608" s="121">
        <v>2</v>
      </c>
      <c r="D7608" s="734">
        <v>100.1526976603871</v>
      </c>
      <c r="E7608" s="733"/>
    </row>
    <row r="7609" spans="2:5">
      <c r="B7609" s="121">
        <v>667</v>
      </c>
      <c r="C7609" s="121">
        <v>1</v>
      </c>
      <c r="D7609" s="734">
        <v>5</v>
      </c>
      <c r="E7609" s="733"/>
    </row>
    <row r="7610" spans="2:5">
      <c r="B7610" s="121">
        <v>667</v>
      </c>
      <c r="C7610" s="121">
        <v>2</v>
      </c>
      <c r="D7610" s="734">
        <v>99.811197715884276</v>
      </c>
      <c r="E7610" s="733"/>
    </row>
    <row r="7611" spans="2:5">
      <c r="B7611" s="121">
        <v>668</v>
      </c>
      <c r="C7611" s="121">
        <v>1</v>
      </c>
      <c r="D7611" s="734">
        <v>5</v>
      </c>
      <c r="E7611" s="733"/>
    </row>
    <row r="7612" spans="2:5">
      <c r="B7612" s="121">
        <v>668</v>
      </c>
      <c r="C7612" s="121">
        <v>2</v>
      </c>
      <c r="D7612" s="734">
        <v>100.92754976296384</v>
      </c>
      <c r="E7612" s="733"/>
    </row>
    <row r="7613" spans="2:5">
      <c r="B7613" s="121">
        <v>668</v>
      </c>
      <c r="C7613" s="121">
        <v>3</v>
      </c>
      <c r="D7613" s="734">
        <v>123.97542083475365</v>
      </c>
      <c r="E7613" s="733"/>
    </row>
    <row r="7614" spans="2:5">
      <c r="B7614" s="121">
        <v>668</v>
      </c>
      <c r="C7614" s="121">
        <v>4</v>
      </c>
      <c r="D7614" s="734">
        <v>136.90457511123049</v>
      </c>
      <c r="E7614" s="733"/>
    </row>
    <row r="7615" spans="2:5">
      <c r="B7615" s="121">
        <v>668</v>
      </c>
      <c r="C7615" s="121">
        <v>5</v>
      </c>
      <c r="D7615" s="734">
        <v>145.44711460524803</v>
      </c>
      <c r="E7615" s="733"/>
    </row>
    <row r="7616" spans="2:5">
      <c r="B7616" s="121">
        <v>668</v>
      </c>
      <c r="C7616" s="121">
        <v>6</v>
      </c>
      <c r="D7616" s="734">
        <v>143.76948686442935</v>
      </c>
      <c r="E7616" s="733"/>
    </row>
    <row r="7617" spans="2:5">
      <c r="B7617" s="121">
        <v>668</v>
      </c>
      <c r="C7617" s="121">
        <v>7</v>
      </c>
      <c r="D7617" s="734">
        <v>146.02052845611891</v>
      </c>
      <c r="E7617" s="733"/>
    </row>
    <row r="7618" spans="2:5">
      <c r="B7618" s="121">
        <v>668</v>
      </c>
      <c r="C7618" s="121">
        <v>8</v>
      </c>
      <c r="D7618" s="734">
        <v>139.53698993202406</v>
      </c>
      <c r="E7618" s="733"/>
    </row>
    <row r="7619" spans="2:5">
      <c r="B7619" s="121">
        <v>668</v>
      </c>
      <c r="C7619" s="121">
        <v>9</v>
      </c>
      <c r="D7619" s="734">
        <v>142.57932185039991</v>
      </c>
      <c r="E7619" s="733"/>
    </row>
    <row r="7620" spans="2:5">
      <c r="B7620" s="121">
        <v>668</v>
      </c>
      <c r="C7620" s="121">
        <v>10</v>
      </c>
      <c r="D7620" s="734">
        <v>138.31645880896482</v>
      </c>
      <c r="E7620" s="733"/>
    </row>
    <row r="7621" spans="2:5">
      <c r="B7621" s="121">
        <v>669</v>
      </c>
      <c r="C7621" s="121">
        <v>1</v>
      </c>
      <c r="D7621" s="734">
        <v>5</v>
      </c>
      <c r="E7621" s="733"/>
    </row>
    <row r="7622" spans="2:5">
      <c r="B7622" s="121">
        <v>669</v>
      </c>
      <c r="C7622" s="121">
        <v>2</v>
      </c>
      <c r="D7622" s="734">
        <v>95.021563470130673</v>
      </c>
      <c r="E7622" s="733"/>
    </row>
    <row r="7623" spans="2:5">
      <c r="B7623" s="121">
        <v>669</v>
      </c>
      <c r="C7623" s="121">
        <v>3</v>
      </c>
      <c r="D7623" s="734">
        <v>124.01014347473938</v>
      </c>
      <c r="E7623" s="733"/>
    </row>
    <row r="7624" spans="2:5">
      <c r="B7624" s="121">
        <v>669</v>
      </c>
      <c r="C7624" s="121">
        <v>4</v>
      </c>
      <c r="D7624" s="734">
        <v>138.4069540804245</v>
      </c>
      <c r="E7624" s="733"/>
    </row>
    <row r="7625" spans="2:5">
      <c r="B7625" s="121">
        <v>669</v>
      </c>
      <c r="C7625" s="121">
        <v>5</v>
      </c>
      <c r="D7625" s="734">
        <v>143.02946797293072</v>
      </c>
      <c r="E7625" s="733"/>
    </row>
    <row r="7626" spans="2:5">
      <c r="B7626" s="121">
        <v>669</v>
      </c>
      <c r="C7626" s="121">
        <v>6</v>
      </c>
      <c r="D7626" s="734">
        <v>135.73927110576466</v>
      </c>
      <c r="E7626" s="733"/>
    </row>
    <row r="7627" spans="2:5">
      <c r="B7627" s="121">
        <v>669</v>
      </c>
      <c r="C7627" s="121">
        <v>7</v>
      </c>
      <c r="D7627" s="734">
        <v>136.17308523415724</v>
      </c>
      <c r="E7627" s="733"/>
    </row>
    <row r="7628" spans="2:5">
      <c r="B7628" s="121">
        <v>669</v>
      </c>
      <c r="C7628" s="121">
        <v>8</v>
      </c>
      <c r="D7628" s="734">
        <v>138.27797211140083</v>
      </c>
      <c r="E7628" s="733"/>
    </row>
    <row r="7629" spans="2:5">
      <c r="B7629" s="121">
        <v>669</v>
      </c>
      <c r="C7629" s="121">
        <v>9</v>
      </c>
      <c r="D7629" s="734">
        <v>142.91246702017523</v>
      </c>
      <c r="E7629" s="733"/>
    </row>
    <row r="7630" spans="2:5">
      <c r="B7630" s="121">
        <v>669</v>
      </c>
      <c r="C7630" s="121">
        <v>10</v>
      </c>
      <c r="D7630" s="734">
        <v>137.20355172177574</v>
      </c>
      <c r="E7630" s="733"/>
    </row>
    <row r="7631" spans="2:5">
      <c r="B7631" s="121">
        <v>669</v>
      </c>
      <c r="C7631" s="121">
        <v>11</v>
      </c>
      <c r="D7631" s="734">
        <v>146.45242334116074</v>
      </c>
      <c r="E7631" s="733"/>
    </row>
    <row r="7632" spans="2:5">
      <c r="B7632" s="121">
        <v>669</v>
      </c>
      <c r="C7632" s="121">
        <v>12</v>
      </c>
      <c r="D7632" s="734">
        <v>146.48467845138131</v>
      </c>
      <c r="E7632" s="733"/>
    </row>
    <row r="7633" spans="2:5">
      <c r="B7633" s="121">
        <v>669</v>
      </c>
      <c r="C7633" s="121">
        <v>13</v>
      </c>
      <c r="D7633" s="734">
        <v>138.71553838286323</v>
      </c>
      <c r="E7633" s="733"/>
    </row>
    <row r="7634" spans="2:5">
      <c r="B7634" s="121">
        <v>669</v>
      </c>
      <c r="C7634" s="121">
        <v>14</v>
      </c>
      <c r="D7634" s="734">
        <v>144.76188009752093</v>
      </c>
      <c r="E7634" s="733"/>
    </row>
    <row r="7635" spans="2:5">
      <c r="B7635" s="121">
        <v>669</v>
      </c>
      <c r="C7635" s="121">
        <v>15</v>
      </c>
      <c r="D7635" s="734">
        <v>139.31667454311767</v>
      </c>
      <c r="E7635" s="733"/>
    </row>
    <row r="7636" spans="2:5">
      <c r="B7636" s="121">
        <v>669</v>
      </c>
      <c r="C7636" s="121">
        <v>16</v>
      </c>
      <c r="D7636" s="734">
        <v>143.80219619589806</v>
      </c>
      <c r="E7636" s="733"/>
    </row>
    <row r="7637" spans="2:5">
      <c r="B7637" s="121">
        <v>669</v>
      </c>
      <c r="C7637" s="121">
        <v>17</v>
      </c>
      <c r="D7637" s="734">
        <v>137.85905834904173</v>
      </c>
      <c r="E7637" s="733"/>
    </row>
    <row r="7638" spans="2:5">
      <c r="B7638" s="121">
        <v>669</v>
      </c>
      <c r="C7638" s="121">
        <v>18</v>
      </c>
      <c r="D7638" s="734">
        <v>146.53677386718644</v>
      </c>
      <c r="E7638" s="733"/>
    </row>
    <row r="7639" spans="2:5">
      <c r="B7639" s="121">
        <v>670</v>
      </c>
      <c r="C7639" s="121">
        <v>1</v>
      </c>
      <c r="D7639" s="734">
        <v>5</v>
      </c>
      <c r="E7639" s="733"/>
    </row>
    <row r="7640" spans="2:5">
      <c r="B7640" s="121">
        <v>670</v>
      </c>
      <c r="C7640" s="121">
        <v>2</v>
      </c>
      <c r="D7640" s="734">
        <v>100.78719648910672</v>
      </c>
      <c r="E7640" s="733"/>
    </row>
    <row r="7641" spans="2:5">
      <c r="B7641" s="121">
        <v>670</v>
      </c>
      <c r="C7641" s="121">
        <v>3</v>
      </c>
      <c r="D7641" s="734">
        <v>124.97857449373311</v>
      </c>
      <c r="E7641" s="733"/>
    </row>
    <row r="7642" spans="2:5">
      <c r="B7642" s="121">
        <v>670</v>
      </c>
      <c r="C7642" s="121">
        <v>4</v>
      </c>
      <c r="D7642" s="734">
        <v>145.88240515831419</v>
      </c>
      <c r="E7642" s="733"/>
    </row>
    <row r="7643" spans="2:5">
      <c r="B7643" s="121">
        <v>670</v>
      </c>
      <c r="C7643" s="121">
        <v>5</v>
      </c>
      <c r="D7643" s="734">
        <v>138.21864585563833</v>
      </c>
      <c r="E7643" s="733"/>
    </row>
    <row r="7644" spans="2:5">
      <c r="B7644" s="121">
        <v>670</v>
      </c>
      <c r="C7644" s="121">
        <v>6</v>
      </c>
      <c r="D7644" s="734">
        <v>145.64553349611143</v>
      </c>
      <c r="E7644" s="733"/>
    </row>
    <row r="7645" spans="2:5">
      <c r="B7645" s="121">
        <v>670</v>
      </c>
      <c r="C7645" s="121">
        <v>7</v>
      </c>
      <c r="D7645" s="734">
        <v>136.53795706759931</v>
      </c>
      <c r="E7645" s="733"/>
    </row>
    <row r="7646" spans="2:5">
      <c r="B7646" s="121">
        <v>670</v>
      </c>
      <c r="C7646" s="121">
        <v>8</v>
      </c>
      <c r="D7646" s="734">
        <v>143.82074629204459</v>
      </c>
      <c r="E7646" s="733"/>
    </row>
    <row r="7647" spans="2:5">
      <c r="B7647" s="121">
        <v>670</v>
      </c>
      <c r="C7647" s="121">
        <v>9</v>
      </c>
      <c r="D7647" s="734">
        <v>146.01159825103491</v>
      </c>
      <c r="E7647" s="733"/>
    </row>
    <row r="7648" spans="2:5">
      <c r="B7648" s="121">
        <v>670</v>
      </c>
      <c r="C7648" s="121">
        <v>10</v>
      </c>
      <c r="D7648" s="734">
        <v>144.60829651840908</v>
      </c>
      <c r="E7648" s="733"/>
    </row>
    <row r="7649" spans="2:5">
      <c r="B7649" s="121">
        <v>670</v>
      </c>
      <c r="C7649" s="121">
        <v>11</v>
      </c>
      <c r="D7649" s="734">
        <v>135.88887030050168</v>
      </c>
      <c r="E7649" s="733"/>
    </row>
    <row r="7650" spans="2:5">
      <c r="B7650" s="121">
        <v>670</v>
      </c>
      <c r="C7650" s="121">
        <v>12</v>
      </c>
      <c r="D7650" s="734">
        <v>137.51940607930015</v>
      </c>
      <c r="E7650" s="733"/>
    </row>
    <row r="7651" spans="2:5">
      <c r="B7651" s="121">
        <v>670</v>
      </c>
      <c r="C7651" s="121">
        <v>13</v>
      </c>
      <c r="D7651" s="734">
        <v>141.40794469775815</v>
      </c>
      <c r="E7651" s="733"/>
    </row>
    <row r="7652" spans="2:5">
      <c r="B7652" s="121">
        <v>670</v>
      </c>
      <c r="C7652" s="121">
        <v>14</v>
      </c>
      <c r="D7652" s="734">
        <v>135.55680118230231</v>
      </c>
      <c r="E7652" s="733"/>
    </row>
    <row r="7653" spans="2:5">
      <c r="B7653" s="121">
        <v>670</v>
      </c>
      <c r="C7653" s="121">
        <v>15</v>
      </c>
      <c r="D7653" s="734">
        <v>139.39151606136659</v>
      </c>
      <c r="E7653" s="733"/>
    </row>
    <row r="7654" spans="2:5">
      <c r="B7654" s="121">
        <v>670</v>
      </c>
      <c r="C7654" s="121">
        <v>16</v>
      </c>
      <c r="D7654" s="734">
        <v>144.82266912423697</v>
      </c>
      <c r="E7654" s="733"/>
    </row>
    <row r="7655" spans="2:5">
      <c r="B7655" s="121">
        <v>671</v>
      </c>
      <c r="C7655" s="121">
        <v>1</v>
      </c>
      <c r="D7655" s="734">
        <v>5</v>
      </c>
      <c r="E7655" s="733"/>
    </row>
    <row r="7656" spans="2:5">
      <c r="B7656" s="121">
        <v>671</v>
      </c>
      <c r="C7656" s="121">
        <v>2</v>
      </c>
      <c r="D7656" s="734">
        <v>102.96411434337026</v>
      </c>
      <c r="E7656" s="733"/>
    </row>
    <row r="7657" spans="2:5">
      <c r="B7657" s="121">
        <v>672</v>
      </c>
      <c r="C7657" s="121">
        <v>1</v>
      </c>
      <c r="D7657" s="734">
        <v>5</v>
      </c>
      <c r="E7657" s="733"/>
    </row>
    <row r="7658" spans="2:5">
      <c r="B7658" s="121">
        <v>672</v>
      </c>
      <c r="C7658" s="121">
        <v>2</v>
      </c>
      <c r="D7658" s="734">
        <v>98.072661648371039</v>
      </c>
      <c r="E7658" s="733"/>
    </row>
    <row r="7659" spans="2:5">
      <c r="B7659" s="121">
        <v>672</v>
      </c>
      <c r="C7659" s="121">
        <v>3</v>
      </c>
      <c r="D7659" s="734">
        <v>121.29919383871216</v>
      </c>
      <c r="E7659" s="733"/>
    </row>
    <row r="7660" spans="2:5">
      <c r="B7660" s="121">
        <v>672</v>
      </c>
      <c r="C7660" s="121">
        <v>4</v>
      </c>
      <c r="D7660" s="734">
        <v>136.41389109748607</v>
      </c>
      <c r="E7660" s="733"/>
    </row>
    <row r="7661" spans="2:5">
      <c r="B7661" s="121">
        <v>672</v>
      </c>
      <c r="C7661" s="121">
        <v>5</v>
      </c>
      <c r="D7661" s="734">
        <v>143.99219362707419</v>
      </c>
      <c r="E7661" s="733"/>
    </row>
    <row r="7662" spans="2:5">
      <c r="B7662" s="121">
        <v>672</v>
      </c>
      <c r="C7662" s="121">
        <v>6</v>
      </c>
      <c r="D7662" s="734">
        <v>143.0552074379186</v>
      </c>
      <c r="E7662" s="733"/>
    </row>
    <row r="7663" spans="2:5">
      <c r="B7663" s="121">
        <v>672</v>
      </c>
      <c r="C7663" s="121">
        <v>7</v>
      </c>
      <c r="D7663" s="734">
        <v>139.31330619505192</v>
      </c>
      <c r="E7663" s="733"/>
    </row>
    <row r="7664" spans="2:5">
      <c r="B7664" s="121">
        <v>672</v>
      </c>
      <c r="C7664" s="121">
        <v>8</v>
      </c>
      <c r="D7664" s="734">
        <v>138.34785094222224</v>
      </c>
      <c r="E7664" s="733"/>
    </row>
    <row r="7665" spans="2:5">
      <c r="B7665" s="121">
        <v>672</v>
      </c>
      <c r="C7665" s="121">
        <v>9</v>
      </c>
      <c r="D7665" s="734">
        <v>142.34525237329737</v>
      </c>
      <c r="E7665" s="733"/>
    </row>
    <row r="7666" spans="2:5">
      <c r="B7666" s="121">
        <v>672</v>
      </c>
      <c r="C7666" s="121">
        <v>10</v>
      </c>
      <c r="D7666" s="734">
        <v>136.92795947169492</v>
      </c>
      <c r="E7666" s="733"/>
    </row>
    <row r="7667" spans="2:5">
      <c r="B7667" s="121">
        <v>672</v>
      </c>
      <c r="C7667" s="121">
        <v>11</v>
      </c>
      <c r="D7667" s="734">
        <v>139.73866413877548</v>
      </c>
      <c r="E7667" s="733"/>
    </row>
    <row r="7668" spans="2:5">
      <c r="B7668" s="121">
        <v>672</v>
      </c>
      <c r="C7668" s="121">
        <v>12</v>
      </c>
      <c r="D7668" s="734">
        <v>143.04093226376673</v>
      </c>
      <c r="E7668" s="733"/>
    </row>
    <row r="7669" spans="2:5">
      <c r="B7669" s="121">
        <v>672</v>
      </c>
      <c r="C7669" s="121">
        <v>13</v>
      </c>
      <c r="D7669" s="734">
        <v>142.60265202344578</v>
      </c>
      <c r="E7669" s="733"/>
    </row>
    <row r="7670" spans="2:5">
      <c r="B7670" s="121">
        <v>672</v>
      </c>
      <c r="C7670" s="121">
        <v>14</v>
      </c>
      <c r="D7670" s="734">
        <v>134.0398689494647</v>
      </c>
      <c r="E7670" s="733"/>
    </row>
    <row r="7671" spans="2:5">
      <c r="B7671" s="121">
        <v>672</v>
      </c>
      <c r="C7671" s="121">
        <v>15</v>
      </c>
      <c r="D7671" s="734">
        <v>143.35985057784583</v>
      </c>
      <c r="E7671" s="733"/>
    </row>
    <row r="7672" spans="2:5">
      <c r="B7672" s="121">
        <v>672</v>
      </c>
      <c r="C7672" s="121">
        <v>16</v>
      </c>
      <c r="D7672" s="734">
        <v>139.91184085078007</v>
      </c>
      <c r="E7672" s="733"/>
    </row>
    <row r="7673" spans="2:5">
      <c r="B7673" s="121">
        <v>672</v>
      </c>
      <c r="C7673" s="121">
        <v>17</v>
      </c>
      <c r="D7673" s="734">
        <v>139.62569504561125</v>
      </c>
      <c r="E7673" s="733"/>
    </row>
    <row r="7674" spans="2:5">
      <c r="B7674" s="121">
        <v>672</v>
      </c>
      <c r="C7674" s="121">
        <v>18</v>
      </c>
      <c r="D7674" s="734">
        <v>142.78923432358079</v>
      </c>
      <c r="E7674" s="733"/>
    </row>
    <row r="7675" spans="2:5">
      <c r="B7675" s="121">
        <v>672</v>
      </c>
      <c r="C7675" s="121">
        <v>19</v>
      </c>
      <c r="D7675" s="734">
        <v>138.36509087135332</v>
      </c>
      <c r="E7675" s="733"/>
    </row>
    <row r="7676" spans="2:5">
      <c r="B7676" s="121">
        <v>672</v>
      </c>
      <c r="C7676" s="121">
        <v>20</v>
      </c>
      <c r="D7676" s="734">
        <v>141.80441749393705</v>
      </c>
      <c r="E7676" s="733"/>
    </row>
    <row r="7677" spans="2:5">
      <c r="B7677" s="121">
        <v>672</v>
      </c>
      <c r="C7677" s="121">
        <v>21</v>
      </c>
      <c r="D7677" s="734">
        <v>138.45092512167034</v>
      </c>
      <c r="E7677" s="733"/>
    </row>
    <row r="7678" spans="2:5">
      <c r="B7678" s="121">
        <v>672</v>
      </c>
      <c r="C7678" s="121">
        <v>22</v>
      </c>
      <c r="D7678" s="734">
        <v>142.79113040301957</v>
      </c>
      <c r="E7678" s="733"/>
    </row>
    <row r="7679" spans="2:5">
      <c r="B7679" s="121">
        <v>672</v>
      </c>
      <c r="C7679" s="121">
        <v>23</v>
      </c>
      <c r="D7679" s="734">
        <v>143.60248420324865</v>
      </c>
      <c r="E7679" s="733"/>
    </row>
    <row r="7680" spans="2:5">
      <c r="B7680" s="121">
        <v>672</v>
      </c>
      <c r="C7680" s="121">
        <v>24</v>
      </c>
      <c r="D7680" s="734">
        <v>139.81749418137247</v>
      </c>
      <c r="E7680" s="733"/>
    </row>
    <row r="7681" spans="2:5">
      <c r="B7681" s="121">
        <v>672</v>
      </c>
      <c r="C7681" s="121">
        <v>25</v>
      </c>
      <c r="D7681" s="734">
        <v>134.24606065613929</v>
      </c>
      <c r="E7681" s="733"/>
    </row>
    <row r="7682" spans="2:5">
      <c r="B7682" s="121">
        <v>672</v>
      </c>
      <c r="C7682" s="121">
        <v>26</v>
      </c>
      <c r="D7682" s="734">
        <v>138.93765429583775</v>
      </c>
      <c r="E7682" s="733"/>
    </row>
    <row r="7683" spans="2:5">
      <c r="B7683" s="121">
        <v>672</v>
      </c>
      <c r="C7683" s="121">
        <v>27</v>
      </c>
      <c r="D7683" s="734">
        <v>139.71231902028703</v>
      </c>
      <c r="E7683" s="733"/>
    </row>
    <row r="7684" spans="2:5">
      <c r="B7684" s="121">
        <v>672</v>
      </c>
      <c r="C7684" s="121">
        <v>28</v>
      </c>
      <c r="D7684" s="734">
        <v>139.83657380534123</v>
      </c>
      <c r="E7684" s="733"/>
    </row>
    <row r="7685" spans="2:5">
      <c r="B7685" s="121">
        <v>672</v>
      </c>
      <c r="C7685" s="121">
        <v>29</v>
      </c>
      <c r="D7685" s="734">
        <v>135.67361809816128</v>
      </c>
      <c r="E7685" s="733"/>
    </row>
    <row r="7686" spans="2:5">
      <c r="B7686" s="121">
        <v>672</v>
      </c>
      <c r="C7686" s="121">
        <v>30</v>
      </c>
      <c r="D7686" s="734">
        <v>142.70573900529183</v>
      </c>
      <c r="E7686" s="733"/>
    </row>
    <row r="7687" spans="2:5">
      <c r="B7687" s="121">
        <v>672</v>
      </c>
      <c r="C7687" s="121">
        <v>31</v>
      </c>
      <c r="D7687" s="734">
        <v>135.01544136464389</v>
      </c>
      <c r="E7687" s="733"/>
    </row>
    <row r="7688" spans="2:5">
      <c r="B7688" s="121">
        <v>672</v>
      </c>
      <c r="C7688" s="121">
        <v>32</v>
      </c>
      <c r="D7688" s="734">
        <v>142.63550419444275</v>
      </c>
      <c r="E7688" s="733"/>
    </row>
    <row r="7689" spans="2:5">
      <c r="B7689" s="121">
        <v>672</v>
      </c>
      <c r="C7689" s="121">
        <v>33</v>
      </c>
      <c r="D7689" s="734">
        <v>136.9004879574276</v>
      </c>
      <c r="E7689" s="733"/>
    </row>
    <row r="7690" spans="2:5">
      <c r="B7690" s="121">
        <v>672</v>
      </c>
      <c r="C7690" s="121">
        <v>34</v>
      </c>
      <c r="D7690" s="734">
        <v>146.44133036505994</v>
      </c>
      <c r="E7690" s="733"/>
    </row>
    <row r="7691" spans="2:5">
      <c r="B7691" s="121">
        <v>672</v>
      </c>
      <c r="C7691" s="121">
        <v>35</v>
      </c>
      <c r="D7691" s="734">
        <v>141.70392963267935</v>
      </c>
      <c r="E7691" s="733"/>
    </row>
    <row r="7692" spans="2:5">
      <c r="B7692" s="121">
        <v>672</v>
      </c>
      <c r="C7692" s="121">
        <v>36</v>
      </c>
      <c r="D7692" s="734">
        <v>143.07547927065153</v>
      </c>
      <c r="E7692" s="733"/>
    </row>
    <row r="7693" spans="2:5">
      <c r="B7693" s="121">
        <v>673</v>
      </c>
      <c r="C7693" s="121">
        <v>1</v>
      </c>
      <c r="D7693" s="734">
        <v>5</v>
      </c>
      <c r="E7693" s="733"/>
    </row>
    <row r="7694" spans="2:5">
      <c r="B7694" s="121">
        <v>673</v>
      </c>
      <c r="C7694" s="121">
        <v>2</v>
      </c>
      <c r="D7694" s="734">
        <v>98.623288902986957</v>
      </c>
      <c r="E7694" s="733"/>
    </row>
    <row r="7695" spans="2:5">
      <c r="B7695" s="121">
        <v>673</v>
      </c>
      <c r="C7695" s="121">
        <v>3</v>
      </c>
      <c r="D7695" s="734">
        <v>114.59135617238306</v>
      </c>
      <c r="E7695" s="733"/>
    </row>
    <row r="7696" spans="2:5">
      <c r="B7696" s="121">
        <v>673</v>
      </c>
      <c r="C7696" s="121">
        <v>4</v>
      </c>
      <c r="D7696" s="734">
        <v>135.65086867762648</v>
      </c>
      <c r="E7696" s="733"/>
    </row>
    <row r="7697" spans="2:5">
      <c r="B7697" s="121">
        <v>673</v>
      </c>
      <c r="C7697" s="121">
        <v>5</v>
      </c>
      <c r="D7697" s="734">
        <v>143.78269583871463</v>
      </c>
      <c r="E7697" s="733"/>
    </row>
    <row r="7698" spans="2:5">
      <c r="B7698" s="121">
        <v>673</v>
      </c>
      <c r="C7698" s="121">
        <v>6</v>
      </c>
      <c r="D7698" s="734">
        <v>137.89880163873295</v>
      </c>
      <c r="E7698" s="733"/>
    </row>
    <row r="7699" spans="2:5">
      <c r="B7699" s="121">
        <v>673</v>
      </c>
      <c r="C7699" s="121">
        <v>7</v>
      </c>
      <c r="D7699" s="734">
        <v>144.64889449002195</v>
      </c>
      <c r="E7699" s="733"/>
    </row>
    <row r="7700" spans="2:5">
      <c r="B7700" s="121">
        <v>673</v>
      </c>
      <c r="C7700" s="121">
        <v>8</v>
      </c>
      <c r="D7700" s="734">
        <v>135.53472901033757</v>
      </c>
      <c r="E7700" s="733"/>
    </row>
    <row r="7701" spans="2:5">
      <c r="B7701" s="121">
        <v>673</v>
      </c>
      <c r="C7701" s="121">
        <v>9</v>
      </c>
      <c r="D7701" s="734">
        <v>143.23842541341443</v>
      </c>
      <c r="E7701" s="733"/>
    </row>
    <row r="7702" spans="2:5">
      <c r="B7702" s="121">
        <v>674</v>
      </c>
      <c r="C7702" s="121">
        <v>1</v>
      </c>
      <c r="D7702" s="734">
        <v>5</v>
      </c>
      <c r="E7702" s="733"/>
    </row>
    <row r="7703" spans="2:5">
      <c r="B7703" s="121">
        <v>675</v>
      </c>
      <c r="C7703" s="121">
        <v>1</v>
      </c>
      <c r="D7703" s="734">
        <v>5</v>
      </c>
      <c r="E7703" s="733"/>
    </row>
    <row r="7704" spans="2:5">
      <c r="B7704" s="121">
        <v>675</v>
      </c>
      <c r="C7704" s="121">
        <v>2</v>
      </c>
      <c r="D7704" s="734">
        <v>99.779801782618776</v>
      </c>
      <c r="E7704" s="733"/>
    </row>
    <row r="7705" spans="2:5">
      <c r="B7705" s="121">
        <v>675</v>
      </c>
      <c r="C7705" s="121">
        <v>3</v>
      </c>
      <c r="D7705" s="734">
        <v>120.66024868975731</v>
      </c>
      <c r="E7705" s="733"/>
    </row>
    <row r="7706" spans="2:5">
      <c r="B7706" s="121">
        <v>675</v>
      </c>
      <c r="C7706" s="121">
        <v>4</v>
      </c>
      <c r="D7706" s="734">
        <v>144.26337835129547</v>
      </c>
      <c r="E7706" s="733"/>
    </row>
    <row r="7707" spans="2:5">
      <c r="B7707" s="121">
        <v>675</v>
      </c>
      <c r="C7707" s="121">
        <v>5</v>
      </c>
      <c r="D7707" s="734">
        <v>135.33549362773505</v>
      </c>
      <c r="E7707" s="733"/>
    </row>
    <row r="7708" spans="2:5">
      <c r="B7708" s="121">
        <v>675</v>
      </c>
      <c r="C7708" s="121">
        <v>6</v>
      </c>
      <c r="D7708" s="734">
        <v>141.78126738882531</v>
      </c>
      <c r="E7708" s="733"/>
    </row>
    <row r="7709" spans="2:5">
      <c r="B7709" s="121">
        <v>675</v>
      </c>
      <c r="C7709" s="121">
        <v>7</v>
      </c>
      <c r="D7709" s="734">
        <v>144.92941947850042</v>
      </c>
      <c r="E7709" s="733"/>
    </row>
    <row r="7710" spans="2:5">
      <c r="B7710" s="121">
        <v>675</v>
      </c>
      <c r="C7710" s="121">
        <v>8</v>
      </c>
      <c r="D7710" s="734">
        <v>134.7954921411332</v>
      </c>
      <c r="E7710" s="733"/>
    </row>
    <row r="7711" spans="2:5">
      <c r="B7711" s="121">
        <v>675</v>
      </c>
      <c r="C7711" s="121">
        <v>9</v>
      </c>
      <c r="D7711" s="734">
        <v>137.76621270738264</v>
      </c>
      <c r="E7711" s="733"/>
    </row>
    <row r="7712" spans="2:5">
      <c r="B7712" s="121">
        <v>675</v>
      </c>
      <c r="C7712" s="121">
        <v>10</v>
      </c>
      <c r="D7712" s="734">
        <v>144.99043342985249</v>
      </c>
      <c r="E7712" s="733"/>
    </row>
    <row r="7713" spans="2:5">
      <c r="B7713" s="121">
        <v>675</v>
      </c>
      <c r="C7713" s="121">
        <v>11</v>
      </c>
      <c r="D7713" s="734">
        <v>136.48414070315295</v>
      </c>
      <c r="E7713" s="733"/>
    </row>
    <row r="7714" spans="2:5">
      <c r="B7714" s="121">
        <v>675</v>
      </c>
      <c r="C7714" s="121">
        <v>12</v>
      </c>
      <c r="D7714" s="734">
        <v>137.4937521026045</v>
      </c>
      <c r="E7714" s="733"/>
    </row>
    <row r="7715" spans="2:5">
      <c r="B7715" s="121">
        <v>676</v>
      </c>
      <c r="C7715" s="121">
        <v>1</v>
      </c>
      <c r="D7715" s="734">
        <v>5</v>
      </c>
      <c r="E7715" s="733"/>
    </row>
    <row r="7716" spans="2:5">
      <c r="B7716" s="121">
        <v>676</v>
      </c>
      <c r="C7716" s="121">
        <v>2</v>
      </c>
      <c r="D7716" s="734">
        <v>97.992482008296605</v>
      </c>
      <c r="E7716" s="733"/>
    </row>
    <row r="7717" spans="2:5">
      <c r="B7717" s="121">
        <v>677</v>
      </c>
      <c r="C7717" s="121">
        <v>1</v>
      </c>
      <c r="D7717" s="734">
        <v>5</v>
      </c>
      <c r="E7717" s="733"/>
    </row>
    <row r="7718" spans="2:5">
      <c r="B7718" s="121">
        <v>677</v>
      </c>
      <c r="C7718" s="121">
        <v>2</v>
      </c>
      <c r="D7718" s="734">
        <v>97.91351757085755</v>
      </c>
      <c r="E7718" s="733"/>
    </row>
    <row r="7719" spans="2:5">
      <c r="B7719" s="121">
        <v>677</v>
      </c>
      <c r="C7719" s="121">
        <v>3</v>
      </c>
      <c r="D7719" s="734">
        <v>114.00363729150462</v>
      </c>
      <c r="E7719" s="733"/>
    </row>
    <row r="7720" spans="2:5">
      <c r="B7720" s="121">
        <v>677</v>
      </c>
      <c r="C7720" s="121">
        <v>4</v>
      </c>
      <c r="D7720" s="734">
        <v>139.78303184880033</v>
      </c>
      <c r="E7720" s="733"/>
    </row>
    <row r="7721" spans="2:5">
      <c r="B7721" s="121">
        <v>677</v>
      </c>
      <c r="C7721" s="121">
        <v>5</v>
      </c>
      <c r="D7721" s="734">
        <v>141.72637058773736</v>
      </c>
      <c r="E7721" s="733"/>
    </row>
    <row r="7722" spans="2:5">
      <c r="B7722" s="121">
        <v>677</v>
      </c>
      <c r="C7722" s="121">
        <v>6</v>
      </c>
      <c r="D7722" s="734">
        <v>146.77100680559829</v>
      </c>
      <c r="E7722" s="733"/>
    </row>
    <row r="7723" spans="2:5">
      <c r="B7723" s="121">
        <v>677</v>
      </c>
      <c r="C7723" s="121">
        <v>7</v>
      </c>
      <c r="D7723" s="734">
        <v>135.17083711569072</v>
      </c>
      <c r="E7723" s="733"/>
    </row>
    <row r="7724" spans="2:5">
      <c r="B7724" s="121">
        <v>677</v>
      </c>
      <c r="C7724" s="121">
        <v>8</v>
      </c>
      <c r="D7724" s="734">
        <v>135.48568861797401</v>
      </c>
      <c r="E7724" s="733"/>
    </row>
    <row r="7725" spans="2:5">
      <c r="B7725" s="121">
        <v>677</v>
      </c>
      <c r="C7725" s="121">
        <v>9</v>
      </c>
      <c r="D7725" s="734">
        <v>146.94107387460468</v>
      </c>
      <c r="E7725" s="733"/>
    </row>
    <row r="7726" spans="2:5">
      <c r="B7726" s="121">
        <v>677</v>
      </c>
      <c r="C7726" s="121">
        <v>10</v>
      </c>
      <c r="D7726" s="734">
        <v>146.61884614642466</v>
      </c>
      <c r="E7726" s="733"/>
    </row>
    <row r="7727" spans="2:5">
      <c r="B7727" s="121">
        <v>677</v>
      </c>
      <c r="C7727" s="121">
        <v>11</v>
      </c>
      <c r="D7727" s="734">
        <v>142.93061454070943</v>
      </c>
      <c r="E7727" s="733"/>
    </row>
    <row r="7728" spans="2:5">
      <c r="B7728" s="121">
        <v>677</v>
      </c>
      <c r="C7728" s="121">
        <v>12</v>
      </c>
      <c r="D7728" s="734">
        <v>134.6888495975447</v>
      </c>
      <c r="E7728" s="733"/>
    </row>
    <row r="7729" spans="2:5">
      <c r="B7729" s="121">
        <v>677</v>
      </c>
      <c r="C7729" s="121">
        <v>13</v>
      </c>
      <c r="D7729" s="734">
        <v>142.55052548871564</v>
      </c>
      <c r="E7729" s="733"/>
    </row>
    <row r="7730" spans="2:5">
      <c r="B7730" s="121">
        <v>677</v>
      </c>
      <c r="C7730" s="121">
        <v>14</v>
      </c>
      <c r="D7730" s="734">
        <v>135.63740381680219</v>
      </c>
      <c r="E7730" s="733"/>
    </row>
    <row r="7731" spans="2:5">
      <c r="B7731" s="121">
        <v>677</v>
      </c>
      <c r="C7731" s="121">
        <v>15</v>
      </c>
      <c r="D7731" s="734">
        <v>144.69893453364108</v>
      </c>
      <c r="E7731" s="733"/>
    </row>
    <row r="7732" spans="2:5">
      <c r="B7732" s="121">
        <v>677</v>
      </c>
      <c r="C7732" s="121">
        <v>16</v>
      </c>
      <c r="D7732" s="734">
        <v>136.48123404499151</v>
      </c>
      <c r="E7732" s="733"/>
    </row>
    <row r="7733" spans="2:5">
      <c r="B7733" s="121">
        <v>677</v>
      </c>
      <c r="C7733" s="121">
        <v>17</v>
      </c>
      <c r="D7733" s="734">
        <v>143.87329182955114</v>
      </c>
      <c r="E7733" s="733"/>
    </row>
    <row r="7734" spans="2:5">
      <c r="B7734" s="121">
        <v>677</v>
      </c>
      <c r="C7734" s="121">
        <v>18</v>
      </c>
      <c r="D7734" s="734">
        <v>135.54811642237362</v>
      </c>
      <c r="E7734" s="733"/>
    </row>
    <row r="7735" spans="2:5">
      <c r="B7735" s="121">
        <v>678</v>
      </c>
      <c r="C7735" s="121">
        <v>1</v>
      </c>
      <c r="D7735" s="734">
        <v>5</v>
      </c>
      <c r="E7735" s="733"/>
    </row>
    <row r="7736" spans="2:5">
      <c r="B7736" s="121">
        <v>678</v>
      </c>
      <c r="C7736" s="121">
        <v>2</v>
      </c>
      <c r="D7736" s="734">
        <v>94.752061752459682</v>
      </c>
      <c r="E7736" s="733"/>
    </row>
    <row r="7737" spans="2:5">
      <c r="B7737" s="121">
        <v>678</v>
      </c>
      <c r="C7737" s="121">
        <v>3</v>
      </c>
      <c r="D7737" s="734">
        <v>120.04970735656846</v>
      </c>
      <c r="E7737" s="733"/>
    </row>
    <row r="7738" spans="2:5">
      <c r="B7738" s="121">
        <v>678</v>
      </c>
      <c r="C7738" s="121">
        <v>4</v>
      </c>
      <c r="D7738" s="734">
        <v>137.71144465668553</v>
      </c>
      <c r="E7738" s="733"/>
    </row>
    <row r="7739" spans="2:5">
      <c r="B7739" s="121">
        <v>678</v>
      </c>
      <c r="C7739" s="121">
        <v>5</v>
      </c>
      <c r="D7739" s="734">
        <v>136.00812009465869</v>
      </c>
      <c r="E7739" s="733"/>
    </row>
    <row r="7740" spans="2:5">
      <c r="B7740" s="121">
        <v>678</v>
      </c>
      <c r="C7740" s="121">
        <v>6</v>
      </c>
      <c r="D7740" s="734">
        <v>139.81230371987314</v>
      </c>
      <c r="E7740" s="733"/>
    </row>
    <row r="7741" spans="2:5">
      <c r="B7741" s="121">
        <v>678</v>
      </c>
      <c r="C7741" s="121">
        <v>7</v>
      </c>
      <c r="D7741" s="734">
        <v>136.45171739891808</v>
      </c>
      <c r="E7741" s="733"/>
    </row>
    <row r="7742" spans="2:5">
      <c r="B7742" s="121">
        <v>678</v>
      </c>
      <c r="C7742" s="121">
        <v>8</v>
      </c>
      <c r="D7742" s="734">
        <v>137.7993207644943</v>
      </c>
      <c r="E7742" s="733"/>
    </row>
    <row r="7743" spans="2:5">
      <c r="B7743" s="121">
        <v>678</v>
      </c>
      <c r="C7743" s="121">
        <v>9</v>
      </c>
      <c r="D7743" s="734">
        <v>137.74746325054724</v>
      </c>
      <c r="E7743" s="733"/>
    </row>
    <row r="7744" spans="2:5">
      <c r="B7744" s="121">
        <v>678</v>
      </c>
      <c r="C7744" s="121">
        <v>10</v>
      </c>
      <c r="D7744" s="734">
        <v>140.93272522709029</v>
      </c>
      <c r="E7744" s="733"/>
    </row>
    <row r="7745" spans="2:5">
      <c r="B7745" s="121">
        <v>678</v>
      </c>
      <c r="C7745" s="121">
        <v>11</v>
      </c>
      <c r="D7745" s="734">
        <v>139.90895536163222</v>
      </c>
      <c r="E7745" s="733"/>
    </row>
    <row r="7746" spans="2:5">
      <c r="B7746" s="121">
        <v>678</v>
      </c>
      <c r="C7746" s="121">
        <v>12</v>
      </c>
      <c r="D7746" s="734">
        <v>138.35789187174623</v>
      </c>
      <c r="E7746" s="733"/>
    </row>
    <row r="7747" spans="2:5">
      <c r="B7747" s="121">
        <v>678</v>
      </c>
      <c r="C7747" s="121">
        <v>13</v>
      </c>
      <c r="D7747" s="734">
        <v>146.6415805008233</v>
      </c>
      <c r="E7747" s="733"/>
    </row>
    <row r="7748" spans="2:5">
      <c r="B7748" s="121">
        <v>678</v>
      </c>
      <c r="C7748" s="121">
        <v>14</v>
      </c>
      <c r="D7748" s="734">
        <v>144.4143795592955</v>
      </c>
      <c r="E7748" s="733"/>
    </row>
    <row r="7749" spans="2:5">
      <c r="B7749" s="121">
        <v>678</v>
      </c>
      <c r="C7749" s="121">
        <v>15</v>
      </c>
      <c r="D7749" s="734">
        <v>134.27120762653425</v>
      </c>
      <c r="E7749" s="733"/>
    </row>
    <row r="7750" spans="2:5">
      <c r="B7750" s="121">
        <v>678</v>
      </c>
      <c r="C7750" s="121">
        <v>16</v>
      </c>
      <c r="D7750" s="734">
        <v>143.70902150340694</v>
      </c>
      <c r="E7750" s="733"/>
    </row>
    <row r="7751" spans="2:5">
      <c r="B7751" s="121">
        <v>678</v>
      </c>
      <c r="C7751" s="121">
        <v>17</v>
      </c>
      <c r="D7751" s="734">
        <v>141.2040507450711</v>
      </c>
      <c r="E7751" s="733"/>
    </row>
    <row r="7752" spans="2:5">
      <c r="B7752" s="121">
        <v>678</v>
      </c>
      <c r="C7752" s="121">
        <v>18</v>
      </c>
      <c r="D7752" s="734">
        <v>134.50743916450611</v>
      </c>
      <c r="E7752" s="733"/>
    </row>
    <row r="7753" spans="2:5">
      <c r="B7753" s="121">
        <v>678</v>
      </c>
      <c r="C7753" s="121">
        <v>19</v>
      </c>
      <c r="D7753" s="734">
        <v>139.93889983556687</v>
      </c>
      <c r="E7753" s="733"/>
    </row>
    <row r="7754" spans="2:5">
      <c r="B7754" s="121">
        <v>678</v>
      </c>
      <c r="C7754" s="121">
        <v>20</v>
      </c>
      <c r="D7754" s="734">
        <v>134.24617226550757</v>
      </c>
      <c r="E7754" s="733"/>
    </row>
    <row r="7755" spans="2:5">
      <c r="B7755" s="121">
        <v>678</v>
      </c>
      <c r="C7755" s="121">
        <v>21</v>
      </c>
      <c r="D7755" s="734">
        <v>133.68330775145031</v>
      </c>
      <c r="E7755" s="733"/>
    </row>
    <row r="7756" spans="2:5">
      <c r="B7756" s="121">
        <v>678</v>
      </c>
      <c r="C7756" s="121">
        <v>22</v>
      </c>
      <c r="D7756" s="734">
        <v>143.85008409616984</v>
      </c>
      <c r="E7756" s="733"/>
    </row>
    <row r="7757" spans="2:5">
      <c r="B7757" s="121">
        <v>678</v>
      </c>
      <c r="C7757" s="121">
        <v>23</v>
      </c>
      <c r="D7757" s="734">
        <v>145.559300512042</v>
      </c>
      <c r="E7757" s="733"/>
    </row>
    <row r="7758" spans="2:5">
      <c r="B7758" s="121">
        <v>678</v>
      </c>
      <c r="C7758" s="121">
        <v>24</v>
      </c>
      <c r="D7758" s="734">
        <v>139.7572605108586</v>
      </c>
      <c r="E7758" s="733"/>
    </row>
    <row r="7759" spans="2:5">
      <c r="B7759" s="121">
        <v>678</v>
      </c>
      <c r="C7759" s="121">
        <v>25</v>
      </c>
      <c r="D7759" s="734">
        <v>141.23914618803332</v>
      </c>
      <c r="E7759" s="733"/>
    </row>
    <row r="7760" spans="2:5">
      <c r="B7760" s="121">
        <v>678</v>
      </c>
      <c r="C7760" s="121">
        <v>26</v>
      </c>
      <c r="D7760" s="734">
        <v>146.91391697169078</v>
      </c>
      <c r="E7760" s="733"/>
    </row>
    <row r="7761" spans="2:5">
      <c r="B7761" s="121">
        <v>678</v>
      </c>
      <c r="C7761" s="121">
        <v>27</v>
      </c>
      <c r="D7761" s="734">
        <v>140.61419579313574</v>
      </c>
      <c r="E7761" s="733"/>
    </row>
    <row r="7762" spans="2:5">
      <c r="B7762" s="121">
        <v>678</v>
      </c>
      <c r="C7762" s="121">
        <v>28</v>
      </c>
      <c r="D7762" s="734">
        <v>133.95138836923923</v>
      </c>
      <c r="E7762" s="733"/>
    </row>
    <row r="7763" spans="2:5">
      <c r="B7763" s="121">
        <v>678</v>
      </c>
      <c r="C7763" s="121">
        <v>29</v>
      </c>
      <c r="D7763" s="734">
        <v>146.3493323456243</v>
      </c>
      <c r="E7763" s="733"/>
    </row>
    <row r="7764" spans="2:5">
      <c r="B7764" s="121">
        <v>678</v>
      </c>
      <c r="C7764" s="121">
        <v>30</v>
      </c>
      <c r="D7764" s="734">
        <v>145.74646950626177</v>
      </c>
      <c r="E7764" s="733"/>
    </row>
    <row r="7765" spans="2:5">
      <c r="B7765" s="121">
        <v>678</v>
      </c>
      <c r="C7765" s="121">
        <v>31</v>
      </c>
      <c r="D7765" s="734">
        <v>139.04472787921944</v>
      </c>
      <c r="E7765" s="733"/>
    </row>
    <row r="7766" spans="2:5">
      <c r="B7766" s="121">
        <v>678</v>
      </c>
      <c r="C7766" s="121">
        <v>32</v>
      </c>
      <c r="D7766" s="734">
        <v>141.86294990845383</v>
      </c>
      <c r="E7766" s="733"/>
    </row>
    <row r="7767" spans="2:5">
      <c r="B7767" s="121">
        <v>678</v>
      </c>
      <c r="C7767" s="121">
        <v>33</v>
      </c>
      <c r="D7767" s="734">
        <v>145.30266361408579</v>
      </c>
      <c r="E7767" s="733"/>
    </row>
    <row r="7768" spans="2:5">
      <c r="B7768" s="121">
        <v>678</v>
      </c>
      <c r="C7768" s="121">
        <v>34</v>
      </c>
      <c r="D7768" s="734">
        <v>139.79307575243789</v>
      </c>
      <c r="E7768" s="733"/>
    </row>
    <row r="7769" spans="2:5">
      <c r="B7769" s="121">
        <v>679</v>
      </c>
      <c r="C7769" s="121">
        <v>1</v>
      </c>
      <c r="D7769" s="734">
        <v>5</v>
      </c>
      <c r="E7769" s="733"/>
    </row>
    <row r="7770" spans="2:5">
      <c r="B7770" s="121">
        <v>679</v>
      </c>
      <c r="C7770" s="121">
        <v>2</v>
      </c>
      <c r="D7770" s="734">
        <v>98.684904578261651</v>
      </c>
      <c r="E7770" s="733"/>
    </row>
    <row r="7771" spans="2:5">
      <c r="B7771" s="121">
        <v>679</v>
      </c>
      <c r="C7771" s="121">
        <v>3</v>
      </c>
      <c r="D7771" s="734">
        <v>124.48817555647538</v>
      </c>
      <c r="E7771" s="733"/>
    </row>
    <row r="7772" spans="2:5">
      <c r="B7772" s="121">
        <v>679</v>
      </c>
      <c r="C7772" s="121">
        <v>4</v>
      </c>
      <c r="D7772" s="734">
        <v>144.03845043941496</v>
      </c>
      <c r="E7772" s="733"/>
    </row>
    <row r="7773" spans="2:5">
      <c r="B7773" s="121">
        <v>679</v>
      </c>
      <c r="C7773" s="121">
        <v>5</v>
      </c>
      <c r="D7773" s="734">
        <v>137.42649840997626</v>
      </c>
      <c r="E7773" s="733"/>
    </row>
    <row r="7774" spans="2:5">
      <c r="B7774" s="121">
        <v>679</v>
      </c>
      <c r="C7774" s="121">
        <v>6</v>
      </c>
      <c r="D7774" s="734">
        <v>138.57254850699084</v>
      </c>
      <c r="E7774" s="733"/>
    </row>
    <row r="7775" spans="2:5">
      <c r="B7775" s="121">
        <v>679</v>
      </c>
      <c r="C7775" s="121">
        <v>7</v>
      </c>
      <c r="D7775" s="734">
        <v>137.4368993791432</v>
      </c>
      <c r="E7775" s="733"/>
    </row>
    <row r="7776" spans="2:5">
      <c r="B7776" s="121">
        <v>679</v>
      </c>
      <c r="C7776" s="121">
        <v>8</v>
      </c>
      <c r="D7776" s="734">
        <v>146.71887734108984</v>
      </c>
      <c r="E7776" s="733"/>
    </row>
    <row r="7777" spans="2:5">
      <c r="B7777" s="121">
        <v>679</v>
      </c>
      <c r="C7777" s="121">
        <v>9</v>
      </c>
      <c r="D7777" s="734">
        <v>138.43684152075051</v>
      </c>
      <c r="E7777" s="733"/>
    </row>
    <row r="7778" spans="2:5">
      <c r="B7778" s="121">
        <v>679</v>
      </c>
      <c r="C7778" s="121">
        <v>10</v>
      </c>
      <c r="D7778" s="734">
        <v>139.34543981894703</v>
      </c>
      <c r="E7778" s="733"/>
    </row>
    <row r="7779" spans="2:5">
      <c r="B7779" s="121">
        <v>679</v>
      </c>
      <c r="C7779" s="121">
        <v>11</v>
      </c>
      <c r="D7779" s="734">
        <v>147.06620646787755</v>
      </c>
      <c r="E7779" s="733"/>
    </row>
    <row r="7780" spans="2:5">
      <c r="B7780" s="121">
        <v>679</v>
      </c>
      <c r="C7780" s="121">
        <v>12</v>
      </c>
      <c r="D7780" s="734">
        <v>146.62460444072559</v>
      </c>
      <c r="E7780" s="733"/>
    </row>
    <row r="7781" spans="2:5">
      <c r="B7781" s="121">
        <v>679</v>
      </c>
      <c r="C7781" s="121">
        <v>13</v>
      </c>
      <c r="D7781" s="734">
        <v>134.99562161871663</v>
      </c>
      <c r="E7781" s="733"/>
    </row>
    <row r="7782" spans="2:5">
      <c r="B7782" s="121">
        <v>679</v>
      </c>
      <c r="C7782" s="121">
        <v>14</v>
      </c>
      <c r="D7782" s="734">
        <v>143.0911752468279</v>
      </c>
      <c r="E7782" s="733"/>
    </row>
    <row r="7783" spans="2:5">
      <c r="B7783" s="121">
        <v>679</v>
      </c>
      <c r="C7783" s="121">
        <v>15</v>
      </c>
      <c r="D7783" s="734">
        <v>134.99080340804807</v>
      </c>
      <c r="E7783" s="733"/>
    </row>
    <row r="7784" spans="2:5">
      <c r="B7784" s="121">
        <v>679</v>
      </c>
      <c r="C7784" s="121">
        <v>16</v>
      </c>
      <c r="D7784" s="734">
        <v>134.85712291005726</v>
      </c>
      <c r="E7784" s="733"/>
    </row>
    <row r="7785" spans="2:5">
      <c r="B7785" s="121">
        <v>679</v>
      </c>
      <c r="C7785" s="121">
        <v>17</v>
      </c>
      <c r="D7785" s="734">
        <v>141.917564355997</v>
      </c>
      <c r="E7785" s="733"/>
    </row>
    <row r="7786" spans="2:5">
      <c r="B7786" s="121">
        <v>679</v>
      </c>
      <c r="C7786" s="121">
        <v>18</v>
      </c>
      <c r="D7786" s="734">
        <v>143.36695265366347</v>
      </c>
      <c r="E7786" s="733"/>
    </row>
    <row r="7787" spans="2:5">
      <c r="B7787" s="121">
        <v>679</v>
      </c>
      <c r="C7787" s="121">
        <v>19</v>
      </c>
      <c r="D7787" s="734">
        <v>141.99090455517012</v>
      </c>
      <c r="E7787" s="733"/>
    </row>
    <row r="7788" spans="2:5">
      <c r="B7788" s="121">
        <v>679</v>
      </c>
      <c r="C7788" s="121">
        <v>20</v>
      </c>
      <c r="D7788" s="734">
        <v>133.91154286899612</v>
      </c>
      <c r="E7788" s="733"/>
    </row>
    <row r="7789" spans="2:5">
      <c r="B7789" s="121">
        <v>679</v>
      </c>
      <c r="C7789" s="121">
        <v>21</v>
      </c>
      <c r="D7789" s="734">
        <v>142.4248660980939</v>
      </c>
      <c r="E7789" s="733"/>
    </row>
    <row r="7790" spans="2:5">
      <c r="B7790" s="121">
        <v>679</v>
      </c>
      <c r="C7790" s="121">
        <v>22</v>
      </c>
      <c r="D7790" s="734">
        <v>135.91640425792832</v>
      </c>
      <c r="E7790" s="733"/>
    </row>
    <row r="7791" spans="2:5">
      <c r="B7791" s="121">
        <v>679</v>
      </c>
      <c r="C7791" s="121">
        <v>23</v>
      </c>
      <c r="D7791" s="734">
        <v>146.9441268581707</v>
      </c>
      <c r="E7791" s="733"/>
    </row>
    <row r="7792" spans="2:5">
      <c r="B7792" s="121">
        <v>679</v>
      </c>
      <c r="C7792" s="121">
        <v>24</v>
      </c>
      <c r="D7792" s="734">
        <v>136.9317147708131</v>
      </c>
      <c r="E7792" s="733"/>
    </row>
    <row r="7793" spans="2:5">
      <c r="B7793" s="121">
        <v>680</v>
      </c>
      <c r="C7793" s="121">
        <v>1</v>
      </c>
      <c r="D7793" s="734">
        <v>5</v>
      </c>
      <c r="E7793" s="733"/>
    </row>
    <row r="7794" spans="2:5">
      <c r="B7794" s="121">
        <v>681</v>
      </c>
      <c r="C7794" s="121">
        <v>1</v>
      </c>
      <c r="D7794" s="734">
        <v>5</v>
      </c>
      <c r="E7794" s="733"/>
    </row>
    <row r="7795" spans="2:5">
      <c r="B7795" s="121">
        <v>681</v>
      </c>
      <c r="C7795" s="121">
        <v>2</v>
      </c>
      <c r="D7795" s="734">
        <v>98.098300972184134</v>
      </c>
      <c r="E7795" s="733"/>
    </row>
    <row r="7796" spans="2:5">
      <c r="B7796" s="121">
        <v>681</v>
      </c>
      <c r="C7796" s="121">
        <v>3</v>
      </c>
      <c r="D7796" s="734">
        <v>120.4451682772435</v>
      </c>
      <c r="E7796" s="733"/>
    </row>
    <row r="7797" spans="2:5">
      <c r="B7797" s="121">
        <v>681</v>
      </c>
      <c r="C7797" s="121">
        <v>4</v>
      </c>
      <c r="D7797" s="734">
        <v>141.71453197584947</v>
      </c>
      <c r="E7797" s="733"/>
    </row>
    <row r="7798" spans="2:5">
      <c r="B7798" s="121">
        <v>681</v>
      </c>
      <c r="C7798" s="121">
        <v>5</v>
      </c>
      <c r="D7798" s="734">
        <v>139.52451611473262</v>
      </c>
      <c r="E7798" s="733"/>
    </row>
    <row r="7799" spans="2:5">
      <c r="B7799" s="121">
        <v>681</v>
      </c>
      <c r="C7799" s="121">
        <v>6</v>
      </c>
      <c r="D7799" s="734">
        <v>146.21870436511441</v>
      </c>
      <c r="E7799" s="733"/>
    </row>
    <row r="7800" spans="2:5">
      <c r="B7800" s="121">
        <v>681</v>
      </c>
      <c r="C7800" s="121">
        <v>7</v>
      </c>
      <c r="D7800" s="734">
        <v>141.20701020153018</v>
      </c>
      <c r="E7800" s="733"/>
    </row>
    <row r="7801" spans="2:5">
      <c r="B7801" s="121">
        <v>681</v>
      </c>
      <c r="C7801" s="121">
        <v>8</v>
      </c>
      <c r="D7801" s="734">
        <v>137.62553919765594</v>
      </c>
      <c r="E7801" s="733"/>
    </row>
    <row r="7802" spans="2:5">
      <c r="B7802" s="121">
        <v>681</v>
      </c>
      <c r="C7802" s="121">
        <v>9</v>
      </c>
      <c r="D7802" s="734">
        <v>146.34549934081929</v>
      </c>
      <c r="E7802" s="733"/>
    </row>
    <row r="7803" spans="2:5">
      <c r="B7803" s="121">
        <v>681</v>
      </c>
      <c r="C7803" s="121">
        <v>10</v>
      </c>
      <c r="D7803" s="734">
        <v>135.67955076428825</v>
      </c>
      <c r="E7803" s="733"/>
    </row>
    <row r="7804" spans="2:5">
      <c r="B7804" s="121">
        <v>681</v>
      </c>
      <c r="C7804" s="121">
        <v>11</v>
      </c>
      <c r="D7804" s="734">
        <v>146.48916090307739</v>
      </c>
      <c r="E7804" s="733"/>
    </row>
    <row r="7805" spans="2:5">
      <c r="B7805" s="121">
        <v>681</v>
      </c>
      <c r="C7805" s="121">
        <v>12</v>
      </c>
      <c r="D7805" s="734">
        <v>134.67182982279337</v>
      </c>
      <c r="E7805" s="733"/>
    </row>
    <row r="7806" spans="2:5">
      <c r="B7806" s="121">
        <v>681</v>
      </c>
      <c r="C7806" s="121">
        <v>13</v>
      </c>
      <c r="D7806" s="734">
        <v>143.06301924113714</v>
      </c>
      <c r="E7806" s="733"/>
    </row>
    <row r="7807" spans="2:5">
      <c r="B7807" s="121">
        <v>681</v>
      </c>
      <c r="C7807" s="121">
        <v>14</v>
      </c>
      <c r="D7807" s="734">
        <v>146.2667293367756</v>
      </c>
      <c r="E7807" s="733"/>
    </row>
    <row r="7808" spans="2:5">
      <c r="B7808" s="121">
        <v>681</v>
      </c>
      <c r="C7808" s="121">
        <v>15</v>
      </c>
      <c r="D7808" s="734">
        <v>145.34179912068379</v>
      </c>
      <c r="E7808" s="733"/>
    </row>
    <row r="7809" spans="2:5">
      <c r="B7809" s="121">
        <v>681</v>
      </c>
      <c r="C7809" s="121">
        <v>16</v>
      </c>
      <c r="D7809" s="734">
        <v>143.79391950636364</v>
      </c>
      <c r="E7809" s="733"/>
    </row>
    <row r="7810" spans="2:5">
      <c r="B7810" s="121">
        <v>681</v>
      </c>
      <c r="C7810" s="121">
        <v>17</v>
      </c>
      <c r="D7810" s="734">
        <v>142.95897102578746</v>
      </c>
      <c r="E7810" s="733"/>
    </row>
    <row r="7811" spans="2:5">
      <c r="B7811" s="121">
        <v>681</v>
      </c>
      <c r="C7811" s="121">
        <v>18</v>
      </c>
      <c r="D7811" s="734">
        <v>136.6533432597864</v>
      </c>
      <c r="E7811" s="733"/>
    </row>
    <row r="7812" spans="2:5">
      <c r="B7812" s="121">
        <v>681</v>
      </c>
      <c r="C7812" s="121">
        <v>19</v>
      </c>
      <c r="D7812" s="734">
        <v>137.37515559823018</v>
      </c>
      <c r="E7812" s="733"/>
    </row>
    <row r="7813" spans="2:5">
      <c r="B7813" s="121">
        <v>681</v>
      </c>
      <c r="C7813" s="121">
        <v>20</v>
      </c>
      <c r="D7813" s="734">
        <v>138.91002318499994</v>
      </c>
      <c r="E7813" s="733"/>
    </row>
    <row r="7814" spans="2:5">
      <c r="B7814" s="121">
        <v>681</v>
      </c>
      <c r="C7814" s="121">
        <v>21</v>
      </c>
      <c r="D7814" s="734">
        <v>146.41575112482178</v>
      </c>
      <c r="E7814" s="733"/>
    </row>
    <row r="7815" spans="2:5">
      <c r="B7815" s="121">
        <v>681</v>
      </c>
      <c r="C7815" s="121">
        <v>22</v>
      </c>
      <c r="D7815" s="734">
        <v>143.27010895412627</v>
      </c>
      <c r="E7815" s="733"/>
    </row>
    <row r="7816" spans="2:5">
      <c r="B7816" s="121">
        <v>681</v>
      </c>
      <c r="C7816" s="121">
        <v>23</v>
      </c>
      <c r="D7816" s="734">
        <v>143.66731634059161</v>
      </c>
      <c r="E7816" s="733"/>
    </row>
    <row r="7817" spans="2:5">
      <c r="B7817" s="121">
        <v>681</v>
      </c>
      <c r="C7817" s="121">
        <v>24</v>
      </c>
      <c r="D7817" s="734">
        <v>140.70887698782388</v>
      </c>
      <c r="E7817" s="733"/>
    </row>
    <row r="7818" spans="2:5">
      <c r="B7818" s="121">
        <v>681</v>
      </c>
      <c r="C7818" s="121">
        <v>25</v>
      </c>
      <c r="D7818" s="734">
        <v>143.99984715730412</v>
      </c>
      <c r="E7818" s="733"/>
    </row>
    <row r="7819" spans="2:5">
      <c r="B7819" s="121">
        <v>681</v>
      </c>
      <c r="C7819" s="121">
        <v>26</v>
      </c>
      <c r="D7819" s="734">
        <v>135.60178947698211</v>
      </c>
      <c r="E7819" s="733"/>
    </row>
    <row r="7820" spans="2:5">
      <c r="B7820" s="121">
        <v>681</v>
      </c>
      <c r="C7820" s="121">
        <v>27</v>
      </c>
      <c r="D7820" s="734">
        <v>146.04829611454866</v>
      </c>
      <c r="E7820" s="733"/>
    </row>
    <row r="7821" spans="2:5">
      <c r="B7821" s="121">
        <v>681</v>
      </c>
      <c r="C7821" s="121">
        <v>28</v>
      </c>
      <c r="D7821" s="734">
        <v>138.05640016373312</v>
      </c>
      <c r="E7821" s="733"/>
    </row>
    <row r="7822" spans="2:5">
      <c r="B7822" s="121">
        <v>681</v>
      </c>
      <c r="C7822" s="121">
        <v>29</v>
      </c>
      <c r="D7822" s="734">
        <v>134.16983285814652</v>
      </c>
      <c r="E7822" s="733"/>
    </row>
    <row r="7823" spans="2:5">
      <c r="B7823" s="121">
        <v>682</v>
      </c>
      <c r="C7823" s="121">
        <v>1</v>
      </c>
      <c r="D7823" s="734">
        <v>5</v>
      </c>
      <c r="E7823" s="733"/>
    </row>
    <row r="7824" spans="2:5">
      <c r="B7824" s="121">
        <v>682</v>
      </c>
      <c r="C7824" s="121">
        <v>2</v>
      </c>
      <c r="D7824" s="734">
        <v>102.54119548141925</v>
      </c>
      <c r="E7824" s="733"/>
    </row>
    <row r="7825" spans="2:5">
      <c r="B7825" s="121">
        <v>682</v>
      </c>
      <c r="C7825" s="121">
        <v>3</v>
      </c>
      <c r="D7825" s="734">
        <v>121.00583508438596</v>
      </c>
      <c r="E7825" s="733"/>
    </row>
    <row r="7826" spans="2:5">
      <c r="B7826" s="121">
        <v>682</v>
      </c>
      <c r="C7826" s="121">
        <v>4</v>
      </c>
      <c r="D7826" s="734">
        <v>133.90843005838789</v>
      </c>
      <c r="E7826" s="733"/>
    </row>
    <row r="7827" spans="2:5">
      <c r="B7827" s="121">
        <v>682</v>
      </c>
      <c r="C7827" s="121">
        <v>5</v>
      </c>
      <c r="D7827" s="734">
        <v>144.62464265288921</v>
      </c>
      <c r="E7827" s="733"/>
    </row>
    <row r="7828" spans="2:5">
      <c r="B7828" s="121">
        <v>682</v>
      </c>
      <c r="C7828" s="121">
        <v>6</v>
      </c>
      <c r="D7828" s="734">
        <v>140.21661040811108</v>
      </c>
      <c r="E7828" s="733"/>
    </row>
    <row r="7829" spans="2:5">
      <c r="B7829" s="121">
        <v>682</v>
      </c>
      <c r="C7829" s="121">
        <v>7</v>
      </c>
      <c r="D7829" s="734">
        <v>146.74327889814876</v>
      </c>
      <c r="E7829" s="733"/>
    </row>
    <row r="7830" spans="2:5">
      <c r="B7830" s="121">
        <v>682</v>
      </c>
      <c r="C7830" s="121">
        <v>8</v>
      </c>
      <c r="D7830" s="734">
        <v>137.54020049500727</v>
      </c>
      <c r="E7830" s="733"/>
    </row>
    <row r="7831" spans="2:5">
      <c r="B7831" s="121">
        <v>682</v>
      </c>
      <c r="C7831" s="121">
        <v>9</v>
      </c>
      <c r="D7831" s="734">
        <v>145.75075907863896</v>
      </c>
      <c r="E7831" s="733"/>
    </row>
    <row r="7832" spans="2:5">
      <c r="B7832" s="121">
        <v>682</v>
      </c>
      <c r="C7832" s="121">
        <v>10</v>
      </c>
      <c r="D7832" s="734">
        <v>143.49588073197413</v>
      </c>
      <c r="E7832" s="733"/>
    </row>
    <row r="7833" spans="2:5">
      <c r="B7833" s="121">
        <v>682</v>
      </c>
      <c r="C7833" s="121">
        <v>11</v>
      </c>
      <c r="D7833" s="734">
        <v>144.79020496322315</v>
      </c>
      <c r="E7833" s="733"/>
    </row>
    <row r="7834" spans="2:5">
      <c r="B7834" s="121">
        <v>682</v>
      </c>
      <c r="C7834" s="121">
        <v>12</v>
      </c>
      <c r="D7834" s="734">
        <v>139.7571674476597</v>
      </c>
      <c r="E7834" s="733"/>
    </row>
    <row r="7835" spans="2:5">
      <c r="B7835" s="121">
        <v>682</v>
      </c>
      <c r="C7835" s="121">
        <v>13</v>
      </c>
      <c r="D7835" s="734">
        <v>140.69736144515048</v>
      </c>
      <c r="E7835" s="733"/>
    </row>
    <row r="7836" spans="2:5">
      <c r="B7836" s="121">
        <v>682</v>
      </c>
      <c r="C7836" s="121">
        <v>14</v>
      </c>
      <c r="D7836" s="734">
        <v>141.62176927762025</v>
      </c>
      <c r="E7836" s="733"/>
    </row>
    <row r="7837" spans="2:5">
      <c r="B7837" s="121">
        <v>682</v>
      </c>
      <c r="C7837" s="121">
        <v>15</v>
      </c>
      <c r="D7837" s="734">
        <v>144.97182183253764</v>
      </c>
      <c r="E7837" s="733"/>
    </row>
    <row r="7838" spans="2:5">
      <c r="B7838" s="121">
        <v>682</v>
      </c>
      <c r="C7838" s="121">
        <v>16</v>
      </c>
      <c r="D7838" s="734">
        <v>137.5444818764295</v>
      </c>
      <c r="E7838" s="733"/>
    </row>
    <row r="7839" spans="2:5">
      <c r="B7839" s="121">
        <v>682</v>
      </c>
      <c r="C7839" s="121">
        <v>17</v>
      </c>
      <c r="D7839" s="734">
        <v>138.57292732244591</v>
      </c>
      <c r="E7839" s="733"/>
    </row>
    <row r="7840" spans="2:5">
      <c r="B7840" s="121">
        <v>682</v>
      </c>
      <c r="C7840" s="121">
        <v>18</v>
      </c>
      <c r="D7840" s="734">
        <v>146.25756236634555</v>
      </c>
      <c r="E7840" s="733"/>
    </row>
    <row r="7841" spans="2:5">
      <c r="B7841" s="121">
        <v>682</v>
      </c>
      <c r="C7841" s="121">
        <v>19</v>
      </c>
      <c r="D7841" s="734">
        <v>135.33887444758895</v>
      </c>
      <c r="E7841" s="733"/>
    </row>
    <row r="7842" spans="2:5">
      <c r="B7842" s="121">
        <v>682</v>
      </c>
      <c r="C7842" s="121">
        <v>20</v>
      </c>
      <c r="D7842" s="734">
        <v>143.32627725177181</v>
      </c>
      <c r="E7842" s="733"/>
    </row>
    <row r="7843" spans="2:5">
      <c r="B7843" s="121">
        <v>682</v>
      </c>
      <c r="C7843" s="121">
        <v>21</v>
      </c>
      <c r="D7843" s="734">
        <v>143.72820417265524</v>
      </c>
      <c r="E7843" s="733"/>
    </row>
    <row r="7844" spans="2:5">
      <c r="B7844" s="121">
        <v>682</v>
      </c>
      <c r="C7844" s="121">
        <v>22</v>
      </c>
      <c r="D7844" s="734">
        <v>143.20902898187998</v>
      </c>
      <c r="E7844" s="733"/>
    </row>
    <row r="7845" spans="2:5">
      <c r="B7845" s="121">
        <v>682</v>
      </c>
      <c r="C7845" s="121">
        <v>23</v>
      </c>
      <c r="D7845" s="734">
        <v>134.52153045924226</v>
      </c>
      <c r="E7845" s="733"/>
    </row>
    <row r="7846" spans="2:5">
      <c r="B7846" s="121">
        <v>682</v>
      </c>
      <c r="C7846" s="121">
        <v>24</v>
      </c>
      <c r="D7846" s="734">
        <v>141.22310644677577</v>
      </c>
      <c r="E7846" s="733"/>
    </row>
    <row r="7847" spans="2:5">
      <c r="B7847" s="121">
        <v>683</v>
      </c>
      <c r="C7847" s="121">
        <v>1</v>
      </c>
      <c r="D7847" s="734">
        <v>5</v>
      </c>
      <c r="E7847" s="733"/>
    </row>
    <row r="7848" spans="2:5">
      <c r="B7848" s="121">
        <v>684</v>
      </c>
      <c r="C7848" s="121">
        <v>1</v>
      </c>
      <c r="D7848" s="734">
        <v>5</v>
      </c>
      <c r="E7848" s="733"/>
    </row>
    <row r="7849" spans="2:5">
      <c r="B7849" s="121">
        <v>685</v>
      </c>
      <c r="C7849" s="121">
        <v>1</v>
      </c>
      <c r="D7849" s="734">
        <v>5</v>
      </c>
      <c r="E7849" s="733"/>
    </row>
    <row r="7850" spans="2:5">
      <c r="B7850" s="121">
        <v>686</v>
      </c>
      <c r="C7850" s="121">
        <v>1</v>
      </c>
      <c r="D7850" s="734">
        <v>5</v>
      </c>
      <c r="E7850" s="733"/>
    </row>
    <row r="7851" spans="2:5">
      <c r="B7851" s="121">
        <v>686</v>
      </c>
      <c r="C7851" s="121">
        <v>2</v>
      </c>
      <c r="D7851" s="734">
        <v>102.85156025001471</v>
      </c>
      <c r="E7851" s="733"/>
    </row>
    <row r="7852" spans="2:5">
      <c r="B7852" s="121">
        <v>686</v>
      </c>
      <c r="C7852" s="121">
        <v>3</v>
      </c>
      <c r="D7852" s="734">
        <v>123.787745872266</v>
      </c>
      <c r="E7852" s="733"/>
    </row>
    <row r="7853" spans="2:5">
      <c r="B7853" s="121">
        <v>686</v>
      </c>
      <c r="C7853" s="121">
        <v>4</v>
      </c>
      <c r="D7853" s="734">
        <v>142.73670214271525</v>
      </c>
      <c r="E7853" s="733"/>
    </row>
    <row r="7854" spans="2:5">
      <c r="B7854" s="121">
        <v>686</v>
      </c>
      <c r="C7854" s="121">
        <v>5</v>
      </c>
      <c r="D7854" s="734">
        <v>142.94007338178525</v>
      </c>
      <c r="E7854" s="733"/>
    </row>
    <row r="7855" spans="2:5">
      <c r="B7855" s="121">
        <v>686</v>
      </c>
      <c r="C7855" s="121">
        <v>6</v>
      </c>
      <c r="D7855" s="734">
        <v>143.0394631909671</v>
      </c>
      <c r="E7855" s="733"/>
    </row>
    <row r="7856" spans="2:5">
      <c r="B7856" s="121">
        <v>686</v>
      </c>
      <c r="C7856" s="121">
        <v>7</v>
      </c>
      <c r="D7856" s="734">
        <v>140.07004593243119</v>
      </c>
      <c r="E7856" s="733"/>
    </row>
    <row r="7857" spans="2:5">
      <c r="B7857" s="121">
        <v>686</v>
      </c>
      <c r="C7857" s="121">
        <v>8</v>
      </c>
      <c r="D7857" s="734">
        <v>145.20833079847907</v>
      </c>
      <c r="E7857" s="733"/>
    </row>
    <row r="7858" spans="2:5">
      <c r="B7858" s="121">
        <v>686</v>
      </c>
      <c r="C7858" s="121">
        <v>9</v>
      </c>
      <c r="D7858" s="734">
        <v>135.84519320273472</v>
      </c>
      <c r="E7858" s="733"/>
    </row>
    <row r="7859" spans="2:5">
      <c r="B7859" s="121">
        <v>686</v>
      </c>
      <c r="C7859" s="121">
        <v>10</v>
      </c>
      <c r="D7859" s="734">
        <v>134.3845168482629</v>
      </c>
      <c r="E7859" s="733"/>
    </row>
    <row r="7860" spans="2:5">
      <c r="B7860" s="121">
        <v>686</v>
      </c>
      <c r="C7860" s="121">
        <v>11</v>
      </c>
      <c r="D7860" s="734">
        <v>146.36044858298206</v>
      </c>
      <c r="E7860" s="733"/>
    </row>
    <row r="7861" spans="2:5">
      <c r="B7861" s="121">
        <v>686</v>
      </c>
      <c r="C7861" s="121">
        <v>12</v>
      </c>
      <c r="D7861" s="734">
        <v>146.77191839783575</v>
      </c>
      <c r="E7861" s="733"/>
    </row>
    <row r="7862" spans="2:5">
      <c r="B7862" s="121">
        <v>686</v>
      </c>
      <c r="C7862" s="121">
        <v>13</v>
      </c>
      <c r="D7862" s="734">
        <v>135.04668859914671</v>
      </c>
      <c r="E7862" s="733"/>
    </row>
    <row r="7863" spans="2:5">
      <c r="B7863" s="121">
        <v>686</v>
      </c>
      <c r="C7863" s="121">
        <v>14</v>
      </c>
      <c r="D7863" s="734">
        <v>141.67395564556631</v>
      </c>
      <c r="E7863" s="733"/>
    </row>
    <row r="7864" spans="2:5">
      <c r="B7864" s="121">
        <v>686</v>
      </c>
      <c r="C7864" s="121">
        <v>15</v>
      </c>
      <c r="D7864" s="734">
        <v>137.27051549152549</v>
      </c>
      <c r="E7864" s="733"/>
    </row>
    <row r="7865" spans="2:5">
      <c r="B7865" s="121">
        <v>686</v>
      </c>
      <c r="C7865" s="121">
        <v>16</v>
      </c>
      <c r="D7865" s="734">
        <v>146.73365891285889</v>
      </c>
      <c r="E7865" s="733"/>
    </row>
    <row r="7866" spans="2:5">
      <c r="B7866" s="121">
        <v>686</v>
      </c>
      <c r="C7866" s="121">
        <v>17</v>
      </c>
      <c r="D7866" s="734">
        <v>146.05172102461256</v>
      </c>
      <c r="E7866" s="733"/>
    </row>
    <row r="7867" spans="2:5">
      <c r="B7867" s="121">
        <v>686</v>
      </c>
      <c r="C7867" s="121">
        <v>18</v>
      </c>
      <c r="D7867" s="734">
        <v>137.60900558444487</v>
      </c>
      <c r="E7867" s="733"/>
    </row>
    <row r="7868" spans="2:5">
      <c r="B7868" s="121">
        <v>686</v>
      </c>
      <c r="C7868" s="121">
        <v>19</v>
      </c>
      <c r="D7868" s="734">
        <v>134.66450714503398</v>
      </c>
      <c r="E7868" s="733"/>
    </row>
    <row r="7869" spans="2:5">
      <c r="B7869" s="121">
        <v>686</v>
      </c>
      <c r="C7869" s="121">
        <v>20</v>
      </c>
      <c r="D7869" s="734">
        <v>146.30842764053216</v>
      </c>
      <c r="E7869" s="733"/>
    </row>
    <row r="7870" spans="2:5">
      <c r="B7870" s="121">
        <v>686</v>
      </c>
      <c r="C7870" s="121">
        <v>21</v>
      </c>
      <c r="D7870" s="734">
        <v>140.41895441007853</v>
      </c>
      <c r="E7870" s="733"/>
    </row>
    <row r="7871" spans="2:5">
      <c r="B7871" s="121">
        <v>686</v>
      </c>
      <c r="C7871" s="121">
        <v>22</v>
      </c>
      <c r="D7871" s="734">
        <v>135.82554283697331</v>
      </c>
      <c r="E7871" s="733"/>
    </row>
    <row r="7872" spans="2:5">
      <c r="B7872" s="121">
        <v>686</v>
      </c>
      <c r="C7872" s="121">
        <v>23</v>
      </c>
      <c r="D7872" s="734">
        <v>136.78859308010269</v>
      </c>
      <c r="E7872" s="733"/>
    </row>
    <row r="7873" spans="2:5">
      <c r="B7873" s="121">
        <v>686</v>
      </c>
      <c r="C7873" s="121">
        <v>24</v>
      </c>
      <c r="D7873" s="734">
        <v>146.39453853929709</v>
      </c>
      <c r="E7873" s="733"/>
    </row>
    <row r="7874" spans="2:5">
      <c r="B7874" s="121">
        <v>686</v>
      </c>
      <c r="C7874" s="121">
        <v>25</v>
      </c>
      <c r="D7874" s="734">
        <v>140.47481285871081</v>
      </c>
      <c r="E7874" s="733"/>
    </row>
    <row r="7875" spans="2:5">
      <c r="B7875" s="121">
        <v>686</v>
      </c>
      <c r="C7875" s="121">
        <v>26</v>
      </c>
      <c r="D7875" s="734">
        <v>142.70909278752049</v>
      </c>
      <c r="E7875" s="733"/>
    </row>
    <row r="7876" spans="2:5">
      <c r="B7876" s="121">
        <v>686</v>
      </c>
      <c r="C7876" s="121">
        <v>27</v>
      </c>
      <c r="D7876" s="734">
        <v>139.99820166376338</v>
      </c>
      <c r="E7876" s="733"/>
    </row>
    <row r="7877" spans="2:5">
      <c r="B7877" s="121">
        <v>686</v>
      </c>
      <c r="C7877" s="121">
        <v>28</v>
      </c>
      <c r="D7877" s="734">
        <v>135.66326647989786</v>
      </c>
      <c r="E7877" s="733"/>
    </row>
    <row r="7878" spans="2:5">
      <c r="B7878" s="121">
        <v>686</v>
      </c>
      <c r="C7878" s="121">
        <v>29</v>
      </c>
      <c r="D7878" s="734">
        <v>140.71097426141026</v>
      </c>
      <c r="E7878" s="733"/>
    </row>
    <row r="7879" spans="2:5">
      <c r="B7879" s="121">
        <v>686</v>
      </c>
      <c r="C7879" s="121">
        <v>30</v>
      </c>
      <c r="D7879" s="734">
        <v>139.40648639301259</v>
      </c>
      <c r="E7879" s="733"/>
    </row>
    <row r="7880" spans="2:5">
      <c r="B7880" s="121">
        <v>686</v>
      </c>
      <c r="C7880" s="121">
        <v>31</v>
      </c>
      <c r="D7880" s="734">
        <v>139.23834642852927</v>
      </c>
      <c r="E7880" s="733"/>
    </row>
    <row r="7881" spans="2:5">
      <c r="B7881" s="121">
        <v>686</v>
      </c>
      <c r="C7881" s="121">
        <v>32</v>
      </c>
      <c r="D7881" s="734">
        <v>135.22839198988993</v>
      </c>
      <c r="E7881" s="733"/>
    </row>
    <row r="7882" spans="2:5">
      <c r="B7882" s="121">
        <v>686</v>
      </c>
      <c r="C7882" s="121">
        <v>33</v>
      </c>
      <c r="D7882" s="734">
        <v>140.07489392434996</v>
      </c>
      <c r="E7882" s="733"/>
    </row>
    <row r="7883" spans="2:5">
      <c r="B7883" s="121">
        <v>686</v>
      </c>
      <c r="C7883" s="121">
        <v>34</v>
      </c>
      <c r="D7883" s="734">
        <v>136.53328700683002</v>
      </c>
      <c r="E7883" s="733"/>
    </row>
    <row r="7884" spans="2:5">
      <c r="B7884" s="121">
        <v>686</v>
      </c>
      <c r="C7884" s="121">
        <v>35</v>
      </c>
      <c r="D7884" s="734">
        <v>139.9166309495123</v>
      </c>
      <c r="E7884" s="733"/>
    </row>
    <row r="7885" spans="2:5">
      <c r="B7885" s="121">
        <v>686</v>
      </c>
      <c r="C7885" s="121">
        <v>36</v>
      </c>
      <c r="D7885" s="734">
        <v>143.3935788393855</v>
      </c>
      <c r="E7885" s="733"/>
    </row>
    <row r="7886" spans="2:5">
      <c r="B7886" s="121">
        <v>687</v>
      </c>
      <c r="C7886" s="121">
        <v>1</v>
      </c>
      <c r="D7886" s="734">
        <v>5</v>
      </c>
      <c r="E7886" s="733"/>
    </row>
    <row r="7887" spans="2:5">
      <c r="B7887" s="121">
        <v>687</v>
      </c>
      <c r="C7887" s="121">
        <v>2</v>
      </c>
      <c r="D7887" s="734">
        <v>102.49689922464785</v>
      </c>
      <c r="E7887" s="733"/>
    </row>
    <row r="7888" spans="2:5">
      <c r="B7888" s="121">
        <v>687</v>
      </c>
      <c r="C7888" s="121">
        <v>3</v>
      </c>
      <c r="D7888" s="734">
        <v>116.51294468405402</v>
      </c>
      <c r="E7888" s="733"/>
    </row>
    <row r="7889" spans="2:5">
      <c r="B7889" s="121">
        <v>687</v>
      </c>
      <c r="C7889" s="121">
        <v>4</v>
      </c>
      <c r="D7889" s="734">
        <v>139.50484401573803</v>
      </c>
      <c r="E7889" s="733"/>
    </row>
    <row r="7890" spans="2:5">
      <c r="B7890" s="121">
        <v>687</v>
      </c>
      <c r="C7890" s="121">
        <v>5</v>
      </c>
      <c r="D7890" s="734">
        <v>140.55001140298961</v>
      </c>
      <c r="E7890" s="733"/>
    </row>
    <row r="7891" spans="2:5">
      <c r="B7891" s="121">
        <v>687</v>
      </c>
      <c r="C7891" s="121">
        <v>6</v>
      </c>
      <c r="D7891" s="734">
        <v>144.62893210826809</v>
      </c>
      <c r="E7891" s="733"/>
    </row>
    <row r="7892" spans="2:5">
      <c r="B7892" s="121">
        <v>687</v>
      </c>
      <c r="C7892" s="121">
        <v>7</v>
      </c>
      <c r="D7892" s="734">
        <v>146.80787679529186</v>
      </c>
      <c r="E7892" s="733"/>
    </row>
    <row r="7893" spans="2:5">
      <c r="B7893" s="121">
        <v>687</v>
      </c>
      <c r="C7893" s="121">
        <v>8</v>
      </c>
      <c r="D7893" s="734">
        <v>144.47993988004427</v>
      </c>
      <c r="E7893" s="733"/>
    </row>
    <row r="7894" spans="2:5">
      <c r="B7894" s="121">
        <v>688</v>
      </c>
      <c r="C7894" s="121">
        <v>1</v>
      </c>
      <c r="D7894" s="734">
        <v>5</v>
      </c>
      <c r="E7894" s="733"/>
    </row>
    <row r="7895" spans="2:5">
      <c r="B7895" s="121">
        <v>689</v>
      </c>
      <c r="C7895" s="121">
        <v>1</v>
      </c>
      <c r="D7895" s="734">
        <v>5</v>
      </c>
      <c r="E7895" s="733"/>
    </row>
    <row r="7896" spans="2:5">
      <c r="B7896" s="121">
        <v>689</v>
      </c>
      <c r="C7896" s="121">
        <v>2</v>
      </c>
      <c r="D7896" s="734">
        <v>96.920814852328704</v>
      </c>
      <c r="E7896" s="733"/>
    </row>
    <row r="7897" spans="2:5">
      <c r="B7897" s="121">
        <v>689</v>
      </c>
      <c r="C7897" s="121">
        <v>3</v>
      </c>
      <c r="D7897" s="734">
        <v>120.79416344327001</v>
      </c>
      <c r="E7897" s="733"/>
    </row>
    <row r="7898" spans="2:5">
      <c r="B7898" s="121">
        <v>689</v>
      </c>
      <c r="C7898" s="121">
        <v>4</v>
      </c>
      <c r="D7898" s="734">
        <v>135.99178862988654</v>
      </c>
      <c r="E7898" s="733"/>
    </row>
    <row r="7899" spans="2:5">
      <c r="B7899" s="121">
        <v>689</v>
      </c>
      <c r="C7899" s="121">
        <v>5</v>
      </c>
      <c r="D7899" s="734">
        <v>138.71215710462991</v>
      </c>
      <c r="E7899" s="733"/>
    </row>
    <row r="7900" spans="2:5">
      <c r="B7900" s="121">
        <v>689</v>
      </c>
      <c r="C7900" s="121">
        <v>6</v>
      </c>
      <c r="D7900" s="734">
        <v>138.0699966371327</v>
      </c>
      <c r="E7900" s="733"/>
    </row>
    <row r="7901" spans="2:5">
      <c r="B7901" s="121">
        <v>689</v>
      </c>
      <c r="C7901" s="121">
        <v>7</v>
      </c>
      <c r="D7901" s="734">
        <v>139.70630222437114</v>
      </c>
      <c r="E7901" s="733"/>
    </row>
    <row r="7902" spans="2:5">
      <c r="B7902" s="121">
        <v>689</v>
      </c>
      <c r="C7902" s="121">
        <v>8</v>
      </c>
      <c r="D7902" s="734">
        <v>146.50470242812145</v>
      </c>
      <c r="E7902" s="733"/>
    </row>
    <row r="7903" spans="2:5">
      <c r="B7903" s="121">
        <v>689</v>
      </c>
      <c r="C7903" s="121">
        <v>9</v>
      </c>
      <c r="D7903" s="734">
        <v>136.62705226232285</v>
      </c>
      <c r="E7903" s="733"/>
    </row>
    <row r="7904" spans="2:5">
      <c r="B7904" s="121">
        <v>689</v>
      </c>
      <c r="C7904" s="121">
        <v>10</v>
      </c>
      <c r="D7904" s="734">
        <v>134.4535959590026</v>
      </c>
      <c r="E7904" s="733"/>
    </row>
    <row r="7905" spans="2:5">
      <c r="B7905" s="121">
        <v>689</v>
      </c>
      <c r="C7905" s="121">
        <v>11</v>
      </c>
      <c r="D7905" s="734">
        <v>145.45224841789195</v>
      </c>
      <c r="E7905" s="733"/>
    </row>
    <row r="7906" spans="2:5">
      <c r="B7906" s="121">
        <v>689</v>
      </c>
      <c r="C7906" s="121">
        <v>12</v>
      </c>
      <c r="D7906" s="734">
        <v>137.78816443108425</v>
      </c>
      <c r="E7906" s="733"/>
    </row>
    <row r="7907" spans="2:5">
      <c r="B7907" s="121">
        <v>689</v>
      </c>
      <c r="C7907" s="121">
        <v>13</v>
      </c>
      <c r="D7907" s="734">
        <v>135.669840702107</v>
      </c>
      <c r="E7907" s="733"/>
    </row>
    <row r="7908" spans="2:5">
      <c r="B7908" s="121">
        <v>689</v>
      </c>
      <c r="C7908" s="121">
        <v>14</v>
      </c>
      <c r="D7908" s="734">
        <v>140.75760636944986</v>
      </c>
      <c r="E7908" s="733"/>
    </row>
    <row r="7909" spans="2:5">
      <c r="B7909" s="121">
        <v>690</v>
      </c>
      <c r="C7909" s="121">
        <v>1</v>
      </c>
      <c r="D7909" s="734">
        <v>5</v>
      </c>
      <c r="E7909" s="733"/>
    </row>
    <row r="7910" spans="2:5">
      <c r="B7910" s="121">
        <v>690</v>
      </c>
      <c r="C7910" s="121">
        <v>2</v>
      </c>
      <c r="D7910" s="734">
        <v>96.930621900190502</v>
      </c>
      <c r="E7910" s="733"/>
    </row>
    <row r="7911" spans="2:5">
      <c r="B7911" s="121">
        <v>690</v>
      </c>
      <c r="C7911" s="121">
        <v>3</v>
      </c>
      <c r="D7911" s="734">
        <v>118.27725527087246</v>
      </c>
      <c r="E7911" s="733"/>
    </row>
    <row r="7912" spans="2:5">
      <c r="B7912" s="121">
        <v>690</v>
      </c>
      <c r="C7912" s="121">
        <v>4</v>
      </c>
      <c r="D7912" s="734">
        <v>145.05109831162733</v>
      </c>
      <c r="E7912" s="733"/>
    </row>
    <row r="7913" spans="2:5">
      <c r="B7913" s="121">
        <v>690</v>
      </c>
      <c r="C7913" s="121">
        <v>5</v>
      </c>
      <c r="D7913" s="734">
        <v>142.50994982625414</v>
      </c>
      <c r="E7913" s="733"/>
    </row>
    <row r="7914" spans="2:5">
      <c r="B7914" s="121">
        <v>690</v>
      </c>
      <c r="C7914" s="121">
        <v>6</v>
      </c>
      <c r="D7914" s="734">
        <v>143.8802118048346</v>
      </c>
      <c r="E7914" s="733"/>
    </row>
    <row r="7915" spans="2:5">
      <c r="B7915" s="121">
        <v>690</v>
      </c>
      <c r="C7915" s="121">
        <v>7</v>
      </c>
      <c r="D7915" s="734">
        <v>140.76468114786707</v>
      </c>
      <c r="E7915" s="733"/>
    </row>
    <row r="7916" spans="2:5">
      <c r="B7916" s="121">
        <v>690</v>
      </c>
      <c r="C7916" s="121">
        <v>8</v>
      </c>
      <c r="D7916" s="734">
        <v>143.68455960431422</v>
      </c>
      <c r="E7916" s="733"/>
    </row>
    <row r="7917" spans="2:5">
      <c r="B7917" s="121">
        <v>690</v>
      </c>
      <c r="C7917" s="121">
        <v>9</v>
      </c>
      <c r="D7917" s="734">
        <v>139.07304235556566</v>
      </c>
      <c r="E7917" s="733"/>
    </row>
    <row r="7918" spans="2:5">
      <c r="B7918" s="121">
        <v>690</v>
      </c>
      <c r="C7918" s="121">
        <v>10</v>
      </c>
      <c r="D7918" s="734">
        <v>136.39719545452328</v>
      </c>
      <c r="E7918" s="733"/>
    </row>
    <row r="7919" spans="2:5">
      <c r="B7919" s="121">
        <v>690</v>
      </c>
      <c r="C7919" s="121">
        <v>11</v>
      </c>
      <c r="D7919" s="734">
        <v>136.23322047753106</v>
      </c>
      <c r="E7919" s="733"/>
    </row>
    <row r="7920" spans="2:5">
      <c r="B7920" s="121">
        <v>690</v>
      </c>
      <c r="C7920" s="121">
        <v>12</v>
      </c>
      <c r="D7920" s="734">
        <v>136.70890354445868</v>
      </c>
      <c r="E7920" s="733"/>
    </row>
    <row r="7921" spans="2:5">
      <c r="B7921" s="121">
        <v>690</v>
      </c>
      <c r="C7921" s="121">
        <v>13</v>
      </c>
      <c r="D7921" s="734">
        <v>138.03071073581009</v>
      </c>
      <c r="E7921" s="733"/>
    </row>
    <row r="7922" spans="2:5">
      <c r="B7922" s="121">
        <v>690</v>
      </c>
      <c r="C7922" s="121">
        <v>14</v>
      </c>
      <c r="D7922" s="734">
        <v>143.55890941163071</v>
      </c>
      <c r="E7922" s="733"/>
    </row>
    <row r="7923" spans="2:5">
      <c r="B7923" s="121">
        <v>690</v>
      </c>
      <c r="C7923" s="121">
        <v>15</v>
      </c>
      <c r="D7923" s="734">
        <v>145.79049095958794</v>
      </c>
      <c r="E7923" s="733"/>
    </row>
    <row r="7924" spans="2:5">
      <c r="B7924" s="121">
        <v>690</v>
      </c>
      <c r="C7924" s="121">
        <v>16</v>
      </c>
      <c r="D7924" s="734">
        <v>146.93895891741306</v>
      </c>
      <c r="E7924" s="733"/>
    </row>
    <row r="7925" spans="2:5">
      <c r="B7925" s="121">
        <v>690</v>
      </c>
      <c r="C7925" s="121">
        <v>17</v>
      </c>
      <c r="D7925" s="734">
        <v>145.50683043740517</v>
      </c>
      <c r="E7925" s="733"/>
    </row>
    <row r="7926" spans="2:5">
      <c r="B7926" s="121">
        <v>690</v>
      </c>
      <c r="C7926" s="121">
        <v>18</v>
      </c>
      <c r="D7926" s="734">
        <v>146.45666794127277</v>
      </c>
      <c r="E7926" s="733"/>
    </row>
    <row r="7927" spans="2:5">
      <c r="B7927" s="121">
        <v>690</v>
      </c>
      <c r="C7927" s="121">
        <v>19</v>
      </c>
      <c r="D7927" s="734">
        <v>140.03768228320871</v>
      </c>
      <c r="E7927" s="733"/>
    </row>
    <row r="7928" spans="2:5">
      <c r="B7928" s="121">
        <v>690</v>
      </c>
      <c r="C7928" s="121">
        <v>20</v>
      </c>
      <c r="D7928" s="734">
        <v>138.71155818952121</v>
      </c>
      <c r="E7928" s="733"/>
    </row>
    <row r="7929" spans="2:5">
      <c r="B7929" s="121">
        <v>690</v>
      </c>
      <c r="C7929" s="121">
        <v>21</v>
      </c>
      <c r="D7929" s="734">
        <v>141.90202104399208</v>
      </c>
      <c r="E7929" s="733"/>
    </row>
    <row r="7930" spans="2:5">
      <c r="B7930" s="121">
        <v>690</v>
      </c>
      <c r="C7930" s="121">
        <v>22</v>
      </c>
      <c r="D7930" s="734">
        <v>144.95759884970323</v>
      </c>
      <c r="E7930" s="733"/>
    </row>
    <row r="7931" spans="2:5">
      <c r="B7931" s="121">
        <v>690</v>
      </c>
      <c r="C7931" s="121">
        <v>23</v>
      </c>
      <c r="D7931" s="734">
        <v>140.32979858854549</v>
      </c>
      <c r="E7931" s="733"/>
    </row>
    <row r="7932" spans="2:5">
      <c r="B7932" s="121">
        <v>690</v>
      </c>
      <c r="C7932" s="121">
        <v>24</v>
      </c>
      <c r="D7932" s="734">
        <v>137.99173631362393</v>
      </c>
      <c r="E7932" s="733"/>
    </row>
    <row r="7933" spans="2:5">
      <c r="B7933" s="121">
        <v>690</v>
      </c>
      <c r="C7933" s="121">
        <v>25</v>
      </c>
      <c r="D7933" s="734">
        <v>146.57174128156564</v>
      </c>
      <c r="E7933" s="733"/>
    </row>
    <row r="7934" spans="2:5">
      <c r="B7934" s="121">
        <v>690</v>
      </c>
      <c r="C7934" s="121">
        <v>26</v>
      </c>
      <c r="D7934" s="734">
        <v>143.66322406840484</v>
      </c>
      <c r="E7934" s="733"/>
    </row>
    <row r="7935" spans="2:5">
      <c r="B7935" s="121">
        <v>691</v>
      </c>
      <c r="C7935" s="121">
        <v>1</v>
      </c>
      <c r="D7935" s="734">
        <v>5</v>
      </c>
      <c r="E7935" s="733"/>
    </row>
    <row r="7936" spans="2:5">
      <c r="B7936" s="121">
        <v>691</v>
      </c>
      <c r="C7936" s="121">
        <v>2</v>
      </c>
      <c r="D7936" s="734">
        <v>99.712033426069851</v>
      </c>
      <c r="E7936" s="733"/>
    </row>
    <row r="7937" spans="2:5">
      <c r="B7937" s="121">
        <v>691</v>
      </c>
      <c r="C7937" s="121">
        <v>3</v>
      </c>
      <c r="D7937" s="734">
        <v>122.94391855677182</v>
      </c>
      <c r="E7937" s="733"/>
    </row>
    <row r="7938" spans="2:5">
      <c r="B7938" s="121">
        <v>691</v>
      </c>
      <c r="C7938" s="121">
        <v>4</v>
      </c>
      <c r="D7938" s="734">
        <v>144.06235500166986</v>
      </c>
      <c r="E7938" s="733"/>
    </row>
    <row r="7939" spans="2:5">
      <c r="B7939" s="121">
        <v>691</v>
      </c>
      <c r="C7939" s="121">
        <v>5</v>
      </c>
      <c r="D7939" s="734">
        <v>137.77998475046437</v>
      </c>
      <c r="E7939" s="733"/>
    </row>
    <row r="7940" spans="2:5">
      <c r="B7940" s="121">
        <v>691</v>
      </c>
      <c r="C7940" s="121">
        <v>6</v>
      </c>
      <c r="D7940" s="734">
        <v>139.20387013217348</v>
      </c>
      <c r="E7940" s="733"/>
    </row>
    <row r="7941" spans="2:5">
      <c r="B7941" s="121">
        <v>691</v>
      </c>
      <c r="C7941" s="121">
        <v>7</v>
      </c>
      <c r="D7941" s="734">
        <v>146.79335902074408</v>
      </c>
      <c r="E7941" s="733"/>
    </row>
    <row r="7942" spans="2:5">
      <c r="B7942" s="121">
        <v>691</v>
      </c>
      <c r="C7942" s="121">
        <v>8</v>
      </c>
      <c r="D7942" s="734">
        <v>135.55647039525422</v>
      </c>
      <c r="E7942" s="733"/>
    </row>
    <row r="7943" spans="2:5">
      <c r="B7943" s="121">
        <v>691</v>
      </c>
      <c r="C7943" s="121">
        <v>9</v>
      </c>
      <c r="D7943" s="734">
        <v>141.99895257505554</v>
      </c>
      <c r="E7943" s="733"/>
    </row>
    <row r="7944" spans="2:5">
      <c r="B7944" s="121">
        <v>691</v>
      </c>
      <c r="C7944" s="121">
        <v>10</v>
      </c>
      <c r="D7944" s="734">
        <v>142.08410803476292</v>
      </c>
      <c r="E7944" s="733"/>
    </row>
    <row r="7945" spans="2:5">
      <c r="B7945" s="121">
        <v>691</v>
      </c>
      <c r="C7945" s="121">
        <v>11</v>
      </c>
      <c r="D7945" s="734">
        <v>142.94872244448638</v>
      </c>
      <c r="E7945" s="733"/>
    </row>
    <row r="7946" spans="2:5">
      <c r="B7946" s="121">
        <v>691</v>
      </c>
      <c r="C7946" s="121">
        <v>12</v>
      </c>
      <c r="D7946" s="734">
        <v>141.35746251316911</v>
      </c>
      <c r="E7946" s="733"/>
    </row>
    <row r="7947" spans="2:5">
      <c r="B7947" s="121">
        <v>691</v>
      </c>
      <c r="C7947" s="121">
        <v>13</v>
      </c>
      <c r="D7947" s="734">
        <v>138.79678366596247</v>
      </c>
      <c r="E7947" s="733"/>
    </row>
    <row r="7948" spans="2:5">
      <c r="B7948" s="121">
        <v>691</v>
      </c>
      <c r="C7948" s="121">
        <v>14</v>
      </c>
      <c r="D7948" s="734">
        <v>140.30117970298738</v>
      </c>
      <c r="E7948" s="733"/>
    </row>
    <row r="7949" spans="2:5">
      <c r="B7949" s="121">
        <v>691</v>
      </c>
      <c r="C7949" s="121">
        <v>15</v>
      </c>
      <c r="D7949" s="734">
        <v>145.46667659657265</v>
      </c>
      <c r="E7949" s="733"/>
    </row>
    <row r="7950" spans="2:5">
      <c r="B7950" s="121">
        <v>691</v>
      </c>
      <c r="C7950" s="121">
        <v>16</v>
      </c>
      <c r="D7950" s="734">
        <v>135.84410078371502</v>
      </c>
      <c r="E7950" s="733"/>
    </row>
    <row r="7951" spans="2:5">
      <c r="B7951" s="121">
        <v>692</v>
      </c>
      <c r="C7951" s="121">
        <v>1</v>
      </c>
      <c r="D7951" s="734">
        <v>5</v>
      </c>
      <c r="E7951" s="733"/>
    </row>
    <row r="7952" spans="2:5">
      <c r="B7952" s="121">
        <v>692</v>
      </c>
      <c r="C7952" s="121">
        <v>2</v>
      </c>
      <c r="D7952" s="734">
        <v>103.24874763936047</v>
      </c>
      <c r="E7952" s="733"/>
    </row>
    <row r="7953" spans="2:5">
      <c r="B7953" s="121">
        <v>692</v>
      </c>
      <c r="C7953" s="121">
        <v>3</v>
      </c>
      <c r="D7953" s="734">
        <v>124.43653120313957</v>
      </c>
      <c r="E7953" s="733"/>
    </row>
    <row r="7954" spans="2:5">
      <c r="B7954" s="121">
        <v>692</v>
      </c>
      <c r="C7954" s="121">
        <v>4</v>
      </c>
      <c r="D7954" s="734">
        <v>138.4119005687412</v>
      </c>
      <c r="E7954" s="733"/>
    </row>
    <row r="7955" spans="2:5">
      <c r="B7955" s="121">
        <v>692</v>
      </c>
      <c r="C7955" s="121">
        <v>5</v>
      </c>
      <c r="D7955" s="734">
        <v>135.4097858431029</v>
      </c>
      <c r="E7955" s="733"/>
    </row>
    <row r="7956" spans="2:5">
      <c r="B7956" s="121">
        <v>692</v>
      </c>
      <c r="C7956" s="121">
        <v>6</v>
      </c>
      <c r="D7956" s="734">
        <v>145.62114796790243</v>
      </c>
      <c r="E7956" s="733"/>
    </row>
    <row r="7957" spans="2:5">
      <c r="B7957" s="121">
        <v>692</v>
      </c>
      <c r="C7957" s="121">
        <v>7</v>
      </c>
      <c r="D7957" s="734">
        <v>145.99117692000047</v>
      </c>
      <c r="E7957" s="733"/>
    </row>
    <row r="7958" spans="2:5">
      <c r="B7958" s="121">
        <v>692</v>
      </c>
      <c r="C7958" s="121">
        <v>8</v>
      </c>
      <c r="D7958" s="734">
        <v>142.81470827408322</v>
      </c>
      <c r="E7958" s="733"/>
    </row>
    <row r="7959" spans="2:5">
      <c r="B7959" s="121">
        <v>692</v>
      </c>
      <c r="C7959" s="121">
        <v>9</v>
      </c>
      <c r="D7959" s="734">
        <v>143.56869368244557</v>
      </c>
      <c r="E7959" s="733"/>
    </row>
    <row r="7960" spans="2:5">
      <c r="B7960" s="121">
        <v>692</v>
      </c>
      <c r="C7960" s="121">
        <v>10</v>
      </c>
      <c r="D7960" s="734">
        <v>139.47770385971029</v>
      </c>
      <c r="E7960" s="733"/>
    </row>
    <row r="7961" spans="2:5">
      <c r="B7961" s="121">
        <v>692</v>
      </c>
      <c r="C7961" s="121">
        <v>11</v>
      </c>
      <c r="D7961" s="734">
        <v>136.56121170922833</v>
      </c>
      <c r="E7961" s="733"/>
    </row>
    <row r="7962" spans="2:5">
      <c r="B7962" s="121">
        <v>692</v>
      </c>
      <c r="C7962" s="121">
        <v>12</v>
      </c>
      <c r="D7962" s="734">
        <v>139.72270117242442</v>
      </c>
      <c r="E7962" s="733"/>
    </row>
    <row r="7963" spans="2:5">
      <c r="B7963" s="121">
        <v>692</v>
      </c>
      <c r="C7963" s="121">
        <v>13</v>
      </c>
      <c r="D7963" s="734">
        <v>145.94154127657742</v>
      </c>
      <c r="E7963" s="733"/>
    </row>
    <row r="7964" spans="2:5">
      <c r="B7964" s="121">
        <v>692</v>
      </c>
      <c r="C7964" s="121">
        <v>14</v>
      </c>
      <c r="D7964" s="734">
        <v>135.19531751275383</v>
      </c>
      <c r="E7964" s="733"/>
    </row>
    <row r="7965" spans="2:5">
      <c r="B7965" s="121">
        <v>692</v>
      </c>
      <c r="C7965" s="121">
        <v>15</v>
      </c>
      <c r="D7965" s="734">
        <v>145.50682471589056</v>
      </c>
      <c r="E7965" s="733"/>
    </row>
    <row r="7966" spans="2:5">
      <c r="B7966" s="121">
        <v>692</v>
      </c>
      <c r="C7966" s="121">
        <v>16</v>
      </c>
      <c r="D7966" s="734">
        <v>145.77198177094877</v>
      </c>
      <c r="E7966" s="733"/>
    </row>
    <row r="7967" spans="2:5">
      <c r="B7967" s="121">
        <v>692</v>
      </c>
      <c r="C7967" s="121">
        <v>17</v>
      </c>
      <c r="D7967" s="734">
        <v>145.8119077045566</v>
      </c>
      <c r="E7967" s="733"/>
    </row>
    <row r="7968" spans="2:5">
      <c r="B7968" s="121">
        <v>692</v>
      </c>
      <c r="C7968" s="121">
        <v>18</v>
      </c>
      <c r="D7968" s="734">
        <v>140.69724253290755</v>
      </c>
      <c r="E7968" s="733"/>
    </row>
    <row r="7969" spans="2:5">
      <c r="B7969" s="121">
        <v>692</v>
      </c>
      <c r="C7969" s="121">
        <v>19</v>
      </c>
      <c r="D7969" s="734">
        <v>142.07153879744004</v>
      </c>
      <c r="E7969" s="733"/>
    </row>
    <row r="7970" spans="2:5">
      <c r="B7970" s="121">
        <v>692</v>
      </c>
      <c r="C7970" s="121">
        <v>20</v>
      </c>
      <c r="D7970" s="734">
        <v>145.93745894940653</v>
      </c>
      <c r="E7970" s="733"/>
    </row>
    <row r="7971" spans="2:5">
      <c r="B7971" s="121">
        <v>692</v>
      </c>
      <c r="C7971" s="121">
        <v>21</v>
      </c>
      <c r="D7971" s="734">
        <v>140.01349430749201</v>
      </c>
      <c r="E7971" s="733"/>
    </row>
    <row r="7972" spans="2:5">
      <c r="B7972" s="121">
        <v>692</v>
      </c>
      <c r="C7972" s="121">
        <v>22</v>
      </c>
      <c r="D7972" s="734">
        <v>135.36806283694301</v>
      </c>
      <c r="E7972" s="733"/>
    </row>
    <row r="7973" spans="2:5">
      <c r="B7973" s="121">
        <v>692</v>
      </c>
      <c r="C7973" s="121">
        <v>23</v>
      </c>
      <c r="D7973" s="734">
        <v>144.67408333307645</v>
      </c>
      <c r="E7973" s="733"/>
    </row>
    <row r="7974" spans="2:5">
      <c r="B7974" s="121">
        <v>692</v>
      </c>
      <c r="C7974" s="121">
        <v>24</v>
      </c>
      <c r="D7974" s="734">
        <v>140.22096942571628</v>
      </c>
      <c r="E7974" s="733"/>
    </row>
    <row r="7975" spans="2:5">
      <c r="B7975" s="121">
        <v>692</v>
      </c>
      <c r="C7975" s="121">
        <v>25</v>
      </c>
      <c r="D7975" s="734">
        <v>146.03317636429</v>
      </c>
      <c r="E7975" s="733"/>
    </row>
    <row r="7976" spans="2:5">
      <c r="B7976" s="121">
        <v>692</v>
      </c>
      <c r="C7976" s="121">
        <v>26</v>
      </c>
      <c r="D7976" s="734">
        <v>138.99657894544259</v>
      </c>
      <c r="E7976" s="733"/>
    </row>
    <row r="7977" spans="2:5">
      <c r="B7977" s="121">
        <v>692</v>
      </c>
      <c r="C7977" s="121">
        <v>27</v>
      </c>
      <c r="D7977" s="734">
        <v>136.95037449371912</v>
      </c>
      <c r="E7977" s="733"/>
    </row>
    <row r="7978" spans="2:5">
      <c r="B7978" s="121">
        <v>692</v>
      </c>
      <c r="C7978" s="121">
        <v>28</v>
      </c>
      <c r="D7978" s="734">
        <v>135.36322213847569</v>
      </c>
      <c r="E7978" s="733"/>
    </row>
    <row r="7979" spans="2:5">
      <c r="B7979" s="121">
        <v>692</v>
      </c>
      <c r="C7979" s="121">
        <v>29</v>
      </c>
      <c r="D7979" s="734">
        <v>134.8296543643043</v>
      </c>
      <c r="E7979" s="733"/>
    </row>
    <row r="7980" spans="2:5">
      <c r="B7980" s="121">
        <v>692</v>
      </c>
      <c r="C7980" s="121">
        <v>30</v>
      </c>
      <c r="D7980" s="734">
        <v>140.51398205234827</v>
      </c>
      <c r="E7980" s="733"/>
    </row>
    <row r="7981" spans="2:5">
      <c r="B7981" s="121">
        <v>692</v>
      </c>
      <c r="C7981" s="121">
        <v>31</v>
      </c>
      <c r="D7981" s="734">
        <v>146.80737984167493</v>
      </c>
      <c r="E7981" s="733"/>
    </row>
    <row r="7982" spans="2:5">
      <c r="B7982" s="121">
        <v>692</v>
      </c>
      <c r="C7982" s="121">
        <v>32</v>
      </c>
      <c r="D7982" s="734">
        <v>137.21355833295758</v>
      </c>
      <c r="E7982" s="733"/>
    </row>
    <row r="7983" spans="2:5">
      <c r="B7983" s="121">
        <v>692</v>
      </c>
      <c r="C7983" s="121">
        <v>33</v>
      </c>
      <c r="D7983" s="734">
        <v>145.0969018484702</v>
      </c>
      <c r="E7983" s="733"/>
    </row>
    <row r="7984" spans="2:5">
      <c r="B7984" s="121">
        <v>692</v>
      </c>
      <c r="C7984" s="121">
        <v>34</v>
      </c>
      <c r="D7984" s="734">
        <v>138.76075089665125</v>
      </c>
      <c r="E7984" s="733"/>
    </row>
    <row r="7985" spans="2:5">
      <c r="B7985" s="121">
        <v>692</v>
      </c>
      <c r="C7985" s="121">
        <v>35</v>
      </c>
      <c r="D7985" s="734">
        <v>139.89677774705581</v>
      </c>
      <c r="E7985" s="733"/>
    </row>
    <row r="7986" spans="2:5">
      <c r="B7986" s="121">
        <v>692</v>
      </c>
      <c r="C7986" s="121">
        <v>36</v>
      </c>
      <c r="D7986" s="734">
        <v>139.4824772054908</v>
      </c>
      <c r="E7986" s="733"/>
    </row>
    <row r="7987" spans="2:5">
      <c r="B7987" s="121">
        <v>693</v>
      </c>
      <c r="C7987" s="121">
        <v>1</v>
      </c>
      <c r="D7987" s="734">
        <v>5</v>
      </c>
      <c r="E7987" s="733"/>
    </row>
    <row r="7988" spans="2:5">
      <c r="B7988" s="121">
        <v>694</v>
      </c>
      <c r="C7988" s="121">
        <v>1</v>
      </c>
      <c r="D7988" s="734">
        <v>5</v>
      </c>
      <c r="E7988" s="733"/>
    </row>
    <row r="7989" spans="2:5">
      <c r="B7989" s="121">
        <v>694</v>
      </c>
      <c r="C7989" s="121">
        <v>2</v>
      </c>
      <c r="D7989" s="734">
        <v>100.09763017089523</v>
      </c>
      <c r="E7989" s="733"/>
    </row>
    <row r="7990" spans="2:5">
      <c r="B7990" s="121">
        <v>695</v>
      </c>
      <c r="C7990" s="121">
        <v>1</v>
      </c>
      <c r="D7990" s="734">
        <v>5</v>
      </c>
      <c r="E7990" s="733"/>
    </row>
    <row r="7991" spans="2:5">
      <c r="B7991" s="121">
        <v>695</v>
      </c>
      <c r="C7991" s="121">
        <v>2</v>
      </c>
      <c r="D7991" s="734">
        <v>100.08866838250432</v>
      </c>
      <c r="E7991" s="733"/>
    </row>
    <row r="7992" spans="2:5">
      <c r="B7992" s="121">
        <v>695</v>
      </c>
      <c r="C7992" s="121">
        <v>3</v>
      </c>
      <c r="D7992" s="734">
        <v>120.59817006592111</v>
      </c>
      <c r="E7992" s="733"/>
    </row>
    <row r="7993" spans="2:5">
      <c r="B7993" s="121">
        <v>695</v>
      </c>
      <c r="C7993" s="121">
        <v>4</v>
      </c>
      <c r="D7993" s="734">
        <v>144.23551813226732</v>
      </c>
      <c r="E7993" s="733"/>
    </row>
    <row r="7994" spans="2:5">
      <c r="B7994" s="121">
        <v>695</v>
      </c>
      <c r="C7994" s="121">
        <v>5</v>
      </c>
      <c r="D7994" s="734">
        <v>139.64889561957753</v>
      </c>
      <c r="E7994" s="733"/>
    </row>
    <row r="7995" spans="2:5">
      <c r="B7995" s="121">
        <v>695</v>
      </c>
      <c r="C7995" s="121">
        <v>6</v>
      </c>
      <c r="D7995" s="734">
        <v>146.46496676396958</v>
      </c>
      <c r="E7995" s="733"/>
    </row>
    <row r="7996" spans="2:5">
      <c r="B7996" s="121">
        <v>695</v>
      </c>
      <c r="C7996" s="121">
        <v>7</v>
      </c>
      <c r="D7996" s="734">
        <v>142.48988284980811</v>
      </c>
      <c r="E7996" s="733"/>
    </row>
    <row r="7997" spans="2:5">
      <c r="B7997" s="121">
        <v>695</v>
      </c>
      <c r="C7997" s="121">
        <v>8</v>
      </c>
      <c r="D7997" s="734">
        <v>134.68037176794888</v>
      </c>
      <c r="E7997" s="733"/>
    </row>
    <row r="7998" spans="2:5">
      <c r="B7998" s="121">
        <v>695</v>
      </c>
      <c r="C7998" s="121">
        <v>9</v>
      </c>
      <c r="D7998" s="734">
        <v>145.72131417163195</v>
      </c>
      <c r="E7998" s="733"/>
    </row>
    <row r="7999" spans="2:5">
      <c r="B7999" s="121">
        <v>695</v>
      </c>
      <c r="C7999" s="121">
        <v>10</v>
      </c>
      <c r="D7999" s="734">
        <v>145.42369787609383</v>
      </c>
      <c r="E7999" s="733"/>
    </row>
    <row r="8000" spans="2:5">
      <c r="B8000" s="121">
        <v>695</v>
      </c>
      <c r="C8000" s="121">
        <v>11</v>
      </c>
      <c r="D8000" s="734">
        <v>138.35665360251554</v>
      </c>
      <c r="E8000" s="733"/>
    </row>
    <row r="8001" spans="2:5">
      <c r="B8001" s="121">
        <v>695</v>
      </c>
      <c r="C8001" s="121">
        <v>12</v>
      </c>
      <c r="D8001" s="734">
        <v>137.19106541983422</v>
      </c>
      <c r="E8001" s="733"/>
    </row>
    <row r="8002" spans="2:5">
      <c r="B8002" s="121">
        <v>695</v>
      </c>
      <c r="C8002" s="121">
        <v>13</v>
      </c>
      <c r="D8002" s="734">
        <v>142.89884897331711</v>
      </c>
      <c r="E8002" s="733"/>
    </row>
    <row r="8003" spans="2:5">
      <c r="B8003" s="121">
        <v>695</v>
      </c>
      <c r="C8003" s="121">
        <v>14</v>
      </c>
      <c r="D8003" s="734">
        <v>135.60456545642765</v>
      </c>
      <c r="E8003" s="733"/>
    </row>
    <row r="8004" spans="2:5">
      <c r="B8004" s="121">
        <v>695</v>
      </c>
      <c r="C8004" s="121">
        <v>15</v>
      </c>
      <c r="D8004" s="734">
        <v>147.05838390926166</v>
      </c>
      <c r="E8004" s="733"/>
    </row>
    <row r="8005" spans="2:5">
      <c r="B8005" s="121">
        <v>695</v>
      </c>
      <c r="C8005" s="121">
        <v>16</v>
      </c>
      <c r="D8005" s="734">
        <v>142.7731296746945</v>
      </c>
      <c r="E8005" s="733"/>
    </row>
    <row r="8006" spans="2:5">
      <c r="B8006" s="121">
        <v>695</v>
      </c>
      <c r="C8006" s="121">
        <v>17</v>
      </c>
      <c r="D8006" s="734">
        <v>146.47734995248814</v>
      </c>
      <c r="E8006" s="733"/>
    </row>
    <row r="8007" spans="2:5">
      <c r="B8007" s="121">
        <v>695</v>
      </c>
      <c r="C8007" s="121">
        <v>18</v>
      </c>
      <c r="D8007" s="734">
        <v>144.0173922206163</v>
      </c>
      <c r="E8007" s="733"/>
    </row>
    <row r="8008" spans="2:5">
      <c r="B8008" s="121">
        <v>695</v>
      </c>
      <c r="C8008" s="121">
        <v>19</v>
      </c>
      <c r="D8008" s="734">
        <v>146.34600352827653</v>
      </c>
      <c r="E8008" s="733"/>
    </row>
    <row r="8009" spans="2:5">
      <c r="B8009" s="121">
        <v>695</v>
      </c>
      <c r="C8009" s="121">
        <v>20</v>
      </c>
      <c r="D8009" s="734">
        <v>139.47492110228879</v>
      </c>
      <c r="E8009" s="733"/>
    </row>
    <row r="8010" spans="2:5">
      <c r="B8010" s="121">
        <v>695</v>
      </c>
      <c r="C8010" s="121">
        <v>21</v>
      </c>
      <c r="D8010" s="734">
        <v>139.32205381335842</v>
      </c>
      <c r="E8010" s="733"/>
    </row>
    <row r="8011" spans="2:5">
      <c r="B8011" s="121">
        <v>695</v>
      </c>
      <c r="C8011" s="121">
        <v>22</v>
      </c>
      <c r="D8011" s="734">
        <v>137.82662014674023</v>
      </c>
      <c r="E8011" s="733"/>
    </row>
    <row r="8012" spans="2:5">
      <c r="B8012" s="121">
        <v>695</v>
      </c>
      <c r="C8012" s="121">
        <v>23</v>
      </c>
      <c r="D8012" s="734">
        <v>137.0586530440855</v>
      </c>
      <c r="E8012" s="733"/>
    </row>
    <row r="8013" spans="2:5">
      <c r="B8013" s="121">
        <v>695</v>
      </c>
      <c r="C8013" s="121">
        <v>24</v>
      </c>
      <c r="D8013" s="734">
        <v>139.75169659520483</v>
      </c>
      <c r="E8013" s="733"/>
    </row>
    <row r="8014" spans="2:5">
      <c r="B8014" s="121">
        <v>695</v>
      </c>
      <c r="C8014" s="121">
        <v>25</v>
      </c>
      <c r="D8014" s="734">
        <v>145.33495986957902</v>
      </c>
      <c r="E8014" s="733"/>
    </row>
    <row r="8015" spans="2:5">
      <c r="B8015" s="121">
        <v>695</v>
      </c>
      <c r="C8015" s="121">
        <v>26</v>
      </c>
      <c r="D8015" s="734">
        <v>143.70681908818315</v>
      </c>
      <c r="E8015" s="733"/>
    </row>
    <row r="8016" spans="2:5">
      <c r="B8016" s="121">
        <v>695</v>
      </c>
      <c r="C8016" s="121">
        <v>27</v>
      </c>
      <c r="D8016" s="734">
        <v>139.3354454340614</v>
      </c>
      <c r="E8016" s="733"/>
    </row>
    <row r="8017" spans="2:5">
      <c r="B8017" s="121">
        <v>695</v>
      </c>
      <c r="C8017" s="121">
        <v>28</v>
      </c>
      <c r="D8017" s="734">
        <v>135.26166879140629</v>
      </c>
      <c r="E8017" s="733"/>
    </row>
    <row r="8018" spans="2:5">
      <c r="B8018" s="121">
        <v>695</v>
      </c>
      <c r="C8018" s="121">
        <v>29</v>
      </c>
      <c r="D8018" s="734">
        <v>145.81717359269436</v>
      </c>
      <c r="E8018" s="733"/>
    </row>
    <row r="8019" spans="2:5">
      <c r="B8019" s="121">
        <v>695</v>
      </c>
      <c r="C8019" s="121">
        <v>30</v>
      </c>
      <c r="D8019" s="734">
        <v>145.27974444813472</v>
      </c>
      <c r="E8019" s="733"/>
    </row>
    <row r="8020" spans="2:5">
      <c r="B8020" s="121">
        <v>696</v>
      </c>
      <c r="C8020" s="121">
        <v>1</v>
      </c>
      <c r="D8020" s="734">
        <v>5</v>
      </c>
      <c r="E8020" s="733"/>
    </row>
    <row r="8021" spans="2:5">
      <c r="B8021" s="121">
        <v>696</v>
      </c>
      <c r="C8021" s="121">
        <v>2</v>
      </c>
      <c r="D8021" s="734">
        <v>94.092083317581583</v>
      </c>
      <c r="E8021" s="733"/>
    </row>
    <row r="8022" spans="2:5">
      <c r="B8022" s="121">
        <v>696</v>
      </c>
      <c r="C8022" s="121">
        <v>3</v>
      </c>
      <c r="D8022" s="734">
        <v>122.01783829391515</v>
      </c>
      <c r="E8022" s="733"/>
    </row>
    <row r="8023" spans="2:5">
      <c r="B8023" s="121">
        <v>696</v>
      </c>
      <c r="C8023" s="121">
        <v>4</v>
      </c>
      <c r="D8023" s="734">
        <v>138.70891240575085</v>
      </c>
      <c r="E8023" s="733"/>
    </row>
    <row r="8024" spans="2:5">
      <c r="B8024" s="121">
        <v>697</v>
      </c>
      <c r="C8024" s="121">
        <v>1</v>
      </c>
      <c r="D8024" s="734">
        <v>5</v>
      </c>
      <c r="E8024" s="733"/>
    </row>
    <row r="8025" spans="2:5">
      <c r="B8025" s="121">
        <v>697</v>
      </c>
      <c r="C8025" s="121">
        <v>2</v>
      </c>
      <c r="D8025" s="734">
        <v>103.03090188879351</v>
      </c>
      <c r="E8025" s="733"/>
    </row>
    <row r="8026" spans="2:5">
      <c r="B8026" s="121">
        <v>698</v>
      </c>
      <c r="C8026" s="121">
        <v>1</v>
      </c>
      <c r="D8026" s="734">
        <v>5</v>
      </c>
      <c r="E8026" s="733"/>
    </row>
    <row r="8027" spans="2:5">
      <c r="B8027" s="121">
        <v>698</v>
      </c>
      <c r="C8027" s="121">
        <v>2</v>
      </c>
      <c r="D8027" s="734">
        <v>96.642661242030883</v>
      </c>
      <c r="E8027" s="733"/>
    </row>
    <row r="8028" spans="2:5">
      <c r="B8028" s="121">
        <v>698</v>
      </c>
      <c r="C8028" s="121">
        <v>3</v>
      </c>
      <c r="D8028" s="734">
        <v>114.95235192224105</v>
      </c>
      <c r="E8028" s="733"/>
    </row>
    <row r="8029" spans="2:5">
      <c r="B8029" s="121">
        <v>698</v>
      </c>
      <c r="C8029" s="121">
        <v>4</v>
      </c>
      <c r="D8029" s="734">
        <v>135.70575042262374</v>
      </c>
      <c r="E8029" s="733"/>
    </row>
    <row r="8030" spans="2:5">
      <c r="B8030" s="121">
        <v>698</v>
      </c>
      <c r="C8030" s="121">
        <v>5</v>
      </c>
      <c r="D8030" s="734">
        <v>134.46332208459492</v>
      </c>
      <c r="E8030" s="733"/>
    </row>
    <row r="8031" spans="2:5">
      <c r="B8031" s="121">
        <v>698</v>
      </c>
      <c r="C8031" s="121">
        <v>6</v>
      </c>
      <c r="D8031" s="734">
        <v>139.58535574806444</v>
      </c>
      <c r="E8031" s="733"/>
    </row>
    <row r="8032" spans="2:5">
      <c r="B8032" s="121">
        <v>698</v>
      </c>
      <c r="C8032" s="121">
        <v>7</v>
      </c>
      <c r="D8032" s="734">
        <v>133.73441826484535</v>
      </c>
      <c r="E8032" s="733"/>
    </row>
    <row r="8033" spans="2:5">
      <c r="B8033" s="121">
        <v>698</v>
      </c>
      <c r="C8033" s="121">
        <v>8</v>
      </c>
      <c r="D8033" s="734">
        <v>145.52618418791914</v>
      </c>
      <c r="E8033" s="733"/>
    </row>
    <row r="8034" spans="2:5">
      <c r="B8034" s="121">
        <v>698</v>
      </c>
      <c r="C8034" s="121">
        <v>9</v>
      </c>
      <c r="D8034" s="734">
        <v>144.64910419484806</v>
      </c>
      <c r="E8034" s="733"/>
    </row>
    <row r="8035" spans="2:5">
      <c r="B8035" s="121">
        <v>698</v>
      </c>
      <c r="C8035" s="121">
        <v>10</v>
      </c>
      <c r="D8035" s="734">
        <v>137.58345663620409</v>
      </c>
      <c r="E8035" s="733"/>
    </row>
    <row r="8036" spans="2:5">
      <c r="B8036" s="121">
        <v>698</v>
      </c>
      <c r="C8036" s="121">
        <v>11</v>
      </c>
      <c r="D8036" s="734">
        <v>141.62545594053535</v>
      </c>
      <c r="E8036" s="733"/>
    </row>
    <row r="8037" spans="2:5">
      <c r="B8037" s="121">
        <v>698</v>
      </c>
      <c r="C8037" s="121">
        <v>12</v>
      </c>
      <c r="D8037" s="734">
        <v>136.02424210891289</v>
      </c>
      <c r="E8037" s="733"/>
    </row>
    <row r="8038" spans="2:5">
      <c r="B8038" s="121">
        <v>698</v>
      </c>
      <c r="C8038" s="121">
        <v>13</v>
      </c>
      <c r="D8038" s="734">
        <v>146.3897846600243</v>
      </c>
      <c r="E8038" s="733"/>
    </row>
    <row r="8039" spans="2:5">
      <c r="B8039" s="121">
        <v>698</v>
      </c>
      <c r="C8039" s="121">
        <v>14</v>
      </c>
      <c r="D8039" s="734">
        <v>143.84535448022305</v>
      </c>
      <c r="E8039" s="733"/>
    </row>
    <row r="8040" spans="2:5">
      <c r="B8040" s="121">
        <v>698</v>
      </c>
      <c r="C8040" s="121">
        <v>15</v>
      </c>
      <c r="D8040" s="734">
        <v>136.76276148367</v>
      </c>
      <c r="E8040" s="733"/>
    </row>
    <row r="8041" spans="2:5">
      <c r="B8041" s="121">
        <v>698</v>
      </c>
      <c r="C8041" s="121">
        <v>16</v>
      </c>
      <c r="D8041" s="734">
        <v>136.51378486889595</v>
      </c>
      <c r="E8041" s="733"/>
    </row>
    <row r="8042" spans="2:5">
      <c r="B8042" s="121">
        <v>698</v>
      </c>
      <c r="C8042" s="121">
        <v>17</v>
      </c>
      <c r="D8042" s="734">
        <v>137.86724689966232</v>
      </c>
      <c r="E8042" s="733"/>
    </row>
    <row r="8043" spans="2:5">
      <c r="B8043" s="121">
        <v>698</v>
      </c>
      <c r="C8043" s="121">
        <v>18</v>
      </c>
      <c r="D8043" s="734">
        <v>143.23759525476731</v>
      </c>
      <c r="E8043" s="733"/>
    </row>
    <row r="8044" spans="2:5">
      <c r="B8044" s="121">
        <v>698</v>
      </c>
      <c r="C8044" s="121">
        <v>19</v>
      </c>
      <c r="D8044" s="734">
        <v>135.21952775366537</v>
      </c>
      <c r="E8044" s="733"/>
    </row>
    <row r="8045" spans="2:5">
      <c r="B8045" s="121">
        <v>698</v>
      </c>
      <c r="C8045" s="121">
        <v>20</v>
      </c>
      <c r="D8045" s="734">
        <v>144.95298278846406</v>
      </c>
      <c r="E8045" s="733"/>
    </row>
    <row r="8046" spans="2:5">
      <c r="B8046" s="121">
        <v>699</v>
      </c>
      <c r="C8046" s="121">
        <v>1</v>
      </c>
      <c r="D8046" s="734">
        <v>5</v>
      </c>
      <c r="E8046" s="733"/>
    </row>
    <row r="8047" spans="2:5">
      <c r="B8047" s="121">
        <v>700</v>
      </c>
      <c r="C8047" s="121">
        <v>1</v>
      </c>
      <c r="D8047" s="734">
        <v>5</v>
      </c>
      <c r="E8047" s="733"/>
    </row>
    <row r="8048" spans="2:5">
      <c r="B8048" s="121">
        <v>700</v>
      </c>
      <c r="C8048" s="121">
        <v>2</v>
      </c>
      <c r="D8048" s="734">
        <v>102.72026653660507</v>
      </c>
      <c r="E8048" s="733"/>
    </row>
    <row r="8049" spans="2:5">
      <c r="B8049" s="121">
        <v>700</v>
      </c>
      <c r="C8049" s="121">
        <v>3</v>
      </c>
      <c r="D8049" s="734">
        <v>115.09336704693779</v>
      </c>
      <c r="E8049" s="733"/>
    </row>
    <row r="8050" spans="2:5">
      <c r="B8050" s="121">
        <v>700</v>
      </c>
      <c r="C8050" s="121">
        <v>4</v>
      </c>
      <c r="D8050" s="734">
        <v>144.89402966899067</v>
      </c>
      <c r="E8050" s="733"/>
    </row>
    <row r="8051" spans="2:5">
      <c r="B8051" s="121">
        <v>700</v>
      </c>
      <c r="C8051" s="121">
        <v>5</v>
      </c>
      <c r="D8051" s="734">
        <v>144.64953312906997</v>
      </c>
      <c r="E8051" s="733"/>
    </row>
    <row r="8052" spans="2:5">
      <c r="B8052" s="121">
        <v>700</v>
      </c>
      <c r="C8052" s="121">
        <v>6</v>
      </c>
      <c r="D8052" s="734">
        <v>137.29062501459543</v>
      </c>
      <c r="E8052" s="733"/>
    </row>
    <row r="8053" spans="2:5">
      <c r="B8053" s="121">
        <v>700</v>
      </c>
      <c r="C8053" s="121">
        <v>7</v>
      </c>
      <c r="D8053" s="734">
        <v>140.69573625801678</v>
      </c>
      <c r="E8053" s="733"/>
    </row>
    <row r="8054" spans="2:5">
      <c r="B8054" s="121">
        <v>700</v>
      </c>
      <c r="C8054" s="121">
        <v>8</v>
      </c>
      <c r="D8054" s="734">
        <v>143.78262748821186</v>
      </c>
      <c r="E8054" s="733"/>
    </row>
    <row r="8055" spans="2:5">
      <c r="B8055" s="121">
        <v>700</v>
      </c>
      <c r="C8055" s="121">
        <v>9</v>
      </c>
      <c r="D8055" s="734">
        <v>137.02373395750425</v>
      </c>
      <c r="E8055" s="733"/>
    </row>
    <row r="8056" spans="2:5">
      <c r="B8056" s="121">
        <v>700</v>
      </c>
      <c r="C8056" s="121">
        <v>10</v>
      </c>
      <c r="D8056" s="734">
        <v>142.96915972076982</v>
      </c>
      <c r="E8056" s="733"/>
    </row>
    <row r="8057" spans="2:5">
      <c r="B8057" s="121">
        <v>700</v>
      </c>
      <c r="C8057" s="121">
        <v>11</v>
      </c>
      <c r="D8057" s="734">
        <v>140.77469325170861</v>
      </c>
      <c r="E8057" s="733"/>
    </row>
    <row r="8058" spans="2:5">
      <c r="B8058" s="121">
        <v>700</v>
      </c>
      <c r="C8058" s="121">
        <v>12</v>
      </c>
      <c r="D8058" s="734">
        <v>136.59221125718292</v>
      </c>
      <c r="E8058" s="733"/>
    </row>
    <row r="8059" spans="2:5">
      <c r="B8059" s="121">
        <v>700</v>
      </c>
      <c r="C8059" s="121">
        <v>13</v>
      </c>
      <c r="D8059" s="734">
        <v>141.88101020634488</v>
      </c>
      <c r="E8059" s="733"/>
    </row>
    <row r="8060" spans="2:5">
      <c r="B8060" s="121">
        <v>700</v>
      </c>
      <c r="C8060" s="121">
        <v>14</v>
      </c>
      <c r="D8060" s="734">
        <v>138.82795894504551</v>
      </c>
      <c r="E8060" s="733"/>
    </row>
    <row r="8061" spans="2:5">
      <c r="B8061" s="121">
        <v>700</v>
      </c>
      <c r="C8061" s="121">
        <v>15</v>
      </c>
      <c r="D8061" s="734">
        <v>137.72443733890577</v>
      </c>
      <c r="E8061" s="733"/>
    </row>
    <row r="8062" spans="2:5">
      <c r="B8062" s="121">
        <v>700</v>
      </c>
      <c r="C8062" s="121">
        <v>16</v>
      </c>
      <c r="D8062" s="734">
        <v>143.30152081950115</v>
      </c>
      <c r="E8062" s="733"/>
    </row>
    <row r="8063" spans="2:5">
      <c r="B8063" s="121">
        <v>700</v>
      </c>
      <c r="C8063" s="121">
        <v>17</v>
      </c>
      <c r="D8063" s="734">
        <v>136.57615235250745</v>
      </c>
      <c r="E8063" s="733"/>
    </row>
    <row r="8064" spans="2:5">
      <c r="B8064" s="121">
        <v>700</v>
      </c>
      <c r="C8064" s="121">
        <v>18</v>
      </c>
      <c r="D8064" s="734">
        <v>142.31970405222302</v>
      </c>
      <c r="E8064" s="733"/>
    </row>
    <row r="8065" spans="2:5">
      <c r="B8065" s="121">
        <v>700</v>
      </c>
      <c r="C8065" s="121">
        <v>19</v>
      </c>
      <c r="D8065" s="734">
        <v>143.69364568981544</v>
      </c>
      <c r="E8065" s="733"/>
    </row>
    <row r="8066" spans="2:5">
      <c r="B8066" s="121">
        <v>700</v>
      </c>
      <c r="C8066" s="121">
        <v>20</v>
      </c>
      <c r="D8066" s="734">
        <v>135.60870316545908</v>
      </c>
      <c r="E8066" s="733"/>
    </row>
    <row r="8067" spans="2:5">
      <c r="B8067" s="121">
        <v>700</v>
      </c>
      <c r="C8067" s="121">
        <v>21</v>
      </c>
      <c r="D8067" s="734">
        <v>135.75673644468961</v>
      </c>
      <c r="E8067" s="733"/>
    </row>
    <row r="8068" spans="2:5">
      <c r="B8068" s="121">
        <v>700</v>
      </c>
      <c r="C8068" s="121">
        <v>22</v>
      </c>
      <c r="D8068" s="734">
        <v>137.63217859244577</v>
      </c>
      <c r="E8068" s="733"/>
    </row>
    <row r="8069" spans="2:5">
      <c r="B8069" s="121">
        <v>700</v>
      </c>
      <c r="C8069" s="121">
        <v>23</v>
      </c>
      <c r="D8069" s="734">
        <v>146.26761155327301</v>
      </c>
      <c r="E8069" s="733"/>
    </row>
    <row r="8070" spans="2:5">
      <c r="B8070" s="121">
        <v>700</v>
      </c>
      <c r="C8070" s="121">
        <v>24</v>
      </c>
      <c r="D8070" s="734">
        <v>137.63169465431761</v>
      </c>
      <c r="E8070" s="733"/>
    </row>
    <row r="8071" spans="2:5">
      <c r="B8071" s="121">
        <v>700</v>
      </c>
      <c r="C8071" s="121">
        <v>25</v>
      </c>
      <c r="D8071" s="734">
        <v>141.29434482831607</v>
      </c>
      <c r="E8071" s="733"/>
    </row>
    <row r="8072" spans="2:5">
      <c r="B8072" s="121">
        <v>700</v>
      </c>
      <c r="C8072" s="121">
        <v>26</v>
      </c>
      <c r="D8072" s="734">
        <v>139.07201484588998</v>
      </c>
      <c r="E8072" s="733"/>
    </row>
    <row r="8073" spans="2:5">
      <c r="B8073" s="121">
        <v>700</v>
      </c>
      <c r="C8073" s="121">
        <v>27</v>
      </c>
      <c r="D8073" s="734">
        <v>134.2667192477916</v>
      </c>
      <c r="E8073" s="733"/>
    </row>
    <row r="8074" spans="2:5">
      <c r="B8074" s="121">
        <v>700</v>
      </c>
      <c r="C8074" s="121">
        <v>28</v>
      </c>
      <c r="D8074" s="734">
        <v>136.94768603389218</v>
      </c>
      <c r="E8074" s="733"/>
    </row>
    <row r="8075" spans="2:5">
      <c r="B8075" s="121">
        <v>700</v>
      </c>
      <c r="C8075" s="121">
        <v>29</v>
      </c>
      <c r="D8075" s="734">
        <v>136.29731029451585</v>
      </c>
      <c r="E8075" s="733"/>
    </row>
    <row r="8076" spans="2:5">
      <c r="B8076" s="121">
        <v>700</v>
      </c>
      <c r="C8076" s="121">
        <v>30</v>
      </c>
      <c r="D8076" s="734">
        <v>140.37526807199964</v>
      </c>
      <c r="E8076" s="733"/>
    </row>
    <row r="8077" spans="2:5">
      <c r="B8077" s="121">
        <v>700</v>
      </c>
      <c r="C8077" s="121">
        <v>31</v>
      </c>
      <c r="D8077" s="734">
        <v>142.05282858746682</v>
      </c>
      <c r="E8077" s="733"/>
    </row>
    <row r="8078" spans="2:5">
      <c r="B8078" s="121">
        <v>700</v>
      </c>
      <c r="C8078" s="121">
        <v>32</v>
      </c>
      <c r="D8078" s="734">
        <v>144.00651832636709</v>
      </c>
      <c r="E8078" s="733"/>
    </row>
    <row r="8079" spans="2:5">
      <c r="B8079" s="121">
        <v>700</v>
      </c>
      <c r="C8079" s="121">
        <v>33</v>
      </c>
      <c r="D8079" s="734">
        <v>140.5842725817844</v>
      </c>
      <c r="E8079" s="733"/>
    </row>
    <row r="8080" spans="2:5">
      <c r="B8080" s="121">
        <v>700</v>
      </c>
      <c r="C8080" s="121">
        <v>34</v>
      </c>
      <c r="D8080" s="734">
        <v>141.06906522733863</v>
      </c>
      <c r="E8080" s="733"/>
    </row>
    <row r="8081" spans="2:5">
      <c r="B8081" s="121">
        <v>700</v>
      </c>
      <c r="C8081" s="121">
        <v>35</v>
      </c>
      <c r="D8081" s="734">
        <v>140.23199488375766</v>
      </c>
      <c r="E8081" s="733"/>
    </row>
    <row r="8082" spans="2:5">
      <c r="B8082" s="121">
        <v>700</v>
      </c>
      <c r="C8082" s="121">
        <v>36</v>
      </c>
      <c r="D8082" s="734">
        <v>134.70766395045473</v>
      </c>
      <c r="E8082" s="733"/>
    </row>
    <row r="8083" spans="2:5">
      <c r="B8083" s="121">
        <v>701</v>
      </c>
      <c r="C8083" s="121">
        <v>1</v>
      </c>
      <c r="D8083" s="734">
        <v>5</v>
      </c>
      <c r="E8083" s="733"/>
    </row>
    <row r="8084" spans="2:5">
      <c r="B8084" s="121">
        <v>701</v>
      </c>
      <c r="C8084" s="121">
        <v>2</v>
      </c>
      <c r="D8084" s="734">
        <v>102.20619202729351</v>
      </c>
      <c r="E8084" s="733"/>
    </row>
    <row r="8085" spans="2:5">
      <c r="B8085" s="121">
        <v>701</v>
      </c>
      <c r="C8085" s="121">
        <v>3</v>
      </c>
      <c r="D8085" s="734">
        <v>118.6925508983645</v>
      </c>
      <c r="E8085" s="733"/>
    </row>
    <row r="8086" spans="2:5">
      <c r="B8086" s="121">
        <v>701</v>
      </c>
      <c r="C8086" s="121">
        <v>4</v>
      </c>
      <c r="D8086" s="734">
        <v>146.45144945669787</v>
      </c>
      <c r="E8086" s="733"/>
    </row>
    <row r="8087" spans="2:5">
      <c r="B8087" s="121">
        <v>701</v>
      </c>
      <c r="C8087" s="121">
        <v>5</v>
      </c>
      <c r="D8087" s="734">
        <v>142.02419981349931</v>
      </c>
      <c r="E8087" s="733"/>
    </row>
    <row r="8088" spans="2:5">
      <c r="B8088" s="121">
        <v>701</v>
      </c>
      <c r="C8088" s="121">
        <v>6</v>
      </c>
      <c r="D8088" s="734">
        <v>142.46203606048937</v>
      </c>
      <c r="E8088" s="733"/>
    </row>
    <row r="8089" spans="2:5">
      <c r="B8089" s="121">
        <v>701</v>
      </c>
      <c r="C8089" s="121">
        <v>7</v>
      </c>
      <c r="D8089" s="734">
        <v>141.56660977908433</v>
      </c>
      <c r="E8089" s="733"/>
    </row>
    <row r="8090" spans="2:5">
      <c r="B8090" s="121">
        <v>701</v>
      </c>
      <c r="C8090" s="121">
        <v>8</v>
      </c>
      <c r="D8090" s="734">
        <v>135.2206534140951</v>
      </c>
      <c r="E8090" s="733"/>
    </row>
    <row r="8091" spans="2:5">
      <c r="B8091" s="121">
        <v>701</v>
      </c>
      <c r="C8091" s="121">
        <v>9</v>
      </c>
      <c r="D8091" s="734">
        <v>145.62192644082734</v>
      </c>
      <c r="E8091" s="733"/>
    </row>
    <row r="8092" spans="2:5">
      <c r="B8092" s="121">
        <v>701</v>
      </c>
      <c r="C8092" s="121">
        <v>10</v>
      </c>
      <c r="D8092" s="734">
        <v>142.70866379885649</v>
      </c>
      <c r="E8092" s="733"/>
    </row>
    <row r="8093" spans="2:5">
      <c r="B8093" s="121">
        <v>701</v>
      </c>
      <c r="C8093" s="121">
        <v>11</v>
      </c>
      <c r="D8093" s="734">
        <v>143.0640712316029</v>
      </c>
      <c r="E8093" s="733"/>
    </row>
    <row r="8094" spans="2:5">
      <c r="B8094" s="121">
        <v>701</v>
      </c>
      <c r="C8094" s="121">
        <v>12</v>
      </c>
      <c r="D8094" s="734">
        <v>140.22896263851192</v>
      </c>
      <c r="E8094" s="733"/>
    </row>
    <row r="8095" spans="2:5">
      <c r="B8095" s="121">
        <v>701</v>
      </c>
      <c r="C8095" s="121">
        <v>13</v>
      </c>
      <c r="D8095" s="734">
        <v>144.69023282202323</v>
      </c>
      <c r="E8095" s="733"/>
    </row>
    <row r="8096" spans="2:5">
      <c r="B8096" s="121">
        <v>701</v>
      </c>
      <c r="C8096" s="121">
        <v>14</v>
      </c>
      <c r="D8096" s="734">
        <v>141.02583152053839</v>
      </c>
      <c r="E8096" s="733"/>
    </row>
    <row r="8097" spans="2:5">
      <c r="B8097" s="121">
        <v>701</v>
      </c>
      <c r="C8097" s="121">
        <v>15</v>
      </c>
      <c r="D8097" s="734">
        <v>140.62132759217639</v>
      </c>
      <c r="E8097" s="733"/>
    </row>
    <row r="8098" spans="2:5">
      <c r="B8098" s="121">
        <v>701</v>
      </c>
      <c r="C8098" s="121">
        <v>16</v>
      </c>
      <c r="D8098" s="734">
        <v>134.24852349970621</v>
      </c>
      <c r="E8098" s="733"/>
    </row>
    <row r="8099" spans="2:5">
      <c r="B8099" s="121">
        <v>701</v>
      </c>
      <c r="C8099" s="121">
        <v>17</v>
      </c>
      <c r="D8099" s="734">
        <v>135.37446870926084</v>
      </c>
      <c r="E8099" s="733"/>
    </row>
    <row r="8100" spans="2:5">
      <c r="B8100" s="121">
        <v>701</v>
      </c>
      <c r="C8100" s="121">
        <v>18</v>
      </c>
      <c r="D8100" s="734">
        <v>135.48709435448856</v>
      </c>
      <c r="E8100" s="733"/>
    </row>
    <row r="8101" spans="2:5">
      <c r="B8101" s="121">
        <v>701</v>
      </c>
      <c r="C8101" s="121">
        <v>19</v>
      </c>
      <c r="D8101" s="734">
        <v>135.71824074030724</v>
      </c>
      <c r="E8101" s="733"/>
    </row>
    <row r="8102" spans="2:5">
      <c r="B8102" s="121">
        <v>701</v>
      </c>
      <c r="C8102" s="121">
        <v>20</v>
      </c>
      <c r="D8102" s="734">
        <v>143.77555987496828</v>
      </c>
      <c r="E8102" s="733"/>
    </row>
    <row r="8103" spans="2:5">
      <c r="B8103" s="121">
        <v>701</v>
      </c>
      <c r="C8103" s="121">
        <v>21</v>
      </c>
      <c r="D8103" s="734">
        <v>146.71666351318348</v>
      </c>
      <c r="E8103" s="733"/>
    </row>
    <row r="8104" spans="2:5">
      <c r="B8104" s="121">
        <v>701</v>
      </c>
      <c r="C8104" s="121">
        <v>22</v>
      </c>
      <c r="D8104" s="734">
        <v>135.71565350343539</v>
      </c>
      <c r="E8104" s="733"/>
    </row>
    <row r="8105" spans="2:5">
      <c r="B8105" s="121">
        <v>701</v>
      </c>
      <c r="C8105" s="121">
        <v>23</v>
      </c>
      <c r="D8105" s="734">
        <v>136.24194183713141</v>
      </c>
      <c r="E8105" s="733"/>
    </row>
    <row r="8106" spans="2:5">
      <c r="B8106" s="121">
        <v>701</v>
      </c>
      <c r="C8106" s="121">
        <v>24</v>
      </c>
      <c r="D8106" s="734">
        <v>137.92777796713986</v>
      </c>
      <c r="E8106" s="733"/>
    </row>
    <row r="8107" spans="2:5">
      <c r="B8107" s="121">
        <v>701</v>
      </c>
      <c r="C8107" s="121">
        <v>25</v>
      </c>
      <c r="D8107" s="734">
        <v>143.07366122501938</v>
      </c>
      <c r="E8107" s="733"/>
    </row>
    <row r="8108" spans="2:5">
      <c r="B8108" s="121">
        <v>701</v>
      </c>
      <c r="C8108" s="121">
        <v>26</v>
      </c>
      <c r="D8108" s="734">
        <v>139.7874228759822</v>
      </c>
      <c r="E8108" s="733"/>
    </row>
    <row r="8109" spans="2:5">
      <c r="B8109" s="121">
        <v>701</v>
      </c>
      <c r="C8109" s="121">
        <v>27</v>
      </c>
      <c r="D8109" s="734">
        <v>137.74844812365373</v>
      </c>
      <c r="E8109" s="733"/>
    </row>
    <row r="8110" spans="2:5">
      <c r="B8110" s="121">
        <v>701</v>
      </c>
      <c r="C8110" s="121">
        <v>28</v>
      </c>
      <c r="D8110" s="734">
        <v>134.71153739788306</v>
      </c>
      <c r="E8110" s="733"/>
    </row>
    <row r="8111" spans="2:5">
      <c r="B8111" s="121">
        <v>701</v>
      </c>
      <c r="C8111" s="121">
        <v>29</v>
      </c>
      <c r="D8111" s="734">
        <v>137.52964952986886</v>
      </c>
      <c r="E8111" s="733"/>
    </row>
    <row r="8112" spans="2:5">
      <c r="B8112" s="121">
        <v>701</v>
      </c>
      <c r="C8112" s="121">
        <v>30</v>
      </c>
      <c r="D8112" s="734">
        <v>142.03069017369793</v>
      </c>
      <c r="E8112" s="733"/>
    </row>
    <row r="8113" spans="2:5">
      <c r="B8113" s="121">
        <v>701</v>
      </c>
      <c r="C8113" s="121">
        <v>31</v>
      </c>
      <c r="D8113" s="734">
        <v>144.23364663455095</v>
      </c>
      <c r="E8113" s="733"/>
    </row>
    <row r="8114" spans="2:5">
      <c r="B8114" s="121">
        <v>701</v>
      </c>
      <c r="C8114" s="121">
        <v>32</v>
      </c>
      <c r="D8114" s="734">
        <v>146.79577499735623</v>
      </c>
      <c r="E8114" s="733"/>
    </row>
    <row r="8115" spans="2:5">
      <c r="B8115" s="121">
        <v>701</v>
      </c>
      <c r="C8115" s="121">
        <v>33</v>
      </c>
      <c r="D8115" s="734">
        <v>144.76770002187155</v>
      </c>
      <c r="E8115" s="733"/>
    </row>
    <row r="8116" spans="2:5">
      <c r="B8116" s="121">
        <v>702</v>
      </c>
      <c r="C8116" s="121">
        <v>1</v>
      </c>
      <c r="D8116" s="734">
        <v>5</v>
      </c>
      <c r="E8116" s="733"/>
    </row>
    <row r="8117" spans="2:5">
      <c r="B8117" s="121">
        <v>702</v>
      </c>
      <c r="C8117" s="121">
        <v>2</v>
      </c>
      <c r="D8117" s="734">
        <v>96.021070429606198</v>
      </c>
      <c r="E8117" s="733"/>
    </row>
    <row r="8118" spans="2:5">
      <c r="B8118" s="121">
        <v>702</v>
      </c>
      <c r="C8118" s="121">
        <v>3</v>
      </c>
      <c r="D8118" s="734">
        <v>120.20720117240474</v>
      </c>
      <c r="E8118" s="733"/>
    </row>
    <row r="8119" spans="2:5">
      <c r="B8119" s="121">
        <v>702</v>
      </c>
      <c r="C8119" s="121">
        <v>4</v>
      </c>
      <c r="D8119" s="734">
        <v>137.48651915275724</v>
      </c>
      <c r="E8119" s="733"/>
    </row>
    <row r="8120" spans="2:5">
      <c r="B8120" s="121">
        <v>702</v>
      </c>
      <c r="C8120" s="121">
        <v>5</v>
      </c>
      <c r="D8120" s="734">
        <v>134.86260161794038</v>
      </c>
      <c r="E8120" s="733"/>
    </row>
    <row r="8121" spans="2:5">
      <c r="B8121" s="121">
        <v>702</v>
      </c>
      <c r="C8121" s="121">
        <v>6</v>
      </c>
      <c r="D8121" s="734">
        <v>144.26973945699427</v>
      </c>
      <c r="E8121" s="733"/>
    </row>
    <row r="8122" spans="2:5">
      <c r="B8122" s="121">
        <v>702</v>
      </c>
      <c r="C8122" s="121">
        <v>7</v>
      </c>
      <c r="D8122" s="734">
        <v>145.69237976693915</v>
      </c>
      <c r="E8122" s="733"/>
    </row>
    <row r="8123" spans="2:5">
      <c r="B8123" s="121">
        <v>702</v>
      </c>
      <c r="C8123" s="121">
        <v>8</v>
      </c>
      <c r="D8123" s="734">
        <v>141.0849357851846</v>
      </c>
      <c r="E8123" s="733"/>
    </row>
    <row r="8124" spans="2:5">
      <c r="B8124" s="121">
        <v>702</v>
      </c>
      <c r="C8124" s="121">
        <v>9</v>
      </c>
      <c r="D8124" s="734">
        <v>142.76450844791353</v>
      </c>
      <c r="E8124" s="733"/>
    </row>
    <row r="8125" spans="2:5">
      <c r="B8125" s="121">
        <v>702</v>
      </c>
      <c r="C8125" s="121">
        <v>10</v>
      </c>
      <c r="D8125" s="734">
        <v>141.7591229307929</v>
      </c>
      <c r="E8125" s="733"/>
    </row>
    <row r="8126" spans="2:5">
      <c r="B8126" s="121">
        <v>702</v>
      </c>
      <c r="C8126" s="121">
        <v>11</v>
      </c>
      <c r="D8126" s="734">
        <v>147.26535698879681</v>
      </c>
      <c r="E8126" s="733"/>
    </row>
    <row r="8127" spans="2:5">
      <c r="B8127" s="121">
        <v>702</v>
      </c>
      <c r="C8127" s="121">
        <v>12</v>
      </c>
      <c r="D8127" s="734">
        <v>141.47131011128153</v>
      </c>
      <c r="E8127" s="733"/>
    </row>
    <row r="8128" spans="2:5">
      <c r="B8128" s="121">
        <v>702</v>
      </c>
      <c r="C8128" s="121">
        <v>13</v>
      </c>
      <c r="D8128" s="734">
        <v>138.74755112144007</v>
      </c>
      <c r="E8128" s="733"/>
    </row>
    <row r="8129" spans="2:5">
      <c r="B8129" s="121">
        <v>702</v>
      </c>
      <c r="C8129" s="121">
        <v>14</v>
      </c>
      <c r="D8129" s="734">
        <v>137.18844179025444</v>
      </c>
      <c r="E8129" s="733"/>
    </row>
    <row r="8130" spans="2:5">
      <c r="B8130" s="121">
        <v>702</v>
      </c>
      <c r="C8130" s="121">
        <v>15</v>
      </c>
      <c r="D8130" s="734">
        <v>135.65679460530416</v>
      </c>
      <c r="E8130" s="733"/>
    </row>
    <row r="8131" spans="2:5">
      <c r="B8131" s="121">
        <v>702</v>
      </c>
      <c r="C8131" s="121">
        <v>16</v>
      </c>
      <c r="D8131" s="734">
        <v>135.78190415533473</v>
      </c>
      <c r="E8131" s="733"/>
    </row>
    <row r="8132" spans="2:5">
      <c r="B8132" s="121">
        <v>702</v>
      </c>
      <c r="C8132" s="121">
        <v>17</v>
      </c>
      <c r="D8132" s="734">
        <v>145.76067352116971</v>
      </c>
      <c r="E8132" s="733"/>
    </row>
    <row r="8133" spans="2:5">
      <c r="B8133" s="121">
        <v>702</v>
      </c>
      <c r="C8133" s="121">
        <v>18</v>
      </c>
      <c r="D8133" s="734">
        <v>135.83195643349552</v>
      </c>
      <c r="E8133" s="733"/>
    </row>
    <row r="8134" spans="2:5">
      <c r="B8134" s="121">
        <v>702</v>
      </c>
      <c r="C8134" s="121">
        <v>19</v>
      </c>
      <c r="D8134" s="734">
        <v>143.70485276378844</v>
      </c>
      <c r="E8134" s="733"/>
    </row>
    <row r="8135" spans="2:5">
      <c r="B8135" s="121">
        <v>702</v>
      </c>
      <c r="C8135" s="121">
        <v>20</v>
      </c>
      <c r="D8135" s="734">
        <v>143.0186888953728</v>
      </c>
      <c r="E8135" s="733"/>
    </row>
    <row r="8136" spans="2:5">
      <c r="B8136" s="121">
        <v>702</v>
      </c>
      <c r="C8136" s="121">
        <v>21</v>
      </c>
      <c r="D8136" s="734">
        <v>140.83561825343546</v>
      </c>
      <c r="E8136" s="733"/>
    </row>
    <row r="8137" spans="2:5">
      <c r="B8137" s="121">
        <v>702</v>
      </c>
      <c r="C8137" s="121">
        <v>22</v>
      </c>
      <c r="D8137" s="734">
        <v>140.44239835688114</v>
      </c>
      <c r="E8137" s="733"/>
    </row>
    <row r="8138" spans="2:5">
      <c r="B8138" s="121">
        <v>702</v>
      </c>
      <c r="C8138" s="121">
        <v>23</v>
      </c>
      <c r="D8138" s="734">
        <v>136.93999798574251</v>
      </c>
      <c r="E8138" s="733"/>
    </row>
    <row r="8139" spans="2:5">
      <c r="B8139" s="121">
        <v>702</v>
      </c>
      <c r="C8139" s="121">
        <v>24</v>
      </c>
      <c r="D8139" s="734">
        <v>144.20549293528452</v>
      </c>
      <c r="E8139" s="733"/>
    </row>
    <row r="8140" spans="2:5">
      <c r="B8140" s="121">
        <v>702</v>
      </c>
      <c r="C8140" s="121">
        <v>25</v>
      </c>
      <c r="D8140" s="734">
        <v>144.00837790643689</v>
      </c>
      <c r="E8140" s="733"/>
    </row>
    <row r="8141" spans="2:5">
      <c r="B8141" s="121">
        <v>703</v>
      </c>
      <c r="C8141" s="121">
        <v>1</v>
      </c>
      <c r="D8141" s="734">
        <v>5</v>
      </c>
      <c r="E8141" s="733"/>
    </row>
    <row r="8142" spans="2:5">
      <c r="B8142" s="121">
        <v>704</v>
      </c>
      <c r="C8142" s="121">
        <v>1</v>
      </c>
      <c r="D8142" s="734">
        <v>5</v>
      </c>
      <c r="E8142" s="733"/>
    </row>
    <row r="8143" spans="2:5">
      <c r="B8143" s="121">
        <v>705</v>
      </c>
      <c r="C8143" s="121">
        <v>1</v>
      </c>
      <c r="D8143" s="734">
        <v>5</v>
      </c>
      <c r="E8143" s="733"/>
    </row>
    <row r="8144" spans="2:5">
      <c r="B8144" s="121">
        <v>706</v>
      </c>
      <c r="C8144" s="121">
        <v>1</v>
      </c>
      <c r="D8144" s="734">
        <v>5</v>
      </c>
      <c r="E8144" s="733"/>
    </row>
    <row r="8145" spans="2:5">
      <c r="B8145" s="121">
        <v>706</v>
      </c>
      <c r="C8145" s="121">
        <v>2</v>
      </c>
      <c r="D8145" s="734">
        <v>100.91271609513971</v>
      </c>
      <c r="E8145" s="733"/>
    </row>
    <row r="8146" spans="2:5">
      <c r="B8146" s="121">
        <v>706</v>
      </c>
      <c r="C8146" s="121">
        <v>3</v>
      </c>
      <c r="D8146" s="734">
        <v>116.5604939849413</v>
      </c>
      <c r="E8146" s="733"/>
    </row>
    <row r="8147" spans="2:5">
      <c r="B8147" s="121">
        <v>706</v>
      </c>
      <c r="C8147" s="121">
        <v>4</v>
      </c>
      <c r="D8147" s="734">
        <v>136.43110230443796</v>
      </c>
      <c r="E8147" s="733"/>
    </row>
    <row r="8148" spans="2:5">
      <c r="B8148" s="121">
        <v>706</v>
      </c>
      <c r="C8148" s="121">
        <v>5</v>
      </c>
      <c r="D8148" s="734">
        <v>135.68753752838592</v>
      </c>
      <c r="E8148" s="733"/>
    </row>
    <row r="8149" spans="2:5">
      <c r="B8149" s="121">
        <v>706</v>
      </c>
      <c r="C8149" s="121">
        <v>6</v>
      </c>
      <c r="D8149" s="734">
        <v>140.73121729318549</v>
      </c>
      <c r="E8149" s="733"/>
    </row>
    <row r="8150" spans="2:5">
      <c r="B8150" s="121">
        <v>706</v>
      </c>
      <c r="C8150" s="121">
        <v>7</v>
      </c>
      <c r="D8150" s="734">
        <v>141.33876615632039</v>
      </c>
      <c r="E8150" s="733"/>
    </row>
    <row r="8151" spans="2:5">
      <c r="B8151" s="121">
        <v>706</v>
      </c>
      <c r="C8151" s="121">
        <v>8</v>
      </c>
      <c r="D8151" s="734">
        <v>138.53829503537136</v>
      </c>
      <c r="E8151" s="733"/>
    </row>
    <row r="8152" spans="2:5">
      <c r="B8152" s="121">
        <v>706</v>
      </c>
      <c r="C8152" s="121">
        <v>9</v>
      </c>
      <c r="D8152" s="734">
        <v>134.68497021872915</v>
      </c>
      <c r="E8152" s="733"/>
    </row>
    <row r="8153" spans="2:5">
      <c r="B8153" s="121">
        <v>706</v>
      </c>
      <c r="C8153" s="121">
        <v>10</v>
      </c>
      <c r="D8153" s="734">
        <v>143.25442285899857</v>
      </c>
      <c r="E8153" s="733"/>
    </row>
    <row r="8154" spans="2:5">
      <c r="B8154" s="121">
        <v>706</v>
      </c>
      <c r="C8154" s="121">
        <v>11</v>
      </c>
      <c r="D8154" s="734">
        <v>145.91703197616667</v>
      </c>
      <c r="E8154" s="733"/>
    </row>
    <row r="8155" spans="2:5">
      <c r="B8155" s="121">
        <v>706</v>
      </c>
      <c r="C8155" s="121">
        <v>12</v>
      </c>
      <c r="D8155" s="734">
        <v>134.61344839262097</v>
      </c>
      <c r="E8155" s="733"/>
    </row>
    <row r="8156" spans="2:5">
      <c r="B8156" s="121">
        <v>706</v>
      </c>
      <c r="C8156" s="121">
        <v>13</v>
      </c>
      <c r="D8156" s="734">
        <v>145.71903068548531</v>
      </c>
      <c r="E8156" s="733"/>
    </row>
    <row r="8157" spans="2:5">
      <c r="B8157" s="121">
        <v>706</v>
      </c>
      <c r="C8157" s="121">
        <v>14</v>
      </c>
      <c r="D8157" s="734">
        <v>135.75879573477718</v>
      </c>
      <c r="E8157" s="733"/>
    </row>
    <row r="8158" spans="2:5">
      <c r="B8158" s="121">
        <v>706</v>
      </c>
      <c r="C8158" s="121">
        <v>15</v>
      </c>
      <c r="D8158" s="734">
        <v>141.63770868168413</v>
      </c>
      <c r="E8158" s="733"/>
    </row>
    <row r="8159" spans="2:5">
      <c r="B8159" s="121">
        <v>706</v>
      </c>
      <c r="C8159" s="121">
        <v>16</v>
      </c>
      <c r="D8159" s="734">
        <v>137.64973387589825</v>
      </c>
      <c r="E8159" s="733"/>
    </row>
    <row r="8160" spans="2:5">
      <c r="B8160" s="121">
        <v>706</v>
      </c>
      <c r="C8160" s="121">
        <v>17</v>
      </c>
      <c r="D8160" s="734">
        <v>135.01113486899919</v>
      </c>
      <c r="E8160" s="733"/>
    </row>
    <row r="8161" spans="2:5">
      <c r="B8161" s="121">
        <v>706</v>
      </c>
      <c r="C8161" s="121">
        <v>18</v>
      </c>
      <c r="D8161" s="734">
        <v>144.74262290803648</v>
      </c>
      <c r="E8161" s="733"/>
    </row>
    <row r="8162" spans="2:5">
      <c r="B8162" s="121">
        <v>706</v>
      </c>
      <c r="C8162" s="121">
        <v>19</v>
      </c>
      <c r="D8162" s="734">
        <v>136.35041287904153</v>
      </c>
      <c r="E8162" s="733"/>
    </row>
    <row r="8163" spans="2:5">
      <c r="B8163" s="121">
        <v>706</v>
      </c>
      <c r="C8163" s="121">
        <v>20</v>
      </c>
      <c r="D8163" s="734">
        <v>140.75017690004859</v>
      </c>
      <c r="E8163" s="733"/>
    </row>
    <row r="8164" spans="2:5">
      <c r="B8164" s="121">
        <v>706</v>
      </c>
      <c r="C8164" s="121">
        <v>21</v>
      </c>
      <c r="D8164" s="734">
        <v>138.17819142461113</v>
      </c>
      <c r="E8164" s="733"/>
    </row>
    <row r="8165" spans="2:5">
      <c r="B8165" s="121">
        <v>706</v>
      </c>
      <c r="C8165" s="121">
        <v>22</v>
      </c>
      <c r="D8165" s="734">
        <v>137.24042329256275</v>
      </c>
      <c r="E8165" s="733"/>
    </row>
    <row r="8166" spans="2:5">
      <c r="B8166" s="121">
        <v>706</v>
      </c>
      <c r="C8166" s="121">
        <v>23</v>
      </c>
      <c r="D8166" s="734">
        <v>142.46550260692817</v>
      </c>
      <c r="E8166" s="733"/>
    </row>
    <row r="8167" spans="2:5">
      <c r="B8167" s="121">
        <v>706</v>
      </c>
      <c r="C8167" s="121">
        <v>24</v>
      </c>
      <c r="D8167" s="734">
        <v>146.6212217520482</v>
      </c>
      <c r="E8167" s="733"/>
    </row>
    <row r="8168" spans="2:5">
      <c r="B8168" s="121">
        <v>706</v>
      </c>
      <c r="C8168" s="121">
        <v>25</v>
      </c>
      <c r="D8168" s="734">
        <v>135.74464506959796</v>
      </c>
      <c r="E8168" s="733"/>
    </row>
    <row r="8169" spans="2:5">
      <c r="B8169" s="121">
        <v>706</v>
      </c>
      <c r="C8169" s="121">
        <v>26</v>
      </c>
      <c r="D8169" s="734">
        <v>143.64610977167803</v>
      </c>
      <c r="E8169" s="733"/>
    </row>
    <row r="8170" spans="2:5">
      <c r="B8170" s="121">
        <v>706</v>
      </c>
      <c r="C8170" s="121">
        <v>27</v>
      </c>
      <c r="D8170" s="734">
        <v>136.2339044159049</v>
      </c>
      <c r="E8170" s="733"/>
    </row>
    <row r="8171" spans="2:5">
      <c r="B8171" s="121">
        <v>706</v>
      </c>
      <c r="C8171" s="121">
        <v>28</v>
      </c>
      <c r="D8171" s="734">
        <v>141.22003621174633</v>
      </c>
      <c r="E8171" s="733"/>
    </row>
    <row r="8172" spans="2:5">
      <c r="B8172" s="121">
        <v>706</v>
      </c>
      <c r="C8172" s="121">
        <v>29</v>
      </c>
      <c r="D8172" s="734">
        <v>142.65043535168564</v>
      </c>
      <c r="E8172" s="733"/>
    </row>
    <row r="8173" spans="2:5">
      <c r="B8173" s="121">
        <v>706</v>
      </c>
      <c r="C8173" s="121">
        <v>30</v>
      </c>
      <c r="D8173" s="734">
        <v>139.94126536186332</v>
      </c>
      <c r="E8173" s="733"/>
    </row>
    <row r="8174" spans="2:5">
      <c r="B8174" s="121">
        <v>706</v>
      </c>
      <c r="C8174" s="121">
        <v>31</v>
      </c>
      <c r="D8174" s="734">
        <v>145.8064509769797</v>
      </c>
      <c r="E8174" s="733"/>
    </row>
    <row r="8175" spans="2:5">
      <c r="B8175" s="121">
        <v>706</v>
      </c>
      <c r="C8175" s="121">
        <v>32</v>
      </c>
      <c r="D8175" s="734">
        <v>140.65256047788498</v>
      </c>
      <c r="E8175" s="733"/>
    </row>
    <row r="8176" spans="2:5">
      <c r="B8176" s="121">
        <v>706</v>
      </c>
      <c r="C8176" s="121">
        <v>33</v>
      </c>
      <c r="D8176" s="734">
        <v>142.56875092599395</v>
      </c>
      <c r="E8176" s="733"/>
    </row>
    <row r="8177" spans="2:5">
      <c r="B8177" s="121">
        <v>706</v>
      </c>
      <c r="C8177" s="121">
        <v>34</v>
      </c>
      <c r="D8177" s="734">
        <v>141.07945821864223</v>
      </c>
      <c r="E8177" s="733"/>
    </row>
    <row r="8178" spans="2:5">
      <c r="B8178" s="121">
        <v>706</v>
      </c>
      <c r="C8178" s="121">
        <v>35</v>
      </c>
      <c r="D8178" s="734">
        <v>134.65396243929052</v>
      </c>
      <c r="E8178" s="733"/>
    </row>
    <row r="8179" spans="2:5">
      <c r="B8179" s="121">
        <v>706</v>
      </c>
      <c r="C8179" s="121">
        <v>36</v>
      </c>
      <c r="D8179" s="734">
        <v>143.22846671575562</v>
      </c>
      <c r="E8179" s="733"/>
    </row>
    <row r="8180" spans="2:5">
      <c r="B8180" s="121">
        <v>707</v>
      </c>
      <c r="C8180" s="121">
        <v>1</v>
      </c>
      <c r="D8180" s="734">
        <v>5</v>
      </c>
      <c r="E8180" s="733"/>
    </row>
    <row r="8181" spans="2:5">
      <c r="B8181" s="121">
        <v>707</v>
      </c>
      <c r="C8181" s="121">
        <v>2</v>
      </c>
      <c r="D8181" s="734">
        <v>95.852055151790523</v>
      </c>
      <c r="E8181" s="733"/>
    </row>
    <row r="8182" spans="2:5">
      <c r="B8182" s="121">
        <v>707</v>
      </c>
      <c r="C8182" s="121">
        <v>3</v>
      </c>
      <c r="D8182" s="734">
        <v>118.7264339751236</v>
      </c>
      <c r="E8182" s="733"/>
    </row>
    <row r="8183" spans="2:5">
      <c r="B8183" s="121">
        <v>707</v>
      </c>
      <c r="C8183" s="121">
        <v>4</v>
      </c>
      <c r="D8183" s="734">
        <v>140.87882307097047</v>
      </c>
      <c r="E8183" s="733"/>
    </row>
    <row r="8184" spans="2:5">
      <c r="B8184" s="121">
        <v>707</v>
      </c>
      <c r="C8184" s="121">
        <v>5</v>
      </c>
      <c r="D8184" s="734">
        <v>145.6604241729579</v>
      </c>
      <c r="E8184" s="733"/>
    </row>
    <row r="8185" spans="2:5">
      <c r="B8185" s="121">
        <v>707</v>
      </c>
      <c r="C8185" s="121">
        <v>6</v>
      </c>
      <c r="D8185" s="734">
        <v>142.96972426624498</v>
      </c>
      <c r="E8185" s="733"/>
    </row>
    <row r="8186" spans="2:5">
      <c r="B8186" s="121">
        <v>707</v>
      </c>
      <c r="C8186" s="121">
        <v>7</v>
      </c>
      <c r="D8186" s="734">
        <v>140.79303757100166</v>
      </c>
      <c r="E8186" s="733"/>
    </row>
    <row r="8187" spans="2:5">
      <c r="B8187" s="121">
        <v>707</v>
      </c>
      <c r="C8187" s="121">
        <v>8</v>
      </c>
      <c r="D8187" s="734">
        <v>134.04243741388845</v>
      </c>
      <c r="E8187" s="733"/>
    </row>
    <row r="8188" spans="2:5">
      <c r="B8188" s="121">
        <v>707</v>
      </c>
      <c r="C8188" s="121">
        <v>9</v>
      </c>
      <c r="D8188" s="734">
        <v>142.60745259131036</v>
      </c>
      <c r="E8188" s="733"/>
    </row>
    <row r="8189" spans="2:5">
      <c r="B8189" s="121">
        <v>707</v>
      </c>
      <c r="C8189" s="121">
        <v>10</v>
      </c>
      <c r="D8189" s="734">
        <v>137.61571470754967</v>
      </c>
      <c r="E8189" s="733"/>
    </row>
    <row r="8190" spans="2:5">
      <c r="B8190" s="121">
        <v>707</v>
      </c>
      <c r="C8190" s="121">
        <v>11</v>
      </c>
      <c r="D8190" s="734">
        <v>140.69615719375764</v>
      </c>
      <c r="E8190" s="733"/>
    </row>
    <row r="8191" spans="2:5">
      <c r="B8191" s="121">
        <v>707</v>
      </c>
      <c r="C8191" s="121">
        <v>12</v>
      </c>
      <c r="D8191" s="734">
        <v>135.95819373123041</v>
      </c>
      <c r="E8191" s="733"/>
    </row>
    <row r="8192" spans="2:5">
      <c r="B8192" s="121">
        <v>707</v>
      </c>
      <c r="C8192" s="121">
        <v>13</v>
      </c>
      <c r="D8192" s="734">
        <v>143.81899884391953</v>
      </c>
      <c r="E8192" s="733"/>
    </row>
    <row r="8193" spans="2:5">
      <c r="B8193" s="121">
        <v>707</v>
      </c>
      <c r="C8193" s="121">
        <v>14</v>
      </c>
      <c r="D8193" s="734">
        <v>140.72374405514876</v>
      </c>
      <c r="E8193" s="733"/>
    </row>
    <row r="8194" spans="2:5">
      <c r="B8194" s="121">
        <v>707</v>
      </c>
      <c r="C8194" s="121">
        <v>15</v>
      </c>
      <c r="D8194" s="734">
        <v>145.58813274637021</v>
      </c>
      <c r="E8194" s="733"/>
    </row>
    <row r="8195" spans="2:5">
      <c r="B8195" s="121">
        <v>707</v>
      </c>
      <c r="C8195" s="121">
        <v>16</v>
      </c>
      <c r="D8195" s="734">
        <v>134.02566571279624</v>
      </c>
      <c r="E8195" s="733"/>
    </row>
    <row r="8196" spans="2:5">
      <c r="B8196" s="121">
        <v>707</v>
      </c>
      <c r="C8196" s="121">
        <v>17</v>
      </c>
      <c r="D8196" s="734">
        <v>134.33310906251862</v>
      </c>
      <c r="E8196" s="733"/>
    </row>
    <row r="8197" spans="2:5">
      <c r="B8197" s="121">
        <v>707</v>
      </c>
      <c r="C8197" s="121">
        <v>18</v>
      </c>
      <c r="D8197" s="734">
        <v>134.73748960986811</v>
      </c>
      <c r="E8197" s="733"/>
    </row>
    <row r="8198" spans="2:5">
      <c r="B8198" s="121">
        <v>708</v>
      </c>
      <c r="C8198" s="121">
        <v>1</v>
      </c>
      <c r="D8198" s="734">
        <v>5</v>
      </c>
      <c r="E8198" s="733"/>
    </row>
    <row r="8199" spans="2:5">
      <c r="B8199" s="121">
        <v>708</v>
      </c>
      <c r="C8199" s="121">
        <v>2</v>
      </c>
      <c r="D8199" s="734">
        <v>95.124823461401206</v>
      </c>
      <c r="E8199" s="733"/>
    </row>
    <row r="8200" spans="2:5">
      <c r="B8200" s="121">
        <v>709</v>
      </c>
      <c r="C8200" s="121">
        <v>1</v>
      </c>
      <c r="D8200" s="734">
        <v>5</v>
      </c>
      <c r="E8200" s="733"/>
    </row>
    <row r="8201" spans="2:5">
      <c r="B8201" s="121">
        <v>709</v>
      </c>
      <c r="C8201" s="121">
        <v>2</v>
      </c>
      <c r="D8201" s="734">
        <v>95.076894871974091</v>
      </c>
      <c r="E8201" s="733"/>
    </row>
    <row r="8202" spans="2:5">
      <c r="B8202" s="121">
        <v>709</v>
      </c>
      <c r="C8202" s="121">
        <v>3</v>
      </c>
      <c r="D8202" s="734">
        <v>123.77863811449856</v>
      </c>
      <c r="E8202" s="733"/>
    </row>
    <row r="8203" spans="2:5">
      <c r="B8203" s="121">
        <v>709</v>
      </c>
      <c r="C8203" s="121">
        <v>4</v>
      </c>
      <c r="D8203" s="734">
        <v>140.78385401757276</v>
      </c>
      <c r="E8203" s="733"/>
    </row>
    <row r="8204" spans="2:5">
      <c r="B8204" s="121">
        <v>710</v>
      </c>
      <c r="C8204" s="121">
        <v>1</v>
      </c>
      <c r="D8204" s="734">
        <v>5</v>
      </c>
      <c r="E8204" s="733"/>
    </row>
    <row r="8205" spans="2:5">
      <c r="B8205" s="121">
        <v>710</v>
      </c>
      <c r="C8205" s="121">
        <v>2</v>
      </c>
      <c r="D8205" s="734">
        <v>94.95584201450437</v>
      </c>
      <c r="E8205" s="733"/>
    </row>
    <row r="8206" spans="2:5">
      <c r="B8206" s="121">
        <v>710</v>
      </c>
      <c r="C8206" s="121">
        <v>3</v>
      </c>
      <c r="D8206" s="734">
        <v>115.73361632445439</v>
      </c>
      <c r="E8206" s="733"/>
    </row>
    <row r="8207" spans="2:5">
      <c r="B8207" s="121">
        <v>710</v>
      </c>
      <c r="C8207" s="121">
        <v>4</v>
      </c>
      <c r="D8207" s="734">
        <v>145.7437700349152</v>
      </c>
      <c r="E8207" s="733"/>
    </row>
    <row r="8208" spans="2:5">
      <c r="B8208" s="121">
        <v>710</v>
      </c>
      <c r="C8208" s="121">
        <v>5</v>
      </c>
      <c r="D8208" s="734">
        <v>144.38872681252903</v>
      </c>
      <c r="E8208" s="733"/>
    </row>
    <row r="8209" spans="2:5">
      <c r="B8209" s="121">
        <v>710</v>
      </c>
      <c r="C8209" s="121">
        <v>6</v>
      </c>
      <c r="D8209" s="734">
        <v>146.71443366019668</v>
      </c>
      <c r="E8209" s="733"/>
    </row>
    <row r="8210" spans="2:5">
      <c r="B8210" s="121">
        <v>710</v>
      </c>
      <c r="C8210" s="121">
        <v>7</v>
      </c>
      <c r="D8210" s="734">
        <v>144.97711734621686</v>
      </c>
      <c r="E8210" s="733"/>
    </row>
    <row r="8211" spans="2:5">
      <c r="B8211" s="121">
        <v>710</v>
      </c>
      <c r="C8211" s="121">
        <v>8</v>
      </c>
      <c r="D8211" s="734">
        <v>134.67040235477657</v>
      </c>
      <c r="E8211" s="733"/>
    </row>
    <row r="8212" spans="2:5">
      <c r="B8212" s="121">
        <v>710</v>
      </c>
      <c r="C8212" s="121">
        <v>9</v>
      </c>
      <c r="D8212" s="734">
        <v>137.1789515358287</v>
      </c>
      <c r="E8212" s="733"/>
    </row>
    <row r="8213" spans="2:5">
      <c r="B8213" s="121">
        <v>710</v>
      </c>
      <c r="C8213" s="121">
        <v>10</v>
      </c>
      <c r="D8213" s="734">
        <v>134.61402198466018</v>
      </c>
      <c r="E8213" s="733"/>
    </row>
    <row r="8214" spans="2:5">
      <c r="B8214" s="121">
        <v>710</v>
      </c>
      <c r="C8214" s="121">
        <v>11</v>
      </c>
      <c r="D8214" s="734">
        <v>142.00620837470493</v>
      </c>
      <c r="E8214" s="733"/>
    </row>
    <row r="8215" spans="2:5">
      <c r="B8215" s="121">
        <v>710</v>
      </c>
      <c r="C8215" s="121">
        <v>12</v>
      </c>
      <c r="D8215" s="734">
        <v>136.53263275192225</v>
      </c>
      <c r="E8215" s="733"/>
    </row>
    <row r="8216" spans="2:5">
      <c r="B8216" s="121">
        <v>710</v>
      </c>
      <c r="C8216" s="121">
        <v>13</v>
      </c>
      <c r="D8216" s="734">
        <v>137.84434552585338</v>
      </c>
      <c r="E8216" s="733"/>
    </row>
    <row r="8217" spans="2:5">
      <c r="B8217" s="121">
        <v>710</v>
      </c>
      <c r="C8217" s="121">
        <v>14</v>
      </c>
      <c r="D8217" s="734">
        <v>145.35072329298615</v>
      </c>
      <c r="E8217" s="733"/>
    </row>
    <row r="8218" spans="2:5">
      <c r="B8218" s="121">
        <v>710</v>
      </c>
      <c r="C8218" s="121">
        <v>15</v>
      </c>
      <c r="D8218" s="734">
        <v>146.26117670897375</v>
      </c>
      <c r="E8218" s="733"/>
    </row>
    <row r="8219" spans="2:5">
      <c r="B8219" s="121">
        <v>710</v>
      </c>
      <c r="C8219" s="121">
        <v>16</v>
      </c>
      <c r="D8219" s="734">
        <v>144.89666618749297</v>
      </c>
      <c r="E8219" s="733"/>
    </row>
    <row r="8220" spans="2:5">
      <c r="B8220" s="121">
        <v>710</v>
      </c>
      <c r="C8220" s="121">
        <v>17</v>
      </c>
      <c r="D8220" s="734">
        <v>137.99471223396029</v>
      </c>
      <c r="E8220" s="733"/>
    </row>
    <row r="8221" spans="2:5">
      <c r="B8221" s="121">
        <v>710</v>
      </c>
      <c r="C8221" s="121">
        <v>18</v>
      </c>
      <c r="D8221" s="734">
        <v>138.73733263208396</v>
      </c>
      <c r="E8221" s="733"/>
    </row>
    <row r="8222" spans="2:5">
      <c r="B8222" s="121">
        <v>710</v>
      </c>
      <c r="C8222" s="121">
        <v>19</v>
      </c>
      <c r="D8222" s="734">
        <v>138.72315315514453</v>
      </c>
      <c r="E8222" s="733"/>
    </row>
    <row r="8223" spans="2:5">
      <c r="B8223" s="121">
        <v>710</v>
      </c>
      <c r="C8223" s="121">
        <v>20</v>
      </c>
      <c r="D8223" s="734">
        <v>141.69910615010724</v>
      </c>
      <c r="E8223" s="733"/>
    </row>
    <row r="8224" spans="2:5">
      <c r="B8224" s="121">
        <v>710</v>
      </c>
      <c r="C8224" s="121">
        <v>21</v>
      </c>
      <c r="D8224" s="734">
        <v>136.31188037212468</v>
      </c>
      <c r="E8224" s="733"/>
    </row>
    <row r="8225" spans="2:5">
      <c r="B8225" s="121">
        <v>710</v>
      </c>
      <c r="C8225" s="121">
        <v>22</v>
      </c>
      <c r="D8225" s="734">
        <v>138.28426433245775</v>
      </c>
      <c r="E8225" s="733"/>
    </row>
    <row r="8226" spans="2:5">
      <c r="B8226" s="121">
        <v>710</v>
      </c>
      <c r="C8226" s="121">
        <v>23</v>
      </c>
      <c r="D8226" s="734">
        <v>138.85881527060141</v>
      </c>
      <c r="E8226" s="733"/>
    </row>
    <row r="8227" spans="2:5">
      <c r="B8227" s="121">
        <v>711</v>
      </c>
      <c r="C8227" s="121">
        <v>1</v>
      </c>
      <c r="D8227" s="734">
        <v>5</v>
      </c>
      <c r="E8227" s="733"/>
    </row>
    <row r="8228" spans="2:5">
      <c r="B8228" s="121">
        <v>712</v>
      </c>
      <c r="C8228" s="121">
        <v>1</v>
      </c>
      <c r="D8228" s="734">
        <v>5</v>
      </c>
      <c r="E8228" s="733"/>
    </row>
    <row r="8229" spans="2:5">
      <c r="B8229" s="121">
        <v>712</v>
      </c>
      <c r="C8229" s="121">
        <v>2</v>
      </c>
      <c r="D8229" s="734">
        <v>99.64075464237439</v>
      </c>
      <c r="E8229" s="733"/>
    </row>
    <row r="8230" spans="2:5">
      <c r="B8230" s="121">
        <v>712</v>
      </c>
      <c r="C8230" s="121">
        <v>3</v>
      </c>
      <c r="D8230" s="734">
        <v>122.5024634990979</v>
      </c>
      <c r="E8230" s="733"/>
    </row>
    <row r="8231" spans="2:5">
      <c r="B8231" s="121">
        <v>712</v>
      </c>
      <c r="C8231" s="121">
        <v>4</v>
      </c>
      <c r="D8231" s="734">
        <v>135.75036685068417</v>
      </c>
      <c r="E8231" s="733"/>
    </row>
    <row r="8232" spans="2:5">
      <c r="B8232" s="121">
        <v>712</v>
      </c>
      <c r="C8232" s="121">
        <v>5</v>
      </c>
      <c r="D8232" s="734">
        <v>140.48328549282868</v>
      </c>
      <c r="E8232" s="733"/>
    </row>
    <row r="8233" spans="2:5">
      <c r="B8233" s="121">
        <v>712</v>
      </c>
      <c r="C8233" s="121">
        <v>6</v>
      </c>
      <c r="D8233" s="734">
        <v>133.66023591227113</v>
      </c>
      <c r="E8233" s="733"/>
    </row>
    <row r="8234" spans="2:5">
      <c r="B8234" s="121">
        <v>712</v>
      </c>
      <c r="C8234" s="121">
        <v>7</v>
      </c>
      <c r="D8234" s="734">
        <v>144.5942972653047</v>
      </c>
      <c r="E8234" s="733"/>
    </row>
    <row r="8235" spans="2:5">
      <c r="B8235" s="121">
        <v>712</v>
      </c>
      <c r="C8235" s="121">
        <v>8</v>
      </c>
      <c r="D8235" s="734">
        <v>144.43370424421005</v>
      </c>
      <c r="E8235" s="733"/>
    </row>
    <row r="8236" spans="2:5">
      <c r="B8236" s="121">
        <v>712</v>
      </c>
      <c r="C8236" s="121">
        <v>9</v>
      </c>
      <c r="D8236" s="734">
        <v>144.56943314662757</v>
      </c>
      <c r="E8236" s="733"/>
    </row>
    <row r="8237" spans="2:5">
      <c r="B8237" s="121">
        <v>712</v>
      </c>
      <c r="C8237" s="121">
        <v>10</v>
      </c>
      <c r="D8237" s="734">
        <v>143.3307575982663</v>
      </c>
      <c r="E8237" s="733"/>
    </row>
    <row r="8238" spans="2:5">
      <c r="B8238" s="121">
        <v>712</v>
      </c>
      <c r="C8238" s="121">
        <v>11</v>
      </c>
      <c r="D8238" s="734">
        <v>146.97671275612052</v>
      </c>
      <c r="E8238" s="733"/>
    </row>
    <row r="8239" spans="2:5">
      <c r="B8239" s="121">
        <v>712</v>
      </c>
      <c r="C8239" s="121">
        <v>12</v>
      </c>
      <c r="D8239" s="734">
        <v>144.09474475105375</v>
      </c>
      <c r="E8239" s="733"/>
    </row>
    <row r="8240" spans="2:5">
      <c r="B8240" s="121">
        <v>712</v>
      </c>
      <c r="C8240" s="121">
        <v>13</v>
      </c>
      <c r="D8240" s="734">
        <v>142.61088499179417</v>
      </c>
      <c r="E8240" s="733"/>
    </row>
    <row r="8241" spans="2:5">
      <c r="B8241" s="121">
        <v>712</v>
      </c>
      <c r="C8241" s="121">
        <v>14</v>
      </c>
      <c r="D8241" s="734">
        <v>145.2219131581073</v>
      </c>
      <c r="E8241" s="733"/>
    </row>
    <row r="8242" spans="2:5">
      <c r="B8242" s="121">
        <v>712</v>
      </c>
      <c r="C8242" s="121">
        <v>15</v>
      </c>
      <c r="D8242" s="734">
        <v>134.02103953772485</v>
      </c>
      <c r="E8242" s="733"/>
    </row>
    <row r="8243" spans="2:5">
      <c r="B8243" s="121">
        <v>713</v>
      </c>
      <c r="C8243" s="121">
        <v>1</v>
      </c>
      <c r="D8243" s="734">
        <v>5</v>
      </c>
      <c r="E8243" s="733"/>
    </row>
    <row r="8244" spans="2:5">
      <c r="B8244" s="121">
        <v>713</v>
      </c>
      <c r="C8244" s="121">
        <v>2</v>
      </c>
      <c r="D8244" s="734">
        <v>95.026191407982225</v>
      </c>
      <c r="E8244" s="733"/>
    </row>
    <row r="8245" spans="2:5">
      <c r="B8245" s="121">
        <v>713</v>
      </c>
      <c r="C8245" s="121">
        <v>3</v>
      </c>
      <c r="D8245" s="734">
        <v>122.96142591860129</v>
      </c>
      <c r="E8245" s="733"/>
    </row>
    <row r="8246" spans="2:5">
      <c r="B8246" s="121">
        <v>713</v>
      </c>
      <c r="C8246" s="121">
        <v>4</v>
      </c>
      <c r="D8246" s="734">
        <v>137.34170377998109</v>
      </c>
      <c r="E8246" s="733"/>
    </row>
    <row r="8247" spans="2:5">
      <c r="B8247" s="121">
        <v>713</v>
      </c>
      <c r="C8247" s="121">
        <v>5</v>
      </c>
      <c r="D8247" s="734">
        <v>135.37735135842459</v>
      </c>
      <c r="E8247" s="733"/>
    </row>
    <row r="8248" spans="2:5">
      <c r="B8248" s="121">
        <v>713</v>
      </c>
      <c r="C8248" s="121">
        <v>6</v>
      </c>
      <c r="D8248" s="734">
        <v>145.91808668336958</v>
      </c>
      <c r="E8248" s="733"/>
    </row>
    <row r="8249" spans="2:5">
      <c r="B8249" s="121">
        <v>713</v>
      </c>
      <c r="C8249" s="121">
        <v>7</v>
      </c>
      <c r="D8249" s="734">
        <v>143.71553805339113</v>
      </c>
      <c r="E8249" s="733"/>
    </row>
    <row r="8250" spans="2:5">
      <c r="B8250" s="121">
        <v>713</v>
      </c>
      <c r="C8250" s="121">
        <v>8</v>
      </c>
      <c r="D8250" s="734">
        <v>139.46083981409083</v>
      </c>
      <c r="E8250" s="733"/>
    </row>
    <row r="8251" spans="2:5">
      <c r="B8251" s="121">
        <v>713</v>
      </c>
      <c r="C8251" s="121">
        <v>9</v>
      </c>
      <c r="D8251" s="734">
        <v>145.8643148692465</v>
      </c>
      <c r="E8251" s="733"/>
    </row>
    <row r="8252" spans="2:5">
      <c r="B8252" s="121">
        <v>713</v>
      </c>
      <c r="C8252" s="121">
        <v>10</v>
      </c>
      <c r="D8252" s="734">
        <v>140.74371391114659</v>
      </c>
      <c r="E8252" s="733"/>
    </row>
    <row r="8253" spans="2:5">
      <c r="B8253" s="121">
        <v>713</v>
      </c>
      <c r="C8253" s="121">
        <v>11</v>
      </c>
      <c r="D8253" s="734">
        <v>138.7173273749186</v>
      </c>
      <c r="E8253" s="733"/>
    </row>
    <row r="8254" spans="2:5">
      <c r="B8254" s="121">
        <v>714</v>
      </c>
      <c r="C8254" s="121">
        <v>1</v>
      </c>
      <c r="D8254" s="734">
        <v>5</v>
      </c>
      <c r="E8254" s="733"/>
    </row>
    <row r="8255" spans="2:5">
      <c r="B8255" s="121">
        <v>714</v>
      </c>
      <c r="C8255" s="121">
        <v>2</v>
      </c>
      <c r="D8255" s="734">
        <v>100.71977801646179</v>
      </c>
      <c r="E8255" s="733"/>
    </row>
    <row r="8256" spans="2:5">
      <c r="B8256" s="121">
        <v>715</v>
      </c>
      <c r="C8256" s="121">
        <v>1</v>
      </c>
      <c r="D8256" s="734">
        <v>5</v>
      </c>
      <c r="E8256" s="733"/>
    </row>
    <row r="8257" spans="2:5">
      <c r="B8257" s="121">
        <v>715</v>
      </c>
      <c r="C8257" s="121">
        <v>2</v>
      </c>
      <c r="D8257" s="734">
        <v>95.937183471509584</v>
      </c>
      <c r="E8257" s="733"/>
    </row>
    <row r="8258" spans="2:5">
      <c r="B8258" s="121">
        <v>715</v>
      </c>
      <c r="C8258" s="121">
        <v>3</v>
      </c>
      <c r="D8258" s="734">
        <v>115.43740727881493</v>
      </c>
      <c r="E8258" s="733"/>
    </row>
    <row r="8259" spans="2:5">
      <c r="B8259" s="121">
        <v>715</v>
      </c>
      <c r="C8259" s="121">
        <v>4</v>
      </c>
      <c r="D8259" s="734">
        <v>140.72760637981293</v>
      </c>
      <c r="E8259" s="733"/>
    </row>
    <row r="8260" spans="2:5">
      <c r="B8260" s="121">
        <v>715</v>
      </c>
      <c r="C8260" s="121">
        <v>5</v>
      </c>
      <c r="D8260" s="734">
        <v>142.05806049451849</v>
      </c>
      <c r="E8260" s="733"/>
    </row>
    <row r="8261" spans="2:5">
      <c r="B8261" s="121">
        <v>715</v>
      </c>
      <c r="C8261" s="121">
        <v>6</v>
      </c>
      <c r="D8261" s="734">
        <v>147.09316964442107</v>
      </c>
      <c r="E8261" s="733"/>
    </row>
    <row r="8262" spans="2:5">
      <c r="B8262" s="121">
        <v>715</v>
      </c>
      <c r="C8262" s="121">
        <v>7</v>
      </c>
      <c r="D8262" s="734">
        <v>145.75245192020947</v>
      </c>
      <c r="E8262" s="733"/>
    </row>
    <row r="8263" spans="2:5">
      <c r="B8263" s="121">
        <v>715</v>
      </c>
      <c r="C8263" s="121">
        <v>8</v>
      </c>
      <c r="D8263" s="734">
        <v>139.71065826757564</v>
      </c>
      <c r="E8263" s="733"/>
    </row>
    <row r="8264" spans="2:5">
      <c r="B8264" s="121">
        <v>715</v>
      </c>
      <c r="C8264" s="121">
        <v>9</v>
      </c>
      <c r="D8264" s="734">
        <v>140.94433201121436</v>
      </c>
      <c r="E8264" s="733"/>
    </row>
    <row r="8265" spans="2:5">
      <c r="B8265" s="121">
        <v>716</v>
      </c>
      <c r="C8265" s="121">
        <v>1</v>
      </c>
      <c r="D8265" s="734">
        <v>5</v>
      </c>
      <c r="E8265" s="733"/>
    </row>
    <row r="8266" spans="2:5">
      <c r="B8266" s="121">
        <v>717</v>
      </c>
      <c r="C8266" s="121">
        <v>1</v>
      </c>
      <c r="D8266" s="734">
        <v>5</v>
      </c>
      <c r="E8266" s="733"/>
    </row>
    <row r="8267" spans="2:5">
      <c r="B8267" s="121">
        <v>717</v>
      </c>
      <c r="C8267" s="121">
        <v>2</v>
      </c>
      <c r="D8267" s="734">
        <v>101.11992619143173</v>
      </c>
      <c r="E8267" s="733"/>
    </row>
    <row r="8268" spans="2:5">
      <c r="B8268" s="121">
        <v>717</v>
      </c>
      <c r="C8268" s="121">
        <v>3</v>
      </c>
      <c r="D8268" s="734">
        <v>115.10078827346298</v>
      </c>
      <c r="E8268" s="733"/>
    </row>
    <row r="8269" spans="2:5">
      <c r="B8269" s="121">
        <v>717</v>
      </c>
      <c r="C8269" s="121">
        <v>4</v>
      </c>
      <c r="D8269" s="734">
        <v>143.05007640080058</v>
      </c>
      <c r="E8269" s="733"/>
    </row>
    <row r="8270" spans="2:5">
      <c r="B8270" s="121">
        <v>717</v>
      </c>
      <c r="C8270" s="121">
        <v>5</v>
      </c>
      <c r="D8270" s="734">
        <v>140.48563928611205</v>
      </c>
      <c r="E8270" s="733"/>
    </row>
    <row r="8271" spans="2:5">
      <c r="B8271" s="121">
        <v>717</v>
      </c>
      <c r="C8271" s="121">
        <v>6</v>
      </c>
      <c r="D8271" s="734">
        <v>143.70785695745931</v>
      </c>
      <c r="E8271" s="733"/>
    </row>
    <row r="8272" spans="2:5">
      <c r="B8272" s="121">
        <v>717</v>
      </c>
      <c r="C8272" s="121">
        <v>7</v>
      </c>
      <c r="D8272" s="734">
        <v>142.70288385900758</v>
      </c>
      <c r="E8272" s="733"/>
    </row>
    <row r="8273" spans="2:5">
      <c r="B8273" s="121">
        <v>717</v>
      </c>
      <c r="C8273" s="121">
        <v>8</v>
      </c>
      <c r="D8273" s="734">
        <v>146.66220164719857</v>
      </c>
      <c r="E8273" s="733"/>
    </row>
    <row r="8274" spans="2:5">
      <c r="B8274" s="121">
        <v>717</v>
      </c>
      <c r="C8274" s="121">
        <v>9</v>
      </c>
      <c r="D8274" s="734">
        <v>134.36847732050089</v>
      </c>
      <c r="E8274" s="733"/>
    </row>
    <row r="8275" spans="2:5">
      <c r="B8275" s="121">
        <v>717</v>
      </c>
      <c r="C8275" s="121">
        <v>10</v>
      </c>
      <c r="D8275" s="734">
        <v>135.42251948530358</v>
      </c>
      <c r="E8275" s="733"/>
    </row>
    <row r="8276" spans="2:5">
      <c r="B8276" s="121">
        <v>717</v>
      </c>
      <c r="C8276" s="121">
        <v>11</v>
      </c>
      <c r="D8276" s="734">
        <v>143.74254652020957</v>
      </c>
      <c r="E8276" s="733"/>
    </row>
    <row r="8277" spans="2:5">
      <c r="B8277" s="121">
        <v>717</v>
      </c>
      <c r="C8277" s="121">
        <v>12</v>
      </c>
      <c r="D8277" s="734">
        <v>140.67998345214014</v>
      </c>
      <c r="E8277" s="733"/>
    </row>
    <row r="8278" spans="2:5">
      <c r="B8278" s="121">
        <v>718</v>
      </c>
      <c r="C8278" s="121">
        <v>1</v>
      </c>
      <c r="D8278" s="734">
        <v>5</v>
      </c>
      <c r="E8278" s="733"/>
    </row>
    <row r="8279" spans="2:5">
      <c r="B8279" s="121">
        <v>718</v>
      </c>
      <c r="C8279" s="121">
        <v>2</v>
      </c>
      <c r="D8279" s="734">
        <v>97.522528896134503</v>
      </c>
      <c r="E8279" s="733"/>
    </row>
    <row r="8280" spans="2:5">
      <c r="B8280" s="121">
        <v>718</v>
      </c>
      <c r="C8280" s="121">
        <v>3</v>
      </c>
      <c r="D8280" s="734">
        <v>120.0174175611107</v>
      </c>
      <c r="E8280" s="733"/>
    </row>
    <row r="8281" spans="2:5">
      <c r="B8281" s="121">
        <v>718</v>
      </c>
      <c r="C8281" s="121">
        <v>4</v>
      </c>
      <c r="D8281" s="734">
        <v>135.76648411973005</v>
      </c>
      <c r="E8281" s="733"/>
    </row>
    <row r="8282" spans="2:5">
      <c r="B8282" s="121">
        <v>718</v>
      </c>
      <c r="C8282" s="121">
        <v>5</v>
      </c>
      <c r="D8282" s="734">
        <v>136.97903272930662</v>
      </c>
      <c r="E8282" s="733"/>
    </row>
    <row r="8283" spans="2:5">
      <c r="B8283" s="121">
        <v>718</v>
      </c>
      <c r="C8283" s="121">
        <v>6</v>
      </c>
      <c r="D8283" s="734">
        <v>135.76392185201661</v>
      </c>
      <c r="E8283" s="733"/>
    </row>
    <row r="8284" spans="2:5">
      <c r="B8284" s="121">
        <v>718</v>
      </c>
      <c r="C8284" s="121">
        <v>7</v>
      </c>
      <c r="D8284" s="734">
        <v>141.04138533121449</v>
      </c>
      <c r="E8284" s="733"/>
    </row>
    <row r="8285" spans="2:5">
      <c r="B8285" s="121">
        <v>718</v>
      </c>
      <c r="C8285" s="121">
        <v>8</v>
      </c>
      <c r="D8285" s="734">
        <v>141.43559878962051</v>
      </c>
      <c r="E8285" s="733"/>
    </row>
    <row r="8286" spans="2:5">
      <c r="B8286" s="121">
        <v>718</v>
      </c>
      <c r="C8286" s="121">
        <v>9</v>
      </c>
      <c r="D8286" s="734">
        <v>142.70378030336269</v>
      </c>
      <c r="E8286" s="733"/>
    </row>
    <row r="8287" spans="2:5">
      <c r="B8287" s="121">
        <v>718</v>
      </c>
      <c r="C8287" s="121">
        <v>10</v>
      </c>
      <c r="D8287" s="734">
        <v>139.67663522223833</v>
      </c>
      <c r="E8287" s="733"/>
    </row>
    <row r="8288" spans="2:5">
      <c r="B8288" s="121">
        <v>719</v>
      </c>
      <c r="C8288" s="121">
        <v>1</v>
      </c>
      <c r="D8288" s="734">
        <v>5</v>
      </c>
      <c r="E8288" s="733"/>
    </row>
    <row r="8289" spans="2:5">
      <c r="B8289" s="121">
        <v>719</v>
      </c>
      <c r="C8289" s="121">
        <v>2</v>
      </c>
      <c r="D8289" s="734">
        <v>100.1901738676158</v>
      </c>
      <c r="E8289" s="733"/>
    </row>
    <row r="8290" spans="2:5">
      <c r="B8290" s="121">
        <v>719</v>
      </c>
      <c r="C8290" s="121">
        <v>3</v>
      </c>
      <c r="D8290" s="734">
        <v>119.90378740051067</v>
      </c>
      <c r="E8290" s="733"/>
    </row>
    <row r="8291" spans="2:5">
      <c r="B8291" s="121">
        <v>719</v>
      </c>
      <c r="C8291" s="121">
        <v>4</v>
      </c>
      <c r="D8291" s="734">
        <v>136.55809527074399</v>
      </c>
      <c r="E8291" s="733"/>
    </row>
    <row r="8292" spans="2:5">
      <c r="B8292" s="121">
        <v>719</v>
      </c>
      <c r="C8292" s="121">
        <v>5</v>
      </c>
      <c r="D8292" s="734">
        <v>143.37723043012377</v>
      </c>
      <c r="E8292" s="733"/>
    </row>
    <row r="8293" spans="2:5">
      <c r="B8293" s="121">
        <v>719</v>
      </c>
      <c r="C8293" s="121">
        <v>6</v>
      </c>
      <c r="D8293" s="734">
        <v>136.76310049136634</v>
      </c>
      <c r="E8293" s="733"/>
    </row>
    <row r="8294" spans="2:5">
      <c r="B8294" s="121">
        <v>719</v>
      </c>
      <c r="C8294" s="121">
        <v>7</v>
      </c>
      <c r="D8294" s="734">
        <v>135.34207755038179</v>
      </c>
      <c r="E8294" s="733"/>
    </row>
    <row r="8295" spans="2:5">
      <c r="B8295" s="121">
        <v>719</v>
      </c>
      <c r="C8295" s="121">
        <v>8</v>
      </c>
      <c r="D8295" s="734">
        <v>145.8302624161411</v>
      </c>
      <c r="E8295" s="733"/>
    </row>
    <row r="8296" spans="2:5">
      <c r="B8296" s="121">
        <v>719</v>
      </c>
      <c r="C8296" s="121">
        <v>9</v>
      </c>
      <c r="D8296" s="734">
        <v>139.71474765897284</v>
      </c>
      <c r="E8296" s="733"/>
    </row>
    <row r="8297" spans="2:5">
      <c r="B8297" s="121">
        <v>719</v>
      </c>
      <c r="C8297" s="121">
        <v>10</v>
      </c>
      <c r="D8297" s="734">
        <v>134.94322580187946</v>
      </c>
      <c r="E8297" s="733"/>
    </row>
    <row r="8298" spans="2:5">
      <c r="B8298" s="121">
        <v>719</v>
      </c>
      <c r="C8298" s="121">
        <v>11</v>
      </c>
      <c r="D8298" s="734">
        <v>143.01283762365185</v>
      </c>
      <c r="E8298" s="733"/>
    </row>
    <row r="8299" spans="2:5">
      <c r="B8299" s="121">
        <v>719</v>
      </c>
      <c r="C8299" s="121">
        <v>12</v>
      </c>
      <c r="D8299" s="734">
        <v>143.35138370160064</v>
      </c>
      <c r="E8299" s="733"/>
    </row>
    <row r="8300" spans="2:5">
      <c r="B8300" s="121">
        <v>719</v>
      </c>
      <c r="C8300" s="121">
        <v>13</v>
      </c>
      <c r="D8300" s="734">
        <v>138.74000183923485</v>
      </c>
      <c r="E8300" s="733"/>
    </row>
    <row r="8301" spans="2:5">
      <c r="B8301" s="121">
        <v>719</v>
      </c>
      <c r="C8301" s="121">
        <v>14</v>
      </c>
      <c r="D8301" s="734">
        <v>133.7160603721193</v>
      </c>
      <c r="E8301" s="733"/>
    </row>
    <row r="8302" spans="2:5">
      <c r="B8302" s="121">
        <v>719</v>
      </c>
      <c r="C8302" s="121">
        <v>15</v>
      </c>
      <c r="D8302" s="734">
        <v>138.32721203394999</v>
      </c>
      <c r="E8302" s="733"/>
    </row>
    <row r="8303" spans="2:5">
      <c r="B8303" s="121">
        <v>719</v>
      </c>
      <c r="C8303" s="121">
        <v>16</v>
      </c>
      <c r="D8303" s="734">
        <v>146.82462087187145</v>
      </c>
      <c r="E8303" s="733"/>
    </row>
    <row r="8304" spans="2:5">
      <c r="B8304" s="121">
        <v>719</v>
      </c>
      <c r="C8304" s="121">
        <v>17</v>
      </c>
      <c r="D8304" s="734">
        <v>135.68212685121247</v>
      </c>
      <c r="E8304" s="733"/>
    </row>
    <row r="8305" spans="2:5">
      <c r="B8305" s="121">
        <v>719</v>
      </c>
      <c r="C8305" s="121">
        <v>18</v>
      </c>
      <c r="D8305" s="734">
        <v>137.61131581375895</v>
      </c>
      <c r="E8305" s="733"/>
    </row>
    <row r="8306" spans="2:5">
      <c r="B8306" s="121">
        <v>719</v>
      </c>
      <c r="C8306" s="121">
        <v>19</v>
      </c>
      <c r="D8306" s="734">
        <v>137.57438513722531</v>
      </c>
      <c r="E8306" s="733"/>
    </row>
    <row r="8307" spans="2:5">
      <c r="B8307" s="121">
        <v>719</v>
      </c>
      <c r="C8307" s="121">
        <v>20</v>
      </c>
      <c r="D8307" s="734">
        <v>144.23853556497252</v>
      </c>
      <c r="E8307" s="733"/>
    </row>
    <row r="8308" spans="2:5">
      <c r="B8308" s="121">
        <v>720</v>
      </c>
      <c r="C8308" s="121">
        <v>1</v>
      </c>
      <c r="D8308" s="734">
        <v>5</v>
      </c>
      <c r="E8308" s="733"/>
    </row>
    <row r="8309" spans="2:5">
      <c r="B8309" s="121">
        <v>720</v>
      </c>
      <c r="C8309" s="121">
        <v>2</v>
      </c>
      <c r="D8309" s="734">
        <v>99.051451836696984</v>
      </c>
      <c r="E8309" s="733"/>
    </row>
    <row r="8310" spans="2:5">
      <c r="B8310" s="121">
        <v>720</v>
      </c>
      <c r="C8310" s="121">
        <v>3</v>
      </c>
      <c r="D8310" s="734">
        <v>116.68388080737564</v>
      </c>
      <c r="E8310" s="733"/>
    </row>
    <row r="8311" spans="2:5">
      <c r="B8311" s="121">
        <v>720</v>
      </c>
      <c r="C8311" s="121">
        <v>4</v>
      </c>
      <c r="D8311" s="734">
        <v>139.6650499790772</v>
      </c>
      <c r="E8311" s="733"/>
    </row>
    <row r="8312" spans="2:5">
      <c r="B8312" s="121">
        <v>720</v>
      </c>
      <c r="C8312" s="121">
        <v>5</v>
      </c>
      <c r="D8312" s="734">
        <v>145.57445990518727</v>
      </c>
      <c r="E8312" s="733"/>
    </row>
    <row r="8313" spans="2:5">
      <c r="B8313" s="121">
        <v>720</v>
      </c>
      <c r="C8313" s="121">
        <v>6</v>
      </c>
      <c r="D8313" s="734">
        <v>147.00227328497553</v>
      </c>
      <c r="E8313" s="733"/>
    </row>
    <row r="8314" spans="2:5">
      <c r="B8314" s="121">
        <v>720</v>
      </c>
      <c r="C8314" s="121">
        <v>7</v>
      </c>
      <c r="D8314" s="734">
        <v>145.88170727646994</v>
      </c>
      <c r="E8314" s="733"/>
    </row>
    <row r="8315" spans="2:5">
      <c r="B8315" s="121">
        <v>720</v>
      </c>
      <c r="C8315" s="121">
        <v>8</v>
      </c>
      <c r="D8315" s="734">
        <v>142.656762598917</v>
      </c>
      <c r="E8315" s="733"/>
    </row>
    <row r="8316" spans="2:5">
      <c r="B8316" s="121">
        <v>720</v>
      </c>
      <c r="C8316" s="121">
        <v>9</v>
      </c>
      <c r="D8316" s="734">
        <v>138.87058085476505</v>
      </c>
      <c r="E8316" s="733"/>
    </row>
    <row r="8317" spans="2:5">
      <c r="B8317" s="121">
        <v>720</v>
      </c>
      <c r="C8317" s="121">
        <v>10</v>
      </c>
      <c r="D8317" s="734">
        <v>135.52990259988755</v>
      </c>
      <c r="E8317" s="733"/>
    </row>
    <row r="8318" spans="2:5">
      <c r="B8318" s="121">
        <v>720</v>
      </c>
      <c r="C8318" s="121">
        <v>11</v>
      </c>
      <c r="D8318" s="734">
        <v>143.7724053378505</v>
      </c>
      <c r="E8318" s="733"/>
    </row>
    <row r="8319" spans="2:5">
      <c r="B8319" s="121">
        <v>720</v>
      </c>
      <c r="C8319" s="121">
        <v>12</v>
      </c>
      <c r="D8319" s="734">
        <v>141.91210010870333</v>
      </c>
      <c r="E8319" s="733"/>
    </row>
    <row r="8320" spans="2:5">
      <c r="B8320" s="121">
        <v>720</v>
      </c>
      <c r="C8320" s="121">
        <v>13</v>
      </c>
      <c r="D8320" s="734">
        <v>143.2619008089091</v>
      </c>
      <c r="E8320" s="733"/>
    </row>
    <row r="8321" spans="2:5">
      <c r="B8321" s="121">
        <v>720</v>
      </c>
      <c r="C8321" s="121">
        <v>14</v>
      </c>
      <c r="D8321" s="734">
        <v>139.57577050962414</v>
      </c>
      <c r="E8321" s="733"/>
    </row>
    <row r="8322" spans="2:5">
      <c r="B8322" s="121">
        <v>720</v>
      </c>
      <c r="C8322" s="121">
        <v>15</v>
      </c>
      <c r="D8322" s="734">
        <v>146.47368050329891</v>
      </c>
      <c r="E8322" s="733"/>
    </row>
    <row r="8323" spans="2:5">
      <c r="B8323" s="121">
        <v>720</v>
      </c>
      <c r="C8323" s="121">
        <v>16</v>
      </c>
      <c r="D8323" s="734">
        <v>145.2440371951302</v>
      </c>
      <c r="E8323" s="733"/>
    </row>
    <row r="8324" spans="2:5">
      <c r="B8324" s="121">
        <v>720</v>
      </c>
      <c r="C8324" s="121">
        <v>17</v>
      </c>
      <c r="D8324" s="734">
        <v>136.73280476687898</v>
      </c>
      <c r="E8324" s="733"/>
    </row>
    <row r="8325" spans="2:5">
      <c r="B8325" s="121">
        <v>720</v>
      </c>
      <c r="C8325" s="121">
        <v>18</v>
      </c>
      <c r="D8325" s="734">
        <v>136.51542959594764</v>
      </c>
      <c r="E8325" s="733"/>
    </row>
    <row r="8326" spans="2:5">
      <c r="B8326" s="121">
        <v>720</v>
      </c>
      <c r="C8326" s="121">
        <v>19</v>
      </c>
      <c r="D8326" s="734">
        <v>147.03378443114491</v>
      </c>
      <c r="E8326" s="733"/>
    </row>
    <row r="8327" spans="2:5">
      <c r="B8327" s="121">
        <v>720</v>
      </c>
      <c r="C8327" s="121">
        <v>20</v>
      </c>
      <c r="D8327" s="734">
        <v>146.77882364110295</v>
      </c>
      <c r="E8327" s="733"/>
    </row>
    <row r="8328" spans="2:5">
      <c r="B8328" s="121">
        <v>720</v>
      </c>
      <c r="C8328" s="121">
        <v>21</v>
      </c>
      <c r="D8328" s="734">
        <v>144.52130358333261</v>
      </c>
      <c r="E8328" s="733"/>
    </row>
    <row r="8329" spans="2:5">
      <c r="B8329" s="121">
        <v>720</v>
      </c>
      <c r="C8329" s="121">
        <v>22</v>
      </c>
      <c r="D8329" s="734">
        <v>138.57043913951856</v>
      </c>
      <c r="E8329" s="733"/>
    </row>
    <row r="8330" spans="2:5">
      <c r="B8330" s="121">
        <v>720</v>
      </c>
      <c r="C8330" s="121">
        <v>23</v>
      </c>
      <c r="D8330" s="734">
        <v>147.05858529109125</v>
      </c>
      <c r="E8330" s="733"/>
    </row>
    <row r="8331" spans="2:5">
      <c r="B8331" s="121">
        <v>720</v>
      </c>
      <c r="C8331" s="121">
        <v>24</v>
      </c>
      <c r="D8331" s="734">
        <v>136.22217672508413</v>
      </c>
      <c r="E8331" s="733"/>
    </row>
    <row r="8332" spans="2:5">
      <c r="B8332" s="121">
        <v>720</v>
      </c>
      <c r="C8332" s="121">
        <v>25</v>
      </c>
      <c r="D8332" s="734">
        <v>145.85057752871396</v>
      </c>
      <c r="E8332" s="733"/>
    </row>
    <row r="8333" spans="2:5">
      <c r="B8333" s="121">
        <v>720</v>
      </c>
      <c r="C8333" s="121">
        <v>26</v>
      </c>
      <c r="D8333" s="734">
        <v>141.82274037477052</v>
      </c>
      <c r="E8333" s="733"/>
    </row>
    <row r="8334" spans="2:5">
      <c r="B8334" s="121">
        <v>720</v>
      </c>
      <c r="C8334" s="121">
        <v>27</v>
      </c>
      <c r="D8334" s="734">
        <v>145.2317711368722</v>
      </c>
      <c r="E8334" s="733"/>
    </row>
    <row r="8335" spans="2:5">
      <c r="B8335" s="121">
        <v>720</v>
      </c>
      <c r="C8335" s="121">
        <v>28</v>
      </c>
      <c r="D8335" s="734">
        <v>142.21853762903623</v>
      </c>
      <c r="E8335" s="733"/>
    </row>
    <row r="8336" spans="2:5">
      <c r="B8336" s="121">
        <v>720</v>
      </c>
      <c r="C8336" s="121">
        <v>29</v>
      </c>
      <c r="D8336" s="734">
        <v>134.44177631448841</v>
      </c>
      <c r="E8336" s="733"/>
    </row>
    <row r="8337" spans="2:5">
      <c r="B8337" s="121">
        <v>720</v>
      </c>
      <c r="C8337" s="121">
        <v>30</v>
      </c>
      <c r="D8337" s="734">
        <v>145.21020925001122</v>
      </c>
      <c r="E8337" s="733"/>
    </row>
    <row r="8338" spans="2:5">
      <c r="B8338" s="121">
        <v>720</v>
      </c>
      <c r="C8338" s="121">
        <v>31</v>
      </c>
      <c r="D8338" s="734">
        <v>147.28070877186391</v>
      </c>
      <c r="E8338" s="733"/>
    </row>
    <row r="8339" spans="2:5">
      <c r="B8339" s="121">
        <v>720</v>
      </c>
      <c r="C8339" s="121">
        <v>32</v>
      </c>
      <c r="D8339" s="734">
        <v>134.76648690403843</v>
      </c>
      <c r="E8339" s="733"/>
    </row>
    <row r="8340" spans="2:5">
      <c r="B8340" s="121">
        <v>720</v>
      </c>
      <c r="C8340" s="121">
        <v>33</v>
      </c>
      <c r="D8340" s="734">
        <v>145.74298624436625</v>
      </c>
      <c r="E8340" s="733"/>
    </row>
    <row r="8341" spans="2:5">
      <c r="B8341" s="121">
        <v>720</v>
      </c>
      <c r="C8341" s="121">
        <v>34</v>
      </c>
      <c r="D8341" s="734">
        <v>138.77665121087202</v>
      </c>
      <c r="E8341" s="733"/>
    </row>
    <row r="8342" spans="2:5">
      <c r="B8342" s="121">
        <v>720</v>
      </c>
      <c r="C8342" s="121">
        <v>35</v>
      </c>
      <c r="D8342" s="734">
        <v>138.97969922864246</v>
      </c>
      <c r="E8342" s="733"/>
    </row>
    <row r="8343" spans="2:5">
      <c r="B8343" s="121">
        <v>720</v>
      </c>
      <c r="C8343" s="121">
        <v>36</v>
      </c>
      <c r="D8343" s="734">
        <v>146.75833540901579</v>
      </c>
      <c r="E8343" s="733"/>
    </row>
    <row r="8344" spans="2:5">
      <c r="B8344" s="121">
        <v>721</v>
      </c>
      <c r="C8344" s="121">
        <v>1</v>
      </c>
      <c r="D8344" s="734">
        <v>5</v>
      </c>
      <c r="E8344" s="733"/>
    </row>
    <row r="8345" spans="2:5">
      <c r="B8345" s="121">
        <v>721</v>
      </c>
      <c r="C8345" s="121">
        <v>2</v>
      </c>
      <c r="D8345" s="734">
        <v>101.14269029066902</v>
      </c>
      <c r="E8345" s="733"/>
    </row>
    <row r="8346" spans="2:5">
      <c r="B8346" s="121">
        <v>721</v>
      </c>
      <c r="C8346" s="121">
        <v>3</v>
      </c>
      <c r="D8346" s="734">
        <v>118.73270850306292</v>
      </c>
      <c r="E8346" s="733"/>
    </row>
    <row r="8347" spans="2:5">
      <c r="B8347" s="121">
        <v>721</v>
      </c>
      <c r="C8347" s="121">
        <v>4</v>
      </c>
      <c r="D8347" s="734">
        <v>137.3903494572333</v>
      </c>
      <c r="E8347" s="733"/>
    </row>
    <row r="8348" spans="2:5">
      <c r="B8348" s="121">
        <v>721</v>
      </c>
      <c r="C8348" s="121">
        <v>5</v>
      </c>
      <c r="D8348" s="734">
        <v>144.73210438494638</v>
      </c>
      <c r="E8348" s="733"/>
    </row>
    <row r="8349" spans="2:5">
      <c r="B8349" s="121">
        <v>721</v>
      </c>
      <c r="C8349" s="121">
        <v>6</v>
      </c>
      <c r="D8349" s="734">
        <v>141.29350140709963</v>
      </c>
      <c r="E8349" s="733"/>
    </row>
    <row r="8350" spans="2:5">
      <c r="B8350" s="121">
        <v>721</v>
      </c>
      <c r="C8350" s="121">
        <v>7</v>
      </c>
      <c r="D8350" s="734">
        <v>143.46020570993028</v>
      </c>
      <c r="E8350" s="733"/>
    </row>
    <row r="8351" spans="2:5">
      <c r="B8351" s="121">
        <v>721</v>
      </c>
      <c r="C8351" s="121">
        <v>8</v>
      </c>
      <c r="D8351" s="734">
        <v>143.63383404948627</v>
      </c>
      <c r="E8351" s="733"/>
    </row>
    <row r="8352" spans="2:5">
      <c r="B8352" s="121">
        <v>721</v>
      </c>
      <c r="C8352" s="121">
        <v>9</v>
      </c>
      <c r="D8352" s="734">
        <v>143.76107626980365</v>
      </c>
      <c r="E8352" s="733"/>
    </row>
    <row r="8353" spans="2:5">
      <c r="B8353" s="121">
        <v>721</v>
      </c>
      <c r="C8353" s="121">
        <v>10</v>
      </c>
      <c r="D8353" s="734">
        <v>142.0573311267365</v>
      </c>
      <c r="E8353" s="733"/>
    </row>
    <row r="8354" spans="2:5">
      <c r="B8354" s="121">
        <v>721</v>
      </c>
      <c r="C8354" s="121">
        <v>11</v>
      </c>
      <c r="D8354" s="734">
        <v>146.80222426403108</v>
      </c>
      <c r="E8354" s="733"/>
    </row>
    <row r="8355" spans="2:5">
      <c r="B8355" s="121">
        <v>721</v>
      </c>
      <c r="C8355" s="121">
        <v>12</v>
      </c>
      <c r="D8355" s="734">
        <v>135.78379525671539</v>
      </c>
      <c r="E8355" s="733"/>
    </row>
    <row r="8356" spans="2:5">
      <c r="B8356" s="121">
        <v>721</v>
      </c>
      <c r="C8356" s="121">
        <v>13</v>
      </c>
      <c r="D8356" s="734">
        <v>134.73759942575236</v>
      </c>
      <c r="E8356" s="733"/>
    </row>
    <row r="8357" spans="2:5">
      <c r="B8357" s="121">
        <v>721</v>
      </c>
      <c r="C8357" s="121">
        <v>14</v>
      </c>
      <c r="D8357" s="734">
        <v>144.0671367830443</v>
      </c>
      <c r="E8357" s="733"/>
    </row>
    <row r="8358" spans="2:5">
      <c r="B8358" s="121">
        <v>721</v>
      </c>
      <c r="C8358" s="121">
        <v>15</v>
      </c>
      <c r="D8358" s="734">
        <v>143.38680915131303</v>
      </c>
      <c r="E8358" s="733"/>
    </row>
    <row r="8359" spans="2:5">
      <c r="B8359" s="121">
        <v>721</v>
      </c>
      <c r="C8359" s="121">
        <v>16</v>
      </c>
      <c r="D8359" s="734">
        <v>145.85683102096053</v>
      </c>
      <c r="E8359" s="733"/>
    </row>
    <row r="8360" spans="2:5">
      <c r="B8360" s="121">
        <v>721</v>
      </c>
      <c r="C8360" s="121">
        <v>17</v>
      </c>
      <c r="D8360" s="734">
        <v>136.92438391353542</v>
      </c>
      <c r="E8360" s="733"/>
    </row>
    <row r="8361" spans="2:5">
      <c r="B8361" s="121">
        <v>721</v>
      </c>
      <c r="C8361" s="121">
        <v>18</v>
      </c>
      <c r="D8361" s="734">
        <v>139.26018946867586</v>
      </c>
      <c r="E8361" s="733"/>
    </row>
    <row r="8362" spans="2:5">
      <c r="B8362" s="121">
        <v>721</v>
      </c>
      <c r="C8362" s="121">
        <v>19</v>
      </c>
      <c r="D8362" s="734">
        <v>144.43980753157319</v>
      </c>
      <c r="E8362" s="733"/>
    </row>
    <row r="8363" spans="2:5">
      <c r="B8363" s="121">
        <v>721</v>
      </c>
      <c r="C8363" s="121">
        <v>20</v>
      </c>
      <c r="D8363" s="734">
        <v>138.21420073162102</v>
      </c>
      <c r="E8363" s="733"/>
    </row>
    <row r="8364" spans="2:5">
      <c r="B8364" s="121">
        <v>721</v>
      </c>
      <c r="C8364" s="121">
        <v>21</v>
      </c>
      <c r="D8364" s="734">
        <v>140.02051688961541</v>
      </c>
      <c r="E8364" s="733"/>
    </row>
    <row r="8365" spans="2:5">
      <c r="B8365" s="121">
        <v>721</v>
      </c>
      <c r="C8365" s="121">
        <v>22</v>
      </c>
      <c r="D8365" s="734">
        <v>135.76957922909975</v>
      </c>
      <c r="E8365" s="733"/>
    </row>
    <row r="8366" spans="2:5">
      <c r="B8366" s="121">
        <v>721</v>
      </c>
      <c r="C8366" s="121">
        <v>23</v>
      </c>
      <c r="D8366" s="734">
        <v>138.90584678465331</v>
      </c>
      <c r="E8366" s="733"/>
    </row>
    <row r="8367" spans="2:5">
      <c r="B8367" s="121">
        <v>721</v>
      </c>
      <c r="C8367" s="121">
        <v>24</v>
      </c>
      <c r="D8367" s="734">
        <v>143.68424391125251</v>
      </c>
      <c r="E8367" s="733"/>
    </row>
    <row r="8368" spans="2:5">
      <c r="B8368" s="121">
        <v>721</v>
      </c>
      <c r="C8368" s="121">
        <v>25</v>
      </c>
      <c r="D8368" s="734">
        <v>147.07293518313912</v>
      </c>
      <c r="E8368" s="733"/>
    </row>
    <row r="8369" spans="2:5">
      <c r="B8369" s="121">
        <v>721</v>
      </c>
      <c r="C8369" s="121">
        <v>26</v>
      </c>
      <c r="D8369" s="734">
        <v>146.58881538487722</v>
      </c>
      <c r="E8369" s="733"/>
    </row>
    <row r="8370" spans="2:5">
      <c r="B8370" s="121">
        <v>721</v>
      </c>
      <c r="C8370" s="121">
        <v>27</v>
      </c>
      <c r="D8370" s="734">
        <v>141.98002347334557</v>
      </c>
      <c r="E8370" s="733"/>
    </row>
    <row r="8371" spans="2:5">
      <c r="B8371" s="121">
        <v>721</v>
      </c>
      <c r="C8371" s="121">
        <v>28</v>
      </c>
      <c r="D8371" s="734">
        <v>139.46901068169285</v>
      </c>
      <c r="E8371" s="733"/>
    </row>
    <row r="8372" spans="2:5">
      <c r="B8372" s="121">
        <v>721</v>
      </c>
      <c r="C8372" s="121">
        <v>29</v>
      </c>
      <c r="D8372" s="734">
        <v>146.921091873118</v>
      </c>
      <c r="E8372" s="733"/>
    </row>
    <row r="8373" spans="2:5">
      <c r="B8373" s="121">
        <v>721</v>
      </c>
      <c r="C8373" s="121">
        <v>30</v>
      </c>
      <c r="D8373" s="734">
        <v>138.88592545692381</v>
      </c>
      <c r="E8373" s="733"/>
    </row>
    <row r="8374" spans="2:5">
      <c r="B8374" s="121">
        <v>721</v>
      </c>
      <c r="C8374" s="121">
        <v>31</v>
      </c>
      <c r="D8374" s="734">
        <v>138.81643739645821</v>
      </c>
      <c r="E8374" s="733"/>
    </row>
    <row r="8375" spans="2:5">
      <c r="B8375" s="121">
        <v>721</v>
      </c>
      <c r="C8375" s="121">
        <v>32</v>
      </c>
      <c r="D8375" s="734">
        <v>134.82739524446805</v>
      </c>
      <c r="E8375" s="733"/>
    </row>
    <row r="8376" spans="2:5">
      <c r="B8376" s="121">
        <v>721</v>
      </c>
      <c r="C8376" s="121">
        <v>33</v>
      </c>
      <c r="D8376" s="734">
        <v>136.73607944889994</v>
      </c>
      <c r="E8376" s="733"/>
    </row>
    <row r="8377" spans="2:5">
      <c r="B8377" s="121">
        <v>721</v>
      </c>
      <c r="C8377" s="121">
        <v>34</v>
      </c>
      <c r="D8377" s="734">
        <v>144.49279751750578</v>
      </c>
      <c r="E8377" s="733"/>
    </row>
    <row r="8378" spans="2:5">
      <c r="B8378" s="121">
        <v>721</v>
      </c>
      <c r="C8378" s="121">
        <v>35</v>
      </c>
      <c r="D8378" s="734">
        <v>146.92158965997299</v>
      </c>
      <c r="E8378" s="733"/>
    </row>
    <row r="8379" spans="2:5">
      <c r="B8379" s="121">
        <v>721</v>
      </c>
      <c r="C8379" s="121">
        <v>36</v>
      </c>
      <c r="D8379" s="734">
        <v>145.88369480226382</v>
      </c>
      <c r="E8379" s="733"/>
    </row>
    <row r="8380" spans="2:5">
      <c r="B8380" s="121">
        <v>722</v>
      </c>
      <c r="C8380" s="121">
        <v>1</v>
      </c>
      <c r="D8380" s="734">
        <v>5</v>
      </c>
      <c r="E8380" s="733"/>
    </row>
    <row r="8381" spans="2:5">
      <c r="B8381" s="121">
        <v>722</v>
      </c>
      <c r="C8381" s="121">
        <v>2</v>
      </c>
      <c r="D8381" s="734">
        <v>101.84129181236112</v>
      </c>
      <c r="E8381" s="733"/>
    </row>
    <row r="8382" spans="2:5">
      <c r="B8382" s="121">
        <v>722</v>
      </c>
      <c r="C8382" s="121">
        <v>3</v>
      </c>
      <c r="D8382" s="734">
        <v>119.75806083130085</v>
      </c>
      <c r="E8382" s="733"/>
    </row>
    <row r="8383" spans="2:5">
      <c r="B8383" s="121">
        <v>722</v>
      </c>
      <c r="C8383" s="121">
        <v>4</v>
      </c>
      <c r="D8383" s="734">
        <v>145.34223491307438</v>
      </c>
      <c r="E8383" s="733"/>
    </row>
    <row r="8384" spans="2:5">
      <c r="B8384" s="121">
        <v>722</v>
      </c>
      <c r="C8384" s="121">
        <v>5</v>
      </c>
      <c r="D8384" s="734">
        <v>144.73839441886255</v>
      </c>
      <c r="E8384" s="733"/>
    </row>
    <row r="8385" spans="2:5">
      <c r="B8385" s="121">
        <v>722</v>
      </c>
      <c r="C8385" s="121">
        <v>6</v>
      </c>
      <c r="D8385" s="734">
        <v>136.94085514058222</v>
      </c>
      <c r="E8385" s="733"/>
    </row>
    <row r="8386" spans="2:5">
      <c r="B8386" s="121">
        <v>722</v>
      </c>
      <c r="C8386" s="121">
        <v>7</v>
      </c>
      <c r="D8386" s="734">
        <v>142.87005287814404</v>
      </c>
      <c r="E8386" s="733"/>
    </row>
    <row r="8387" spans="2:5">
      <c r="B8387" s="121">
        <v>722</v>
      </c>
      <c r="C8387" s="121">
        <v>8</v>
      </c>
      <c r="D8387" s="734">
        <v>139.52600665227146</v>
      </c>
      <c r="E8387" s="733"/>
    </row>
    <row r="8388" spans="2:5">
      <c r="B8388" s="121">
        <v>723</v>
      </c>
      <c r="C8388" s="121">
        <v>1</v>
      </c>
      <c r="D8388" s="734">
        <v>5</v>
      </c>
      <c r="E8388" s="733"/>
    </row>
    <row r="8389" spans="2:5">
      <c r="B8389" s="121">
        <v>724</v>
      </c>
      <c r="C8389" s="121">
        <v>1</v>
      </c>
      <c r="D8389" s="734">
        <v>5</v>
      </c>
      <c r="E8389" s="733"/>
    </row>
    <row r="8390" spans="2:5">
      <c r="B8390" s="121">
        <v>725</v>
      </c>
      <c r="C8390" s="121">
        <v>1</v>
      </c>
      <c r="D8390" s="734">
        <v>5</v>
      </c>
      <c r="E8390" s="733"/>
    </row>
    <row r="8391" spans="2:5">
      <c r="B8391" s="121">
        <v>725</v>
      </c>
      <c r="C8391" s="121">
        <v>2</v>
      </c>
      <c r="D8391" s="734">
        <v>95.041164244680076</v>
      </c>
      <c r="E8391" s="733"/>
    </row>
    <row r="8392" spans="2:5">
      <c r="B8392" s="121">
        <v>725</v>
      </c>
      <c r="C8392" s="121">
        <v>3</v>
      </c>
      <c r="D8392" s="734">
        <v>124.96081031715281</v>
      </c>
      <c r="E8392" s="733"/>
    </row>
    <row r="8393" spans="2:5">
      <c r="B8393" s="121">
        <v>725</v>
      </c>
      <c r="C8393" s="121">
        <v>4</v>
      </c>
      <c r="D8393" s="734">
        <v>134.81838599172326</v>
      </c>
      <c r="E8393" s="733"/>
    </row>
    <row r="8394" spans="2:5">
      <c r="B8394" s="121">
        <v>725</v>
      </c>
      <c r="C8394" s="121">
        <v>5</v>
      </c>
      <c r="D8394" s="734">
        <v>136.45442365267309</v>
      </c>
      <c r="E8394" s="733"/>
    </row>
    <row r="8395" spans="2:5">
      <c r="B8395" s="121">
        <v>725</v>
      </c>
      <c r="C8395" s="121">
        <v>6</v>
      </c>
      <c r="D8395" s="734">
        <v>137.41317377576806</v>
      </c>
      <c r="E8395" s="733"/>
    </row>
    <row r="8396" spans="2:5">
      <c r="B8396" s="121">
        <v>725</v>
      </c>
      <c r="C8396" s="121">
        <v>7</v>
      </c>
      <c r="D8396" s="734">
        <v>135.44134929469757</v>
      </c>
      <c r="E8396" s="733"/>
    </row>
    <row r="8397" spans="2:5">
      <c r="B8397" s="121">
        <v>725</v>
      </c>
      <c r="C8397" s="121">
        <v>8</v>
      </c>
      <c r="D8397" s="734">
        <v>143.54723170170601</v>
      </c>
      <c r="E8397" s="733"/>
    </row>
    <row r="8398" spans="2:5">
      <c r="B8398" s="121">
        <v>725</v>
      </c>
      <c r="C8398" s="121">
        <v>9</v>
      </c>
      <c r="D8398" s="734">
        <v>141.77056876241215</v>
      </c>
      <c r="E8398" s="733"/>
    </row>
    <row r="8399" spans="2:5">
      <c r="B8399" s="121">
        <v>725</v>
      </c>
      <c r="C8399" s="121">
        <v>10</v>
      </c>
      <c r="D8399" s="734">
        <v>143.07887044663002</v>
      </c>
      <c r="E8399" s="733"/>
    </row>
    <row r="8400" spans="2:5">
      <c r="B8400" s="121">
        <v>725</v>
      </c>
      <c r="C8400" s="121">
        <v>11</v>
      </c>
      <c r="D8400" s="734">
        <v>147.1032272313507</v>
      </c>
      <c r="E8400" s="733"/>
    </row>
    <row r="8401" spans="2:5">
      <c r="B8401" s="121">
        <v>725</v>
      </c>
      <c r="C8401" s="121">
        <v>12</v>
      </c>
      <c r="D8401" s="734">
        <v>133.89739145829842</v>
      </c>
      <c r="E8401" s="733"/>
    </row>
    <row r="8402" spans="2:5">
      <c r="B8402" s="121">
        <v>725</v>
      </c>
      <c r="C8402" s="121">
        <v>13</v>
      </c>
      <c r="D8402" s="734">
        <v>135.79007850878324</v>
      </c>
      <c r="E8402" s="733"/>
    </row>
    <row r="8403" spans="2:5">
      <c r="B8403" s="121">
        <v>725</v>
      </c>
      <c r="C8403" s="121">
        <v>14</v>
      </c>
      <c r="D8403" s="734">
        <v>135.73116083323663</v>
      </c>
      <c r="E8403" s="733"/>
    </row>
    <row r="8404" spans="2:5">
      <c r="B8404" s="121">
        <v>725</v>
      </c>
      <c r="C8404" s="121">
        <v>15</v>
      </c>
      <c r="D8404" s="734">
        <v>146.84703779776635</v>
      </c>
      <c r="E8404" s="733"/>
    </row>
    <row r="8405" spans="2:5">
      <c r="B8405" s="121">
        <v>725</v>
      </c>
      <c r="C8405" s="121">
        <v>16</v>
      </c>
      <c r="D8405" s="734">
        <v>135.89506223816323</v>
      </c>
      <c r="E8405" s="733"/>
    </row>
    <row r="8406" spans="2:5">
      <c r="B8406" s="121">
        <v>725</v>
      </c>
      <c r="C8406" s="121">
        <v>17</v>
      </c>
      <c r="D8406" s="734">
        <v>139.8470622364141</v>
      </c>
      <c r="E8406" s="733"/>
    </row>
    <row r="8407" spans="2:5">
      <c r="B8407" s="121">
        <v>725</v>
      </c>
      <c r="C8407" s="121">
        <v>18</v>
      </c>
      <c r="D8407" s="734">
        <v>137.65975730033648</v>
      </c>
      <c r="E8407" s="733"/>
    </row>
    <row r="8408" spans="2:5">
      <c r="B8408" s="121">
        <v>725</v>
      </c>
      <c r="C8408" s="121">
        <v>19</v>
      </c>
      <c r="D8408" s="734">
        <v>136.55783220165762</v>
      </c>
      <c r="E8408" s="733"/>
    </row>
    <row r="8409" spans="2:5">
      <c r="B8409" s="121">
        <v>725</v>
      </c>
      <c r="C8409" s="121">
        <v>20</v>
      </c>
      <c r="D8409" s="734">
        <v>145.79788419578682</v>
      </c>
      <c r="E8409" s="733"/>
    </row>
    <row r="8410" spans="2:5">
      <c r="B8410" s="121">
        <v>725</v>
      </c>
      <c r="C8410" s="121">
        <v>21</v>
      </c>
      <c r="D8410" s="734">
        <v>136.39541968822763</v>
      </c>
      <c r="E8410" s="733"/>
    </row>
    <row r="8411" spans="2:5">
      <c r="B8411" s="121">
        <v>725</v>
      </c>
      <c r="C8411" s="121">
        <v>22</v>
      </c>
      <c r="D8411" s="734">
        <v>139.90953455294704</v>
      </c>
      <c r="E8411" s="733"/>
    </row>
    <row r="8412" spans="2:5">
      <c r="B8412" s="121">
        <v>725</v>
      </c>
      <c r="C8412" s="121">
        <v>23</v>
      </c>
      <c r="D8412" s="734">
        <v>145.76554030553507</v>
      </c>
      <c r="E8412" s="733"/>
    </row>
    <row r="8413" spans="2:5">
      <c r="B8413" s="121">
        <v>725</v>
      </c>
      <c r="C8413" s="121">
        <v>24</v>
      </c>
      <c r="D8413" s="734">
        <v>144.23482828640417</v>
      </c>
      <c r="E8413" s="733"/>
    </row>
    <row r="8414" spans="2:5">
      <c r="B8414" s="121">
        <v>725</v>
      </c>
      <c r="C8414" s="121">
        <v>25</v>
      </c>
      <c r="D8414" s="734">
        <v>133.71280682299633</v>
      </c>
      <c r="E8414" s="733"/>
    </row>
    <row r="8415" spans="2:5">
      <c r="B8415" s="121">
        <v>725</v>
      </c>
      <c r="C8415" s="121">
        <v>26</v>
      </c>
      <c r="D8415" s="734">
        <v>134.46845492675905</v>
      </c>
      <c r="E8415" s="733"/>
    </row>
    <row r="8416" spans="2:5">
      <c r="B8416" s="121">
        <v>725</v>
      </c>
      <c r="C8416" s="121">
        <v>27</v>
      </c>
      <c r="D8416" s="734">
        <v>137.91971170242016</v>
      </c>
      <c r="E8416" s="733"/>
    </row>
    <row r="8417" spans="2:5">
      <c r="B8417" s="121">
        <v>725</v>
      </c>
      <c r="C8417" s="121">
        <v>28</v>
      </c>
      <c r="D8417" s="734">
        <v>146.38183371343598</v>
      </c>
      <c r="E8417" s="733"/>
    </row>
    <row r="8418" spans="2:5">
      <c r="B8418" s="121">
        <v>725</v>
      </c>
      <c r="C8418" s="121">
        <v>29</v>
      </c>
      <c r="D8418" s="734">
        <v>141.2829933106253</v>
      </c>
      <c r="E8418" s="733"/>
    </row>
    <row r="8419" spans="2:5">
      <c r="B8419" s="121">
        <v>725</v>
      </c>
      <c r="C8419" s="121">
        <v>30</v>
      </c>
      <c r="D8419" s="734">
        <v>139.5711463518715</v>
      </c>
      <c r="E8419" s="733"/>
    </row>
    <row r="8420" spans="2:5">
      <c r="B8420" s="121">
        <v>725</v>
      </c>
      <c r="C8420" s="121">
        <v>31</v>
      </c>
      <c r="D8420" s="734">
        <v>134.44375698416795</v>
      </c>
      <c r="E8420" s="733"/>
    </row>
    <row r="8421" spans="2:5">
      <c r="B8421" s="121">
        <v>725</v>
      </c>
      <c r="C8421" s="121">
        <v>32</v>
      </c>
      <c r="D8421" s="734">
        <v>142.2303109934484</v>
      </c>
      <c r="E8421" s="733"/>
    </row>
    <row r="8422" spans="2:5">
      <c r="B8422" s="121">
        <v>725</v>
      </c>
      <c r="C8422" s="121">
        <v>33</v>
      </c>
      <c r="D8422" s="734">
        <v>141.97413506407989</v>
      </c>
      <c r="E8422" s="733"/>
    </row>
    <row r="8423" spans="2:5">
      <c r="B8423" s="121">
        <v>725</v>
      </c>
      <c r="C8423" s="121">
        <v>34</v>
      </c>
      <c r="D8423" s="734">
        <v>145.58576837074381</v>
      </c>
      <c r="E8423" s="733"/>
    </row>
    <row r="8424" spans="2:5">
      <c r="B8424" s="121">
        <v>725</v>
      </c>
      <c r="C8424" s="121">
        <v>35</v>
      </c>
      <c r="D8424" s="734">
        <v>142.56393295215622</v>
      </c>
      <c r="E8424" s="733"/>
    </row>
    <row r="8425" spans="2:5">
      <c r="B8425" s="121">
        <v>725</v>
      </c>
      <c r="C8425" s="121">
        <v>36</v>
      </c>
      <c r="D8425" s="734">
        <v>143.57201936120114</v>
      </c>
      <c r="E8425" s="733"/>
    </row>
    <row r="8426" spans="2:5">
      <c r="B8426" s="121">
        <v>726</v>
      </c>
      <c r="C8426" s="121">
        <v>1</v>
      </c>
      <c r="D8426" s="734">
        <v>5</v>
      </c>
      <c r="E8426" s="733"/>
    </row>
    <row r="8427" spans="2:5">
      <c r="B8427" s="121">
        <v>726</v>
      </c>
      <c r="C8427" s="121">
        <v>2</v>
      </c>
      <c r="D8427" s="734">
        <v>99.842297431741073</v>
      </c>
      <c r="E8427" s="733"/>
    </row>
    <row r="8428" spans="2:5">
      <c r="B8428" s="121">
        <v>727</v>
      </c>
      <c r="C8428" s="121">
        <v>1</v>
      </c>
      <c r="D8428" s="734">
        <v>5</v>
      </c>
      <c r="E8428" s="733"/>
    </row>
    <row r="8429" spans="2:5">
      <c r="B8429" s="121">
        <v>727</v>
      </c>
      <c r="C8429" s="121">
        <v>2</v>
      </c>
      <c r="D8429" s="734">
        <v>103.16215074857887</v>
      </c>
      <c r="E8429" s="733"/>
    </row>
    <row r="8430" spans="2:5">
      <c r="B8430" s="121">
        <v>727</v>
      </c>
      <c r="C8430" s="121">
        <v>3</v>
      </c>
      <c r="D8430" s="734">
        <v>119.14489640093748</v>
      </c>
      <c r="E8430" s="733"/>
    </row>
    <row r="8431" spans="2:5">
      <c r="B8431" s="121">
        <v>727</v>
      </c>
      <c r="C8431" s="121">
        <v>4</v>
      </c>
      <c r="D8431" s="734">
        <v>140.49935130692194</v>
      </c>
      <c r="E8431" s="733"/>
    </row>
    <row r="8432" spans="2:5">
      <c r="B8432" s="121">
        <v>727</v>
      </c>
      <c r="C8432" s="121">
        <v>5</v>
      </c>
      <c r="D8432" s="734">
        <v>144.70877691451048</v>
      </c>
      <c r="E8432" s="733"/>
    </row>
    <row r="8433" spans="2:5">
      <c r="B8433" s="121">
        <v>727</v>
      </c>
      <c r="C8433" s="121">
        <v>6</v>
      </c>
      <c r="D8433" s="734">
        <v>141.3484400450136</v>
      </c>
      <c r="E8433" s="733"/>
    </row>
    <row r="8434" spans="2:5">
      <c r="B8434" s="121">
        <v>727</v>
      </c>
      <c r="C8434" s="121">
        <v>7</v>
      </c>
      <c r="D8434" s="734">
        <v>147.09884764056329</v>
      </c>
      <c r="E8434" s="733"/>
    </row>
    <row r="8435" spans="2:5">
      <c r="B8435" s="121">
        <v>727</v>
      </c>
      <c r="C8435" s="121">
        <v>8</v>
      </c>
      <c r="D8435" s="734">
        <v>139.26347541876427</v>
      </c>
      <c r="E8435" s="733"/>
    </row>
    <row r="8436" spans="2:5">
      <c r="B8436" s="121">
        <v>727</v>
      </c>
      <c r="C8436" s="121">
        <v>9</v>
      </c>
      <c r="D8436" s="734">
        <v>145.72081894485356</v>
      </c>
      <c r="E8436" s="733"/>
    </row>
    <row r="8437" spans="2:5">
      <c r="B8437" s="121">
        <v>727</v>
      </c>
      <c r="C8437" s="121">
        <v>10</v>
      </c>
      <c r="D8437" s="734">
        <v>138.29996343131265</v>
      </c>
      <c r="E8437" s="733"/>
    </row>
    <row r="8438" spans="2:5">
      <c r="B8438" s="121">
        <v>727</v>
      </c>
      <c r="C8438" s="121">
        <v>11</v>
      </c>
      <c r="D8438" s="734">
        <v>135.21251317291757</v>
      </c>
      <c r="E8438" s="733"/>
    </row>
    <row r="8439" spans="2:5">
      <c r="B8439" s="121">
        <v>727</v>
      </c>
      <c r="C8439" s="121">
        <v>12</v>
      </c>
      <c r="D8439" s="734">
        <v>135.48289425411139</v>
      </c>
      <c r="E8439" s="733"/>
    </row>
    <row r="8440" spans="2:5">
      <c r="B8440" s="121">
        <v>727</v>
      </c>
      <c r="C8440" s="121">
        <v>13</v>
      </c>
      <c r="D8440" s="734">
        <v>141.97545079545739</v>
      </c>
      <c r="E8440" s="733"/>
    </row>
    <row r="8441" spans="2:5">
      <c r="B8441" s="121">
        <v>727</v>
      </c>
      <c r="C8441" s="121">
        <v>14</v>
      </c>
      <c r="D8441" s="734">
        <v>135.31182216065687</v>
      </c>
      <c r="E8441" s="733"/>
    </row>
    <row r="8442" spans="2:5">
      <c r="B8442" s="121">
        <v>727</v>
      </c>
      <c r="C8442" s="121">
        <v>15</v>
      </c>
      <c r="D8442" s="734">
        <v>138.72320540386124</v>
      </c>
      <c r="E8442" s="733"/>
    </row>
    <row r="8443" spans="2:5">
      <c r="B8443" s="121">
        <v>727</v>
      </c>
      <c r="C8443" s="121">
        <v>16</v>
      </c>
      <c r="D8443" s="734">
        <v>142.78342493139471</v>
      </c>
      <c r="E8443" s="733"/>
    </row>
    <row r="8444" spans="2:5">
      <c r="B8444" s="121">
        <v>727</v>
      </c>
      <c r="C8444" s="121">
        <v>17</v>
      </c>
      <c r="D8444" s="734">
        <v>134.82125455313508</v>
      </c>
      <c r="E8444" s="733"/>
    </row>
    <row r="8445" spans="2:5">
      <c r="B8445" s="121">
        <v>727</v>
      </c>
      <c r="C8445" s="121">
        <v>18</v>
      </c>
      <c r="D8445" s="734">
        <v>134.66803329984563</v>
      </c>
      <c r="E8445" s="733"/>
    </row>
    <row r="8446" spans="2:5">
      <c r="B8446" s="121">
        <v>727</v>
      </c>
      <c r="C8446" s="121">
        <v>19</v>
      </c>
      <c r="D8446" s="734">
        <v>135.62941611920766</v>
      </c>
      <c r="E8446" s="733"/>
    </row>
    <row r="8447" spans="2:5">
      <c r="B8447" s="121">
        <v>727</v>
      </c>
      <c r="C8447" s="121">
        <v>20</v>
      </c>
      <c r="D8447" s="734">
        <v>134.62965433533944</v>
      </c>
      <c r="E8447" s="733"/>
    </row>
    <row r="8448" spans="2:5">
      <c r="B8448" s="121">
        <v>727</v>
      </c>
      <c r="C8448" s="121">
        <v>21</v>
      </c>
      <c r="D8448" s="734">
        <v>146.75564264636984</v>
      </c>
      <c r="E8448" s="733"/>
    </row>
    <row r="8449" spans="2:5">
      <c r="B8449" s="121">
        <v>727</v>
      </c>
      <c r="C8449" s="121">
        <v>22</v>
      </c>
      <c r="D8449" s="734">
        <v>140.87337505173133</v>
      </c>
      <c r="E8449" s="733"/>
    </row>
    <row r="8450" spans="2:5">
      <c r="B8450" s="121">
        <v>727</v>
      </c>
      <c r="C8450" s="121">
        <v>23</v>
      </c>
      <c r="D8450" s="734">
        <v>140.33040455547925</v>
      </c>
      <c r="E8450" s="733"/>
    </row>
    <row r="8451" spans="2:5">
      <c r="B8451" s="121">
        <v>727</v>
      </c>
      <c r="C8451" s="121">
        <v>24</v>
      </c>
      <c r="D8451" s="734">
        <v>138.32165743577525</v>
      </c>
      <c r="E8451" s="733"/>
    </row>
    <row r="8452" spans="2:5">
      <c r="B8452" s="121">
        <v>727</v>
      </c>
      <c r="C8452" s="121">
        <v>25</v>
      </c>
      <c r="D8452" s="734">
        <v>142.76948970884305</v>
      </c>
      <c r="E8452" s="733"/>
    </row>
    <row r="8453" spans="2:5">
      <c r="B8453" s="121">
        <v>727</v>
      </c>
      <c r="C8453" s="121">
        <v>26</v>
      </c>
      <c r="D8453" s="734">
        <v>144.60683837227859</v>
      </c>
      <c r="E8453" s="733"/>
    </row>
    <row r="8454" spans="2:5">
      <c r="B8454" s="121">
        <v>727</v>
      </c>
      <c r="C8454" s="121">
        <v>27</v>
      </c>
      <c r="D8454" s="734">
        <v>139.29454236275313</v>
      </c>
      <c r="E8454" s="733"/>
    </row>
    <row r="8455" spans="2:5">
      <c r="B8455" s="121">
        <v>727</v>
      </c>
      <c r="C8455" s="121">
        <v>28</v>
      </c>
      <c r="D8455" s="734">
        <v>138.64473777673649</v>
      </c>
      <c r="E8455" s="733"/>
    </row>
    <row r="8456" spans="2:5">
      <c r="B8456" s="121">
        <v>727</v>
      </c>
      <c r="C8456" s="121">
        <v>29</v>
      </c>
      <c r="D8456" s="734">
        <v>142.67452800278477</v>
      </c>
      <c r="E8456" s="733"/>
    </row>
    <row r="8457" spans="2:5">
      <c r="B8457" s="121">
        <v>728</v>
      </c>
      <c r="C8457" s="121">
        <v>1</v>
      </c>
      <c r="D8457" s="734">
        <v>5</v>
      </c>
      <c r="E8457" s="733"/>
    </row>
    <row r="8458" spans="2:5">
      <c r="B8458" s="121">
        <v>728</v>
      </c>
      <c r="C8458" s="121">
        <v>2</v>
      </c>
      <c r="D8458" s="734">
        <v>98.541510959225903</v>
      </c>
      <c r="E8458" s="733"/>
    </row>
    <row r="8459" spans="2:5">
      <c r="B8459" s="121">
        <v>728</v>
      </c>
      <c r="C8459" s="121">
        <v>3</v>
      </c>
      <c r="D8459" s="734">
        <v>114.1355356077659</v>
      </c>
      <c r="E8459" s="733"/>
    </row>
    <row r="8460" spans="2:5">
      <c r="B8460" s="121">
        <v>728</v>
      </c>
      <c r="C8460" s="121">
        <v>4</v>
      </c>
      <c r="D8460" s="734">
        <v>144.39315435528698</v>
      </c>
      <c r="E8460" s="733"/>
    </row>
    <row r="8461" spans="2:5">
      <c r="B8461" s="121">
        <v>728</v>
      </c>
      <c r="C8461" s="121">
        <v>5</v>
      </c>
      <c r="D8461" s="734">
        <v>141.60511212818017</v>
      </c>
      <c r="E8461" s="733"/>
    </row>
    <row r="8462" spans="2:5">
      <c r="B8462" s="121">
        <v>728</v>
      </c>
      <c r="C8462" s="121">
        <v>6</v>
      </c>
      <c r="D8462" s="734">
        <v>134.44784954247089</v>
      </c>
      <c r="E8462" s="733"/>
    </row>
    <row r="8463" spans="2:5">
      <c r="B8463" s="121">
        <v>728</v>
      </c>
      <c r="C8463" s="121">
        <v>7</v>
      </c>
      <c r="D8463" s="734">
        <v>140.51019668301913</v>
      </c>
      <c r="E8463" s="733"/>
    </row>
    <row r="8464" spans="2:5">
      <c r="B8464" s="121">
        <v>728</v>
      </c>
      <c r="C8464" s="121">
        <v>8</v>
      </c>
      <c r="D8464" s="734">
        <v>137.39407458368152</v>
      </c>
      <c r="E8464" s="733"/>
    </row>
    <row r="8465" spans="2:5">
      <c r="B8465" s="121">
        <v>729</v>
      </c>
      <c r="C8465" s="121">
        <v>1</v>
      </c>
      <c r="D8465" s="734">
        <v>5</v>
      </c>
      <c r="E8465" s="733"/>
    </row>
    <row r="8466" spans="2:5">
      <c r="B8466" s="121">
        <v>730</v>
      </c>
      <c r="C8466" s="121">
        <v>1</v>
      </c>
      <c r="D8466" s="734">
        <v>5</v>
      </c>
      <c r="E8466" s="733"/>
    </row>
    <row r="8467" spans="2:5">
      <c r="B8467" s="121">
        <v>730</v>
      </c>
      <c r="C8467" s="121">
        <v>2</v>
      </c>
      <c r="D8467" s="734">
        <v>102.87874591368944</v>
      </c>
      <c r="E8467" s="733"/>
    </row>
    <row r="8468" spans="2:5">
      <c r="B8468" s="121">
        <v>730</v>
      </c>
      <c r="C8468" s="121">
        <v>3</v>
      </c>
      <c r="D8468" s="734">
        <v>121.83816571117117</v>
      </c>
      <c r="E8468" s="733"/>
    </row>
    <row r="8469" spans="2:5">
      <c r="B8469" s="121">
        <v>730</v>
      </c>
      <c r="C8469" s="121">
        <v>4</v>
      </c>
      <c r="D8469" s="734">
        <v>142.06357283254209</v>
      </c>
      <c r="E8469" s="733"/>
    </row>
    <row r="8470" spans="2:5">
      <c r="B8470" s="121">
        <v>730</v>
      </c>
      <c r="C8470" s="121">
        <v>5</v>
      </c>
      <c r="D8470" s="734">
        <v>144.79919024422966</v>
      </c>
      <c r="E8470" s="733"/>
    </row>
    <row r="8471" spans="2:5">
      <c r="B8471" s="121">
        <v>730</v>
      </c>
      <c r="C8471" s="121">
        <v>6</v>
      </c>
      <c r="D8471" s="734">
        <v>144.90826432920997</v>
      </c>
      <c r="E8471" s="733"/>
    </row>
    <row r="8472" spans="2:5">
      <c r="B8472" s="121">
        <v>730</v>
      </c>
      <c r="C8472" s="121">
        <v>7</v>
      </c>
      <c r="D8472" s="734">
        <v>134.72223846565731</v>
      </c>
      <c r="E8472" s="733"/>
    </row>
    <row r="8473" spans="2:5">
      <c r="B8473" s="121">
        <v>730</v>
      </c>
      <c r="C8473" s="121">
        <v>8</v>
      </c>
      <c r="D8473" s="734">
        <v>146.49990848698872</v>
      </c>
      <c r="E8473" s="733"/>
    </row>
    <row r="8474" spans="2:5">
      <c r="B8474" s="121">
        <v>730</v>
      </c>
      <c r="C8474" s="121">
        <v>9</v>
      </c>
      <c r="D8474" s="734">
        <v>137.97053755500119</v>
      </c>
      <c r="E8474" s="733"/>
    </row>
    <row r="8475" spans="2:5">
      <c r="B8475" s="121">
        <v>730</v>
      </c>
      <c r="C8475" s="121">
        <v>10</v>
      </c>
      <c r="D8475" s="734">
        <v>134.43527498675141</v>
      </c>
      <c r="E8475" s="733"/>
    </row>
    <row r="8476" spans="2:5">
      <c r="B8476" s="121">
        <v>730</v>
      </c>
      <c r="C8476" s="121">
        <v>11</v>
      </c>
      <c r="D8476" s="734">
        <v>136.03121741139984</v>
      </c>
      <c r="E8476" s="733"/>
    </row>
    <row r="8477" spans="2:5">
      <c r="B8477" s="121">
        <v>730</v>
      </c>
      <c r="C8477" s="121">
        <v>12</v>
      </c>
      <c r="D8477" s="734">
        <v>141.27486934548017</v>
      </c>
      <c r="E8477" s="733"/>
    </row>
    <row r="8478" spans="2:5">
      <c r="B8478" s="121">
        <v>730</v>
      </c>
      <c r="C8478" s="121">
        <v>13</v>
      </c>
      <c r="D8478" s="734">
        <v>144.22590005719618</v>
      </c>
      <c r="E8478" s="733"/>
    </row>
    <row r="8479" spans="2:5">
      <c r="B8479" s="121">
        <v>730</v>
      </c>
      <c r="C8479" s="121">
        <v>14</v>
      </c>
      <c r="D8479" s="734">
        <v>136.72181285924151</v>
      </c>
      <c r="E8479" s="733"/>
    </row>
    <row r="8480" spans="2:5">
      <c r="B8480" s="121">
        <v>731</v>
      </c>
      <c r="C8480" s="121">
        <v>1</v>
      </c>
      <c r="D8480" s="734">
        <v>5</v>
      </c>
      <c r="E8480" s="733"/>
    </row>
    <row r="8481" spans="2:5">
      <c r="B8481" s="121">
        <v>731</v>
      </c>
      <c r="C8481" s="121">
        <v>2</v>
      </c>
      <c r="D8481" s="734">
        <v>99.70273734121281</v>
      </c>
      <c r="E8481" s="733"/>
    </row>
    <row r="8482" spans="2:5">
      <c r="B8482" s="121">
        <v>731</v>
      </c>
      <c r="C8482" s="121">
        <v>3</v>
      </c>
      <c r="D8482" s="734">
        <v>120.82863264604123</v>
      </c>
      <c r="E8482" s="733"/>
    </row>
    <row r="8483" spans="2:5">
      <c r="B8483" s="121">
        <v>731</v>
      </c>
      <c r="C8483" s="121">
        <v>4</v>
      </c>
      <c r="D8483" s="734">
        <v>144.79633847842319</v>
      </c>
      <c r="E8483" s="733"/>
    </row>
    <row r="8484" spans="2:5">
      <c r="B8484" s="121">
        <v>731</v>
      </c>
      <c r="C8484" s="121">
        <v>5</v>
      </c>
      <c r="D8484" s="734">
        <v>134.3487846245211</v>
      </c>
      <c r="E8484" s="733"/>
    </row>
    <row r="8485" spans="2:5">
      <c r="B8485" s="121">
        <v>731</v>
      </c>
      <c r="C8485" s="121">
        <v>6</v>
      </c>
      <c r="D8485" s="734">
        <v>139.86233661048749</v>
      </c>
      <c r="E8485" s="733"/>
    </row>
    <row r="8486" spans="2:5">
      <c r="B8486" s="121">
        <v>732</v>
      </c>
      <c r="C8486" s="121">
        <v>1</v>
      </c>
      <c r="D8486" s="734">
        <v>5</v>
      </c>
      <c r="E8486" s="733"/>
    </row>
    <row r="8487" spans="2:5">
      <c r="B8487" s="121">
        <v>733</v>
      </c>
      <c r="C8487" s="121">
        <v>1</v>
      </c>
      <c r="D8487" s="734">
        <v>5</v>
      </c>
      <c r="E8487" s="733"/>
    </row>
    <row r="8488" spans="2:5">
      <c r="B8488" s="121">
        <v>734</v>
      </c>
      <c r="C8488" s="121">
        <v>1</v>
      </c>
      <c r="D8488" s="734">
        <v>5</v>
      </c>
      <c r="E8488" s="733"/>
    </row>
    <row r="8489" spans="2:5">
      <c r="B8489" s="121">
        <v>734</v>
      </c>
      <c r="C8489" s="121">
        <v>2</v>
      </c>
      <c r="D8489" s="734">
        <v>95.058488593176833</v>
      </c>
      <c r="E8489" s="733"/>
    </row>
    <row r="8490" spans="2:5">
      <c r="B8490" s="121">
        <v>734</v>
      </c>
      <c r="C8490" s="121">
        <v>3</v>
      </c>
      <c r="D8490" s="734">
        <v>121.80361705128695</v>
      </c>
      <c r="E8490" s="733"/>
    </row>
    <row r="8491" spans="2:5">
      <c r="B8491" s="121">
        <v>734</v>
      </c>
      <c r="C8491" s="121">
        <v>4</v>
      </c>
      <c r="D8491" s="734">
        <v>143.27718707994845</v>
      </c>
      <c r="E8491" s="733"/>
    </row>
    <row r="8492" spans="2:5">
      <c r="B8492" s="121">
        <v>734</v>
      </c>
      <c r="C8492" s="121">
        <v>5</v>
      </c>
      <c r="D8492" s="734">
        <v>143.30235882073507</v>
      </c>
      <c r="E8492" s="733"/>
    </row>
    <row r="8493" spans="2:5">
      <c r="B8493" s="121">
        <v>734</v>
      </c>
      <c r="C8493" s="121">
        <v>6</v>
      </c>
      <c r="D8493" s="734">
        <v>136.66413515980469</v>
      </c>
      <c r="E8493" s="733"/>
    </row>
    <row r="8494" spans="2:5">
      <c r="B8494" s="121">
        <v>734</v>
      </c>
      <c r="C8494" s="121">
        <v>7</v>
      </c>
      <c r="D8494" s="734">
        <v>138.05143903326854</v>
      </c>
      <c r="E8494" s="733"/>
    </row>
    <row r="8495" spans="2:5">
      <c r="B8495" s="121">
        <v>734</v>
      </c>
      <c r="C8495" s="121">
        <v>8</v>
      </c>
      <c r="D8495" s="734">
        <v>141.21839822945645</v>
      </c>
      <c r="E8495" s="733"/>
    </row>
    <row r="8496" spans="2:5">
      <c r="B8496" s="121">
        <v>734</v>
      </c>
      <c r="C8496" s="121">
        <v>9</v>
      </c>
      <c r="D8496" s="734">
        <v>144.65382260360607</v>
      </c>
      <c r="E8496" s="733"/>
    </row>
    <row r="8497" spans="2:5">
      <c r="B8497" s="121">
        <v>734</v>
      </c>
      <c r="C8497" s="121">
        <v>10</v>
      </c>
      <c r="D8497" s="734">
        <v>141.05266518159027</v>
      </c>
      <c r="E8497" s="733"/>
    </row>
    <row r="8498" spans="2:5">
      <c r="B8498" s="121">
        <v>734</v>
      </c>
      <c r="C8498" s="121">
        <v>11</v>
      </c>
      <c r="D8498" s="734">
        <v>135.89568866426595</v>
      </c>
      <c r="E8498" s="733"/>
    </row>
    <row r="8499" spans="2:5">
      <c r="B8499" s="121">
        <v>735</v>
      </c>
      <c r="C8499" s="121">
        <v>1</v>
      </c>
      <c r="D8499" s="734">
        <v>5</v>
      </c>
      <c r="E8499" s="733"/>
    </row>
    <row r="8500" spans="2:5">
      <c r="B8500" s="121">
        <v>736</v>
      </c>
      <c r="C8500" s="121">
        <v>1</v>
      </c>
      <c r="D8500" s="734">
        <v>5</v>
      </c>
      <c r="E8500" s="733"/>
    </row>
    <row r="8501" spans="2:5">
      <c r="B8501" s="121">
        <v>737</v>
      </c>
      <c r="C8501" s="121">
        <v>1</v>
      </c>
      <c r="D8501" s="734">
        <v>5</v>
      </c>
      <c r="E8501" s="733"/>
    </row>
    <row r="8502" spans="2:5">
      <c r="B8502" s="121">
        <v>737</v>
      </c>
      <c r="C8502" s="121">
        <v>2</v>
      </c>
      <c r="D8502" s="734">
        <v>103.20449514053078</v>
      </c>
      <c r="E8502" s="733"/>
    </row>
    <row r="8503" spans="2:5">
      <c r="B8503" s="121">
        <v>738</v>
      </c>
      <c r="C8503" s="121">
        <v>1</v>
      </c>
      <c r="D8503" s="734">
        <v>5</v>
      </c>
      <c r="E8503" s="733"/>
    </row>
    <row r="8504" spans="2:5">
      <c r="B8504" s="121">
        <v>739</v>
      </c>
      <c r="C8504" s="121">
        <v>1</v>
      </c>
      <c r="D8504" s="734">
        <v>5</v>
      </c>
      <c r="E8504" s="733"/>
    </row>
    <row r="8505" spans="2:5">
      <c r="B8505" s="121">
        <v>739</v>
      </c>
      <c r="C8505" s="121">
        <v>2</v>
      </c>
      <c r="D8505" s="734">
        <v>101.67183692430129</v>
      </c>
      <c r="E8505" s="733"/>
    </row>
    <row r="8506" spans="2:5">
      <c r="B8506" s="121">
        <v>739</v>
      </c>
      <c r="C8506" s="121">
        <v>3</v>
      </c>
      <c r="D8506" s="734">
        <v>121.57694854282553</v>
      </c>
      <c r="E8506" s="733"/>
    </row>
    <row r="8507" spans="2:5">
      <c r="B8507" s="121">
        <v>739</v>
      </c>
      <c r="C8507" s="121">
        <v>4</v>
      </c>
      <c r="D8507" s="734">
        <v>141.31831731635208</v>
      </c>
      <c r="E8507" s="733"/>
    </row>
    <row r="8508" spans="2:5">
      <c r="B8508" s="121">
        <v>739</v>
      </c>
      <c r="C8508" s="121">
        <v>5</v>
      </c>
      <c r="D8508" s="734">
        <v>139.01704394833587</v>
      </c>
      <c r="E8508" s="733"/>
    </row>
    <row r="8509" spans="2:5">
      <c r="B8509" s="121">
        <v>739</v>
      </c>
      <c r="C8509" s="121">
        <v>6</v>
      </c>
      <c r="D8509" s="734">
        <v>146.61395421748898</v>
      </c>
      <c r="E8509" s="733"/>
    </row>
    <row r="8510" spans="2:5">
      <c r="B8510" s="121">
        <v>739</v>
      </c>
      <c r="C8510" s="121">
        <v>7</v>
      </c>
      <c r="D8510" s="734">
        <v>135.87941804357447</v>
      </c>
      <c r="E8510" s="733"/>
    </row>
    <row r="8511" spans="2:5">
      <c r="B8511" s="121">
        <v>739</v>
      </c>
      <c r="C8511" s="121">
        <v>8</v>
      </c>
      <c r="D8511" s="734">
        <v>139.42014585657907</v>
      </c>
      <c r="E8511" s="733"/>
    </row>
    <row r="8512" spans="2:5">
      <c r="B8512" s="121">
        <v>739</v>
      </c>
      <c r="C8512" s="121">
        <v>9</v>
      </c>
      <c r="D8512" s="734">
        <v>142.08926938519724</v>
      </c>
      <c r="E8512" s="733"/>
    </row>
    <row r="8513" spans="2:5">
      <c r="B8513" s="121">
        <v>739</v>
      </c>
      <c r="C8513" s="121">
        <v>10</v>
      </c>
      <c r="D8513" s="734">
        <v>138.67287605074293</v>
      </c>
      <c r="E8513" s="733"/>
    </row>
    <row r="8514" spans="2:5">
      <c r="B8514" s="121">
        <v>739</v>
      </c>
      <c r="C8514" s="121">
        <v>11</v>
      </c>
      <c r="D8514" s="734">
        <v>144.35615654583586</v>
      </c>
      <c r="E8514" s="733"/>
    </row>
    <row r="8515" spans="2:5">
      <c r="B8515" s="121">
        <v>739</v>
      </c>
      <c r="C8515" s="121">
        <v>12</v>
      </c>
      <c r="D8515" s="734">
        <v>142.57526377071082</v>
      </c>
      <c r="E8515" s="733"/>
    </row>
    <row r="8516" spans="2:5">
      <c r="B8516" s="121">
        <v>739</v>
      </c>
      <c r="C8516" s="121">
        <v>13</v>
      </c>
      <c r="D8516" s="734">
        <v>139.1828354392423</v>
      </c>
      <c r="E8516" s="733"/>
    </row>
    <row r="8517" spans="2:5">
      <c r="B8517" s="121">
        <v>739</v>
      </c>
      <c r="C8517" s="121">
        <v>14</v>
      </c>
      <c r="D8517" s="734">
        <v>137.73745757792375</v>
      </c>
      <c r="E8517" s="733"/>
    </row>
    <row r="8518" spans="2:5">
      <c r="B8518" s="121">
        <v>739</v>
      </c>
      <c r="C8518" s="121">
        <v>15</v>
      </c>
      <c r="D8518" s="734">
        <v>146.4009140171255</v>
      </c>
      <c r="E8518" s="733"/>
    </row>
    <row r="8519" spans="2:5">
      <c r="B8519" s="121">
        <v>739</v>
      </c>
      <c r="C8519" s="121">
        <v>16</v>
      </c>
      <c r="D8519" s="734">
        <v>138.45787660615548</v>
      </c>
      <c r="E8519" s="733"/>
    </row>
    <row r="8520" spans="2:5">
      <c r="B8520" s="121">
        <v>739</v>
      </c>
      <c r="C8520" s="121">
        <v>17</v>
      </c>
      <c r="D8520" s="734">
        <v>134.02752282688465</v>
      </c>
      <c r="E8520" s="733"/>
    </row>
    <row r="8521" spans="2:5">
      <c r="B8521" s="121">
        <v>740</v>
      </c>
      <c r="C8521" s="121">
        <v>1</v>
      </c>
      <c r="D8521" s="734">
        <v>5</v>
      </c>
      <c r="E8521" s="733"/>
    </row>
    <row r="8522" spans="2:5">
      <c r="B8522" s="121">
        <v>740</v>
      </c>
      <c r="C8522" s="121">
        <v>2</v>
      </c>
      <c r="D8522" s="734">
        <v>100.17038411384564</v>
      </c>
      <c r="E8522" s="733"/>
    </row>
    <row r="8523" spans="2:5">
      <c r="B8523" s="121">
        <v>740</v>
      </c>
      <c r="C8523" s="121">
        <v>3</v>
      </c>
      <c r="D8523" s="734">
        <v>118.86680637666886</v>
      </c>
      <c r="E8523" s="733"/>
    </row>
    <row r="8524" spans="2:5">
      <c r="B8524" s="121">
        <v>740</v>
      </c>
      <c r="C8524" s="121">
        <v>4</v>
      </c>
      <c r="D8524" s="734">
        <v>146.79353442117255</v>
      </c>
      <c r="E8524" s="733"/>
    </row>
    <row r="8525" spans="2:5">
      <c r="B8525" s="121">
        <v>740</v>
      </c>
      <c r="C8525" s="121">
        <v>5</v>
      </c>
      <c r="D8525" s="734">
        <v>141.77653541359496</v>
      </c>
      <c r="E8525" s="733"/>
    </row>
    <row r="8526" spans="2:5">
      <c r="B8526" s="121">
        <v>740</v>
      </c>
      <c r="C8526" s="121">
        <v>6</v>
      </c>
      <c r="D8526" s="734">
        <v>146.78995222522764</v>
      </c>
      <c r="E8526" s="733"/>
    </row>
    <row r="8527" spans="2:5">
      <c r="B8527" s="121">
        <v>740</v>
      </c>
      <c r="C8527" s="121">
        <v>7</v>
      </c>
      <c r="D8527" s="734">
        <v>147.06211915755185</v>
      </c>
      <c r="E8527" s="733"/>
    </row>
    <row r="8528" spans="2:5">
      <c r="B8528" s="121">
        <v>740</v>
      </c>
      <c r="C8528" s="121">
        <v>8</v>
      </c>
      <c r="D8528" s="734">
        <v>133.73398294251609</v>
      </c>
      <c r="E8528" s="733"/>
    </row>
    <row r="8529" spans="2:5">
      <c r="B8529" s="121">
        <v>740</v>
      </c>
      <c r="C8529" s="121">
        <v>9</v>
      </c>
      <c r="D8529" s="734">
        <v>143.39875592135712</v>
      </c>
      <c r="E8529" s="733"/>
    </row>
    <row r="8530" spans="2:5">
      <c r="B8530" s="121">
        <v>740</v>
      </c>
      <c r="C8530" s="121">
        <v>10</v>
      </c>
      <c r="D8530" s="734">
        <v>136.90282902797523</v>
      </c>
      <c r="E8530" s="733"/>
    </row>
    <row r="8531" spans="2:5">
      <c r="B8531" s="121">
        <v>741</v>
      </c>
      <c r="C8531" s="121">
        <v>1</v>
      </c>
      <c r="D8531" s="734">
        <v>5</v>
      </c>
      <c r="E8531" s="733"/>
    </row>
    <row r="8532" spans="2:5">
      <c r="B8532" s="121">
        <v>741</v>
      </c>
      <c r="C8532" s="121">
        <v>2</v>
      </c>
      <c r="D8532" s="734">
        <v>103.25073832168606</v>
      </c>
      <c r="E8532" s="733"/>
    </row>
    <row r="8533" spans="2:5">
      <c r="B8533" s="121">
        <v>741</v>
      </c>
      <c r="C8533" s="121">
        <v>3</v>
      </c>
      <c r="D8533" s="734">
        <v>113.98112841540134</v>
      </c>
      <c r="E8533" s="733"/>
    </row>
    <row r="8534" spans="2:5">
      <c r="B8534" s="121">
        <v>741</v>
      </c>
      <c r="C8534" s="121">
        <v>4</v>
      </c>
      <c r="D8534" s="734">
        <v>142.27412781561245</v>
      </c>
      <c r="E8534" s="733"/>
    </row>
    <row r="8535" spans="2:5">
      <c r="B8535" s="121">
        <v>741</v>
      </c>
      <c r="C8535" s="121">
        <v>5</v>
      </c>
      <c r="D8535" s="734">
        <v>141.22612580667632</v>
      </c>
      <c r="E8535" s="733"/>
    </row>
    <row r="8536" spans="2:5">
      <c r="B8536" s="121">
        <v>741</v>
      </c>
      <c r="C8536" s="121">
        <v>6</v>
      </c>
      <c r="D8536" s="734">
        <v>143.56340800530106</v>
      </c>
      <c r="E8536" s="733"/>
    </row>
    <row r="8537" spans="2:5">
      <c r="B8537" s="121">
        <v>741</v>
      </c>
      <c r="C8537" s="121">
        <v>7</v>
      </c>
      <c r="D8537" s="734">
        <v>141.57392549519912</v>
      </c>
      <c r="E8537" s="733"/>
    </row>
    <row r="8538" spans="2:5">
      <c r="B8538" s="121">
        <v>741</v>
      </c>
      <c r="C8538" s="121">
        <v>8</v>
      </c>
      <c r="D8538" s="734">
        <v>141.87475566345475</v>
      </c>
      <c r="E8538" s="733"/>
    </row>
    <row r="8539" spans="2:5">
      <c r="B8539" s="121">
        <v>741</v>
      </c>
      <c r="C8539" s="121">
        <v>9</v>
      </c>
      <c r="D8539" s="734">
        <v>142.79481280456847</v>
      </c>
      <c r="E8539" s="733"/>
    </row>
    <row r="8540" spans="2:5">
      <c r="B8540" s="121">
        <v>741</v>
      </c>
      <c r="C8540" s="121">
        <v>10</v>
      </c>
      <c r="D8540" s="734">
        <v>135.22971685142099</v>
      </c>
      <c r="E8540" s="733"/>
    </row>
    <row r="8541" spans="2:5">
      <c r="B8541" s="121">
        <v>741</v>
      </c>
      <c r="C8541" s="121">
        <v>11</v>
      </c>
      <c r="D8541" s="734">
        <v>134.64891210366625</v>
      </c>
      <c r="E8541" s="733"/>
    </row>
    <row r="8542" spans="2:5">
      <c r="B8542" s="121">
        <v>741</v>
      </c>
      <c r="C8542" s="121">
        <v>12</v>
      </c>
      <c r="D8542" s="734">
        <v>147.08953866076516</v>
      </c>
      <c r="E8542" s="733"/>
    </row>
    <row r="8543" spans="2:5">
      <c r="B8543" s="121">
        <v>741</v>
      </c>
      <c r="C8543" s="121">
        <v>13</v>
      </c>
      <c r="D8543" s="734">
        <v>145.2465524107445</v>
      </c>
      <c r="E8543" s="733"/>
    </row>
    <row r="8544" spans="2:5">
      <c r="B8544" s="121">
        <v>741</v>
      </c>
      <c r="C8544" s="121">
        <v>14</v>
      </c>
      <c r="D8544" s="734">
        <v>134.87082349575755</v>
      </c>
      <c r="E8544" s="733"/>
    </row>
    <row r="8545" spans="2:5">
      <c r="B8545" s="121">
        <v>741</v>
      </c>
      <c r="C8545" s="121">
        <v>15</v>
      </c>
      <c r="D8545" s="734">
        <v>143.05877451785804</v>
      </c>
      <c r="E8545" s="733"/>
    </row>
    <row r="8546" spans="2:5">
      <c r="B8546" s="121">
        <v>741</v>
      </c>
      <c r="C8546" s="121">
        <v>16</v>
      </c>
      <c r="D8546" s="734">
        <v>137.67868106690594</v>
      </c>
      <c r="E8546" s="733"/>
    </row>
    <row r="8547" spans="2:5">
      <c r="B8547" s="121">
        <v>741</v>
      </c>
      <c r="C8547" s="121">
        <v>17</v>
      </c>
      <c r="D8547" s="734">
        <v>147.28088148782211</v>
      </c>
      <c r="E8547" s="733"/>
    </row>
    <row r="8548" spans="2:5">
      <c r="B8548" s="121">
        <v>741</v>
      </c>
      <c r="C8548" s="121">
        <v>18</v>
      </c>
      <c r="D8548" s="734">
        <v>145.02608565580749</v>
      </c>
      <c r="E8548" s="733"/>
    </row>
    <row r="8549" spans="2:5">
      <c r="B8549" s="121">
        <v>741</v>
      </c>
      <c r="C8549" s="121">
        <v>19</v>
      </c>
      <c r="D8549" s="734">
        <v>140.57664765149184</v>
      </c>
      <c r="E8549" s="733"/>
    </row>
    <row r="8550" spans="2:5">
      <c r="B8550" s="121">
        <v>741</v>
      </c>
      <c r="C8550" s="121">
        <v>20</v>
      </c>
      <c r="D8550" s="734">
        <v>135.85338880465901</v>
      </c>
      <c r="E8550" s="733"/>
    </row>
    <row r="8551" spans="2:5">
      <c r="B8551" s="121">
        <v>741</v>
      </c>
      <c r="C8551" s="121">
        <v>21</v>
      </c>
      <c r="D8551" s="734">
        <v>139.3748509637561</v>
      </c>
      <c r="E8551" s="733"/>
    </row>
    <row r="8552" spans="2:5">
      <c r="B8552" s="121">
        <v>741</v>
      </c>
      <c r="C8552" s="121">
        <v>22</v>
      </c>
      <c r="D8552" s="734">
        <v>144.00163765081734</v>
      </c>
      <c r="E8552" s="733"/>
    </row>
    <row r="8553" spans="2:5">
      <c r="B8553" s="121">
        <v>741</v>
      </c>
      <c r="C8553" s="121">
        <v>23</v>
      </c>
      <c r="D8553" s="734">
        <v>134.427451322645</v>
      </c>
      <c r="E8553" s="733"/>
    </row>
    <row r="8554" spans="2:5">
      <c r="B8554" s="121">
        <v>741</v>
      </c>
      <c r="C8554" s="121">
        <v>24</v>
      </c>
      <c r="D8554" s="734">
        <v>144.23671363564188</v>
      </c>
      <c r="E8554" s="733"/>
    </row>
    <row r="8555" spans="2:5">
      <c r="B8555" s="121">
        <v>741</v>
      </c>
      <c r="C8555" s="121">
        <v>25</v>
      </c>
      <c r="D8555" s="734">
        <v>135.43614021497652</v>
      </c>
      <c r="E8555" s="733"/>
    </row>
    <row r="8556" spans="2:5">
      <c r="B8556" s="121">
        <v>741</v>
      </c>
      <c r="C8556" s="121">
        <v>26</v>
      </c>
      <c r="D8556" s="734">
        <v>139.41600587848345</v>
      </c>
      <c r="E8556" s="733"/>
    </row>
    <row r="8557" spans="2:5">
      <c r="B8557" s="121">
        <v>741</v>
      </c>
      <c r="C8557" s="121">
        <v>27</v>
      </c>
      <c r="D8557" s="734">
        <v>137.07271342332731</v>
      </c>
      <c r="E8557" s="733"/>
    </row>
    <row r="8558" spans="2:5">
      <c r="B8558" s="121">
        <v>741</v>
      </c>
      <c r="C8558" s="121">
        <v>28</v>
      </c>
      <c r="D8558" s="734">
        <v>139.02678391307776</v>
      </c>
      <c r="E8558" s="733"/>
    </row>
    <row r="8559" spans="2:5">
      <c r="B8559" s="121">
        <v>742</v>
      </c>
      <c r="C8559" s="121">
        <v>1</v>
      </c>
      <c r="D8559" s="734">
        <v>5</v>
      </c>
      <c r="E8559" s="733"/>
    </row>
    <row r="8560" spans="2:5">
      <c r="B8560" s="121">
        <v>743</v>
      </c>
      <c r="C8560" s="121">
        <v>1</v>
      </c>
      <c r="D8560" s="734">
        <v>5</v>
      </c>
      <c r="E8560" s="733"/>
    </row>
    <row r="8561" spans="2:5">
      <c r="B8561" s="121">
        <v>743</v>
      </c>
      <c r="C8561" s="121">
        <v>2</v>
      </c>
      <c r="D8561" s="734">
        <v>97.144805427934827</v>
      </c>
      <c r="E8561" s="733"/>
    </row>
    <row r="8562" spans="2:5">
      <c r="B8562" s="121">
        <v>743</v>
      </c>
      <c r="C8562" s="121">
        <v>3</v>
      </c>
      <c r="D8562" s="734">
        <v>114.14182210674861</v>
      </c>
      <c r="E8562" s="733"/>
    </row>
    <row r="8563" spans="2:5">
      <c r="B8563" s="121">
        <v>743</v>
      </c>
      <c r="C8563" s="121">
        <v>4</v>
      </c>
      <c r="D8563" s="734">
        <v>146.95454859406405</v>
      </c>
      <c r="E8563" s="733"/>
    </row>
    <row r="8564" spans="2:5">
      <c r="B8564" s="121">
        <v>743</v>
      </c>
      <c r="C8564" s="121">
        <v>5</v>
      </c>
      <c r="D8564" s="734">
        <v>142.51788706841751</v>
      </c>
      <c r="E8564" s="733"/>
    </row>
    <row r="8565" spans="2:5">
      <c r="B8565" s="121">
        <v>743</v>
      </c>
      <c r="C8565" s="121">
        <v>6</v>
      </c>
      <c r="D8565" s="734">
        <v>145.74027972140055</v>
      </c>
      <c r="E8565" s="733"/>
    </row>
    <row r="8566" spans="2:5">
      <c r="B8566" s="121">
        <v>743</v>
      </c>
      <c r="C8566" s="121">
        <v>7</v>
      </c>
      <c r="D8566" s="734">
        <v>135.25374332158856</v>
      </c>
      <c r="E8566" s="733"/>
    </row>
    <row r="8567" spans="2:5">
      <c r="B8567" s="121">
        <v>743</v>
      </c>
      <c r="C8567" s="121">
        <v>8</v>
      </c>
      <c r="D8567" s="734">
        <v>140.52203669229206</v>
      </c>
      <c r="E8567" s="733"/>
    </row>
    <row r="8568" spans="2:5">
      <c r="B8568" s="121">
        <v>743</v>
      </c>
      <c r="C8568" s="121">
        <v>9</v>
      </c>
      <c r="D8568" s="734">
        <v>141.77449437421433</v>
      </c>
      <c r="E8568" s="733"/>
    </row>
    <row r="8569" spans="2:5">
      <c r="B8569" s="121">
        <v>743</v>
      </c>
      <c r="C8569" s="121">
        <v>10</v>
      </c>
      <c r="D8569" s="734">
        <v>138.71794878193793</v>
      </c>
      <c r="E8569" s="733"/>
    </row>
    <row r="8570" spans="2:5">
      <c r="B8570" s="121">
        <v>743</v>
      </c>
      <c r="C8570" s="121">
        <v>11</v>
      </c>
      <c r="D8570" s="734">
        <v>137.78506685386884</v>
      </c>
      <c r="E8570" s="733"/>
    </row>
    <row r="8571" spans="2:5">
      <c r="B8571" s="121">
        <v>743</v>
      </c>
      <c r="C8571" s="121">
        <v>12</v>
      </c>
      <c r="D8571" s="734">
        <v>140.7579284781022</v>
      </c>
      <c r="E8571" s="733"/>
    </row>
    <row r="8572" spans="2:5">
      <c r="B8572" s="121">
        <v>743</v>
      </c>
      <c r="C8572" s="121">
        <v>13</v>
      </c>
      <c r="D8572" s="734">
        <v>140.43943116422079</v>
      </c>
      <c r="E8572" s="733"/>
    </row>
    <row r="8573" spans="2:5">
      <c r="B8573" s="121">
        <v>743</v>
      </c>
      <c r="C8573" s="121">
        <v>14</v>
      </c>
      <c r="D8573" s="734">
        <v>141.5181668214542</v>
      </c>
      <c r="E8573" s="733"/>
    </row>
    <row r="8574" spans="2:5">
      <c r="B8574" s="121">
        <v>743</v>
      </c>
      <c r="C8574" s="121">
        <v>15</v>
      </c>
      <c r="D8574" s="734">
        <v>141.77845842081373</v>
      </c>
      <c r="E8574" s="733"/>
    </row>
    <row r="8575" spans="2:5">
      <c r="B8575" s="121">
        <v>743</v>
      </c>
      <c r="C8575" s="121">
        <v>16</v>
      </c>
      <c r="D8575" s="734">
        <v>137.75897358401812</v>
      </c>
      <c r="E8575" s="733"/>
    </row>
    <row r="8576" spans="2:5">
      <c r="B8576" s="121">
        <v>743</v>
      </c>
      <c r="C8576" s="121">
        <v>17</v>
      </c>
      <c r="D8576" s="734">
        <v>146.5957419648179</v>
      </c>
      <c r="E8576" s="733"/>
    </row>
    <row r="8577" spans="2:5">
      <c r="B8577" s="121">
        <v>743</v>
      </c>
      <c r="C8577" s="121">
        <v>18</v>
      </c>
      <c r="D8577" s="734">
        <v>140.88662991020689</v>
      </c>
      <c r="E8577" s="733"/>
    </row>
    <row r="8578" spans="2:5">
      <c r="B8578" s="121">
        <v>743</v>
      </c>
      <c r="C8578" s="121">
        <v>19</v>
      </c>
      <c r="D8578" s="734">
        <v>136.8951304308722</v>
      </c>
      <c r="E8578" s="733"/>
    </row>
    <row r="8579" spans="2:5">
      <c r="B8579" s="121">
        <v>743</v>
      </c>
      <c r="C8579" s="121">
        <v>20</v>
      </c>
      <c r="D8579" s="734">
        <v>136.31393350477683</v>
      </c>
      <c r="E8579" s="733"/>
    </row>
    <row r="8580" spans="2:5">
      <c r="B8580" s="121">
        <v>743</v>
      </c>
      <c r="C8580" s="121">
        <v>21</v>
      </c>
      <c r="D8580" s="734">
        <v>134.33739533560271</v>
      </c>
      <c r="E8580" s="733"/>
    </row>
    <row r="8581" spans="2:5">
      <c r="B8581" s="121">
        <v>743</v>
      </c>
      <c r="C8581" s="121">
        <v>22</v>
      </c>
      <c r="D8581" s="734">
        <v>142.07567783418611</v>
      </c>
      <c r="E8581" s="733"/>
    </row>
    <row r="8582" spans="2:5">
      <c r="B8582" s="121">
        <v>743</v>
      </c>
      <c r="C8582" s="121">
        <v>23</v>
      </c>
      <c r="D8582" s="734">
        <v>143.69497845583723</v>
      </c>
      <c r="E8582" s="733"/>
    </row>
    <row r="8583" spans="2:5">
      <c r="B8583" s="121">
        <v>744</v>
      </c>
      <c r="C8583" s="121">
        <v>1</v>
      </c>
      <c r="D8583" s="734">
        <v>5</v>
      </c>
      <c r="E8583" s="733"/>
    </row>
    <row r="8584" spans="2:5">
      <c r="B8584" s="121">
        <v>744</v>
      </c>
      <c r="C8584" s="121">
        <v>2</v>
      </c>
      <c r="D8584" s="734">
        <v>101.64543877949556</v>
      </c>
      <c r="E8584" s="733"/>
    </row>
    <row r="8585" spans="2:5">
      <c r="B8585" s="121">
        <v>744</v>
      </c>
      <c r="C8585" s="121">
        <v>3</v>
      </c>
      <c r="D8585" s="734">
        <v>118.21207966892176</v>
      </c>
      <c r="E8585" s="733"/>
    </row>
    <row r="8586" spans="2:5">
      <c r="B8586" s="121">
        <v>744</v>
      </c>
      <c r="C8586" s="121">
        <v>4</v>
      </c>
      <c r="D8586" s="734">
        <v>138.18437235327551</v>
      </c>
      <c r="E8586" s="733"/>
    </row>
    <row r="8587" spans="2:5">
      <c r="B8587" s="121">
        <v>744</v>
      </c>
      <c r="C8587" s="121">
        <v>5</v>
      </c>
      <c r="D8587" s="734">
        <v>146.34450217046316</v>
      </c>
      <c r="E8587" s="733"/>
    </row>
    <row r="8588" spans="2:5">
      <c r="B8588" s="121">
        <v>745</v>
      </c>
      <c r="C8588" s="121">
        <v>1</v>
      </c>
      <c r="D8588" s="734">
        <v>5</v>
      </c>
      <c r="E8588" s="733"/>
    </row>
    <row r="8589" spans="2:5">
      <c r="B8589" s="121">
        <v>745</v>
      </c>
      <c r="C8589" s="121">
        <v>2</v>
      </c>
      <c r="D8589" s="734">
        <v>100.67606277424682</v>
      </c>
      <c r="E8589" s="733"/>
    </row>
    <row r="8590" spans="2:5">
      <c r="B8590" s="121">
        <v>746</v>
      </c>
      <c r="C8590" s="121">
        <v>1</v>
      </c>
      <c r="D8590" s="734">
        <v>5</v>
      </c>
      <c r="E8590" s="733"/>
    </row>
    <row r="8591" spans="2:5">
      <c r="B8591" s="121">
        <v>746</v>
      </c>
      <c r="C8591" s="121">
        <v>2</v>
      </c>
      <c r="D8591" s="734">
        <v>99.018708598176801</v>
      </c>
      <c r="E8591" s="733"/>
    </row>
    <row r="8592" spans="2:5">
      <c r="B8592" s="121">
        <v>746</v>
      </c>
      <c r="C8592" s="121">
        <v>3</v>
      </c>
      <c r="D8592" s="734">
        <v>121.22763475351428</v>
      </c>
      <c r="E8592" s="733"/>
    </row>
    <row r="8593" spans="2:5">
      <c r="B8593" s="121">
        <v>746</v>
      </c>
      <c r="C8593" s="121">
        <v>4</v>
      </c>
      <c r="D8593" s="734">
        <v>137.76747733065676</v>
      </c>
      <c r="E8593" s="733"/>
    </row>
    <row r="8594" spans="2:5">
      <c r="B8594" s="121">
        <v>746</v>
      </c>
      <c r="C8594" s="121">
        <v>5</v>
      </c>
      <c r="D8594" s="734">
        <v>146.52832776327216</v>
      </c>
      <c r="E8594" s="733"/>
    </row>
    <row r="8595" spans="2:5">
      <c r="B8595" s="121">
        <v>746</v>
      </c>
      <c r="C8595" s="121">
        <v>6</v>
      </c>
      <c r="D8595" s="734">
        <v>141.62473949279035</v>
      </c>
      <c r="E8595" s="733"/>
    </row>
    <row r="8596" spans="2:5">
      <c r="B8596" s="121">
        <v>746</v>
      </c>
      <c r="C8596" s="121">
        <v>7</v>
      </c>
      <c r="D8596" s="734">
        <v>147.24531326921877</v>
      </c>
      <c r="E8596" s="733"/>
    </row>
    <row r="8597" spans="2:5">
      <c r="B8597" s="121">
        <v>746</v>
      </c>
      <c r="C8597" s="121">
        <v>8</v>
      </c>
      <c r="D8597" s="734">
        <v>133.97536924118987</v>
      </c>
      <c r="E8597" s="733"/>
    </row>
    <row r="8598" spans="2:5">
      <c r="B8598" s="121">
        <v>746</v>
      </c>
      <c r="C8598" s="121">
        <v>9</v>
      </c>
      <c r="D8598" s="734">
        <v>145.9835010148108</v>
      </c>
      <c r="E8598" s="733"/>
    </row>
    <row r="8599" spans="2:5">
      <c r="B8599" s="121">
        <v>746</v>
      </c>
      <c r="C8599" s="121">
        <v>10</v>
      </c>
      <c r="D8599" s="734">
        <v>135.74122725507735</v>
      </c>
      <c r="E8599" s="733"/>
    </row>
    <row r="8600" spans="2:5">
      <c r="B8600" s="121">
        <v>746</v>
      </c>
      <c r="C8600" s="121">
        <v>11</v>
      </c>
      <c r="D8600" s="734">
        <v>143.91956367392788</v>
      </c>
      <c r="E8600" s="733"/>
    </row>
    <row r="8601" spans="2:5">
      <c r="B8601" s="121">
        <v>746</v>
      </c>
      <c r="C8601" s="121">
        <v>12</v>
      </c>
      <c r="D8601" s="734">
        <v>142.2355508518435</v>
      </c>
      <c r="E8601" s="733"/>
    </row>
    <row r="8602" spans="2:5">
      <c r="B8602" s="121">
        <v>747</v>
      </c>
      <c r="C8602" s="121">
        <v>1</v>
      </c>
      <c r="D8602" s="734">
        <v>5</v>
      </c>
      <c r="E8602" s="733"/>
    </row>
    <row r="8603" spans="2:5">
      <c r="B8603" s="121">
        <v>748</v>
      </c>
      <c r="C8603" s="121">
        <v>1</v>
      </c>
      <c r="D8603" s="734">
        <v>5</v>
      </c>
      <c r="E8603" s="733"/>
    </row>
    <row r="8604" spans="2:5">
      <c r="B8604" s="121">
        <v>749</v>
      </c>
      <c r="C8604" s="121">
        <v>1</v>
      </c>
      <c r="D8604" s="734">
        <v>5</v>
      </c>
      <c r="E8604" s="733"/>
    </row>
    <row r="8605" spans="2:5">
      <c r="B8605" s="121">
        <v>749</v>
      </c>
      <c r="C8605" s="121">
        <v>2</v>
      </c>
      <c r="D8605" s="734">
        <v>95.841019000691944</v>
      </c>
      <c r="E8605" s="733"/>
    </row>
    <row r="8606" spans="2:5">
      <c r="B8606" s="121">
        <v>749</v>
      </c>
      <c r="C8606" s="121">
        <v>3</v>
      </c>
      <c r="D8606" s="734">
        <v>121.86241531880907</v>
      </c>
      <c r="E8606" s="733"/>
    </row>
    <row r="8607" spans="2:5">
      <c r="B8607" s="121">
        <v>749</v>
      </c>
      <c r="C8607" s="121">
        <v>4</v>
      </c>
      <c r="D8607" s="734">
        <v>134.69237085034837</v>
      </c>
      <c r="E8607" s="733"/>
    </row>
    <row r="8608" spans="2:5">
      <c r="B8608" s="121">
        <v>749</v>
      </c>
      <c r="C8608" s="121">
        <v>5</v>
      </c>
      <c r="D8608" s="734">
        <v>139.67352527208817</v>
      </c>
      <c r="E8608" s="733"/>
    </row>
    <row r="8609" spans="2:5">
      <c r="B8609" s="121">
        <v>749</v>
      </c>
      <c r="C8609" s="121">
        <v>6</v>
      </c>
      <c r="D8609" s="734">
        <v>145.85431628583373</v>
      </c>
      <c r="E8609" s="733"/>
    </row>
    <row r="8610" spans="2:5">
      <c r="B8610" s="121">
        <v>749</v>
      </c>
      <c r="C8610" s="121">
        <v>7</v>
      </c>
      <c r="D8610" s="734">
        <v>143.46351345402584</v>
      </c>
      <c r="E8610" s="733"/>
    </row>
    <row r="8611" spans="2:5">
      <c r="B8611" s="121">
        <v>749</v>
      </c>
      <c r="C8611" s="121">
        <v>8</v>
      </c>
      <c r="D8611" s="734">
        <v>146.03985915687147</v>
      </c>
      <c r="E8611" s="733"/>
    </row>
    <row r="8612" spans="2:5">
      <c r="B8612" s="121">
        <v>749</v>
      </c>
      <c r="C8612" s="121">
        <v>9</v>
      </c>
      <c r="D8612" s="734">
        <v>138.77752350372023</v>
      </c>
      <c r="E8612" s="733"/>
    </row>
    <row r="8613" spans="2:5">
      <c r="B8613" s="121">
        <v>749</v>
      </c>
      <c r="C8613" s="121">
        <v>10</v>
      </c>
      <c r="D8613" s="734">
        <v>137.60117842227365</v>
      </c>
      <c r="E8613" s="733"/>
    </row>
    <row r="8614" spans="2:5">
      <c r="B8614" s="121">
        <v>749</v>
      </c>
      <c r="C8614" s="121">
        <v>11</v>
      </c>
      <c r="D8614" s="734">
        <v>139.85082083735836</v>
      </c>
      <c r="E8614" s="733"/>
    </row>
    <row r="8615" spans="2:5">
      <c r="B8615" s="121">
        <v>749</v>
      </c>
      <c r="C8615" s="121">
        <v>12</v>
      </c>
      <c r="D8615" s="734">
        <v>138.1942547786611</v>
      </c>
      <c r="E8615" s="733"/>
    </row>
    <row r="8616" spans="2:5">
      <c r="B8616" s="121">
        <v>749</v>
      </c>
      <c r="C8616" s="121">
        <v>13</v>
      </c>
      <c r="D8616" s="734">
        <v>138.72888839983253</v>
      </c>
      <c r="E8616" s="733"/>
    </row>
    <row r="8617" spans="2:5">
      <c r="B8617" s="121">
        <v>749</v>
      </c>
      <c r="C8617" s="121">
        <v>14</v>
      </c>
      <c r="D8617" s="734">
        <v>143.28540315116658</v>
      </c>
      <c r="E8617" s="733"/>
    </row>
    <row r="8618" spans="2:5">
      <c r="B8618" s="121">
        <v>749</v>
      </c>
      <c r="C8618" s="121">
        <v>15</v>
      </c>
      <c r="D8618" s="734">
        <v>141.9245720674202</v>
      </c>
      <c r="E8618" s="733"/>
    </row>
    <row r="8619" spans="2:5">
      <c r="B8619" s="121">
        <v>749</v>
      </c>
      <c r="C8619" s="121">
        <v>16</v>
      </c>
      <c r="D8619" s="734">
        <v>144.79063122980574</v>
      </c>
      <c r="E8619" s="733"/>
    </row>
    <row r="8620" spans="2:5">
      <c r="B8620" s="121">
        <v>749</v>
      </c>
      <c r="C8620" s="121">
        <v>17</v>
      </c>
      <c r="D8620" s="734">
        <v>145.9218960310096</v>
      </c>
      <c r="E8620" s="733"/>
    </row>
    <row r="8621" spans="2:5">
      <c r="B8621" s="121">
        <v>749</v>
      </c>
      <c r="C8621" s="121">
        <v>18</v>
      </c>
      <c r="D8621" s="734">
        <v>138.41122011303003</v>
      </c>
      <c r="E8621" s="733"/>
    </row>
    <row r="8622" spans="2:5">
      <c r="B8622" s="121">
        <v>749</v>
      </c>
      <c r="C8622" s="121">
        <v>19</v>
      </c>
      <c r="D8622" s="734">
        <v>138.72059840291305</v>
      </c>
      <c r="E8622" s="733"/>
    </row>
    <row r="8623" spans="2:5">
      <c r="B8623" s="121">
        <v>749</v>
      </c>
      <c r="C8623" s="121">
        <v>20</v>
      </c>
      <c r="D8623" s="734">
        <v>145.23360053924637</v>
      </c>
      <c r="E8623" s="733"/>
    </row>
    <row r="8624" spans="2:5">
      <c r="B8624" s="121">
        <v>749</v>
      </c>
      <c r="C8624" s="121">
        <v>21</v>
      </c>
      <c r="D8624" s="734">
        <v>145.55479485218842</v>
      </c>
      <c r="E8624" s="733"/>
    </row>
    <row r="8625" spans="2:5">
      <c r="B8625" s="121">
        <v>749</v>
      </c>
      <c r="C8625" s="121">
        <v>22</v>
      </c>
      <c r="D8625" s="734">
        <v>146.54707806902849</v>
      </c>
      <c r="E8625" s="733"/>
    </row>
    <row r="8626" spans="2:5">
      <c r="B8626" s="121">
        <v>749</v>
      </c>
      <c r="C8626" s="121">
        <v>23</v>
      </c>
      <c r="D8626" s="734">
        <v>135.38806950291396</v>
      </c>
      <c r="E8626" s="733"/>
    </row>
    <row r="8627" spans="2:5">
      <c r="B8627" s="121">
        <v>749</v>
      </c>
      <c r="C8627" s="121">
        <v>24</v>
      </c>
      <c r="D8627" s="734">
        <v>142.21231773528507</v>
      </c>
      <c r="E8627" s="733"/>
    </row>
    <row r="8628" spans="2:5">
      <c r="B8628" s="121">
        <v>749</v>
      </c>
      <c r="C8628" s="121">
        <v>25</v>
      </c>
      <c r="D8628" s="734">
        <v>135.35081232237866</v>
      </c>
      <c r="E8628" s="733"/>
    </row>
    <row r="8629" spans="2:5">
      <c r="B8629" s="121">
        <v>749</v>
      </c>
      <c r="C8629" s="121">
        <v>26</v>
      </c>
      <c r="D8629" s="734">
        <v>145.63177657929987</v>
      </c>
      <c r="E8629" s="733"/>
    </row>
    <row r="8630" spans="2:5">
      <c r="B8630" s="121">
        <v>749</v>
      </c>
      <c r="C8630" s="121">
        <v>27</v>
      </c>
      <c r="D8630" s="734">
        <v>141.71750314023501</v>
      </c>
      <c r="E8630" s="733"/>
    </row>
    <row r="8631" spans="2:5">
      <c r="B8631" s="121">
        <v>749</v>
      </c>
      <c r="C8631" s="121">
        <v>28</v>
      </c>
      <c r="D8631" s="734">
        <v>138.72458633665642</v>
      </c>
      <c r="E8631" s="733"/>
    </row>
    <row r="8632" spans="2:5">
      <c r="B8632" s="121">
        <v>749</v>
      </c>
      <c r="C8632" s="121">
        <v>29</v>
      </c>
      <c r="D8632" s="734">
        <v>136.01327926180062</v>
      </c>
      <c r="E8632" s="733"/>
    </row>
    <row r="8633" spans="2:5">
      <c r="B8633" s="121">
        <v>749</v>
      </c>
      <c r="C8633" s="121">
        <v>30</v>
      </c>
      <c r="D8633" s="734">
        <v>135.68489836538495</v>
      </c>
      <c r="E8633" s="733"/>
    </row>
    <row r="8634" spans="2:5">
      <c r="B8634" s="121">
        <v>749</v>
      </c>
      <c r="C8634" s="121">
        <v>31</v>
      </c>
      <c r="D8634" s="734">
        <v>137.03822925451109</v>
      </c>
      <c r="E8634" s="733"/>
    </row>
    <row r="8635" spans="2:5">
      <c r="B8635" s="121">
        <v>749</v>
      </c>
      <c r="C8635" s="121">
        <v>32</v>
      </c>
      <c r="D8635" s="734">
        <v>140.76475637436775</v>
      </c>
      <c r="E8635" s="733"/>
    </row>
    <row r="8636" spans="2:5">
      <c r="B8636" s="121">
        <v>749</v>
      </c>
      <c r="C8636" s="121">
        <v>33</v>
      </c>
      <c r="D8636" s="734">
        <v>139.42728500832496</v>
      </c>
      <c r="E8636" s="733"/>
    </row>
    <row r="8637" spans="2:5">
      <c r="B8637" s="121">
        <v>749</v>
      </c>
      <c r="C8637" s="121">
        <v>34</v>
      </c>
      <c r="D8637" s="734">
        <v>141.07260197052969</v>
      </c>
      <c r="E8637" s="733"/>
    </row>
    <row r="8638" spans="2:5">
      <c r="B8638" s="121">
        <v>750</v>
      </c>
      <c r="C8638" s="121">
        <v>1</v>
      </c>
      <c r="D8638" s="734">
        <v>5</v>
      </c>
      <c r="E8638" s="733"/>
    </row>
    <row r="8639" spans="2:5">
      <c r="B8639" s="121">
        <v>751</v>
      </c>
      <c r="C8639" s="121">
        <v>1</v>
      </c>
      <c r="D8639" s="734">
        <v>5</v>
      </c>
      <c r="E8639" s="733"/>
    </row>
    <row r="8640" spans="2:5">
      <c r="B8640" s="121">
        <v>752</v>
      </c>
      <c r="C8640" s="121">
        <v>1</v>
      </c>
      <c r="D8640" s="734">
        <v>5</v>
      </c>
      <c r="E8640" s="733"/>
    </row>
    <row r="8641" spans="2:5">
      <c r="B8641" s="121">
        <v>752</v>
      </c>
      <c r="C8641" s="121">
        <v>2</v>
      </c>
      <c r="D8641" s="734">
        <v>97.608331550099336</v>
      </c>
      <c r="E8641" s="733"/>
    </row>
    <row r="8642" spans="2:5">
      <c r="B8642" s="121">
        <v>752</v>
      </c>
      <c r="C8642" s="121">
        <v>3</v>
      </c>
      <c r="D8642" s="734">
        <v>115.49240181232219</v>
      </c>
      <c r="E8642" s="733"/>
    </row>
    <row r="8643" spans="2:5">
      <c r="B8643" s="121">
        <v>752</v>
      </c>
      <c r="C8643" s="121">
        <v>4</v>
      </c>
      <c r="D8643" s="734">
        <v>144.74883731818565</v>
      </c>
      <c r="E8643" s="733"/>
    </row>
    <row r="8644" spans="2:5">
      <c r="B8644" s="121">
        <v>752</v>
      </c>
      <c r="C8644" s="121">
        <v>5</v>
      </c>
      <c r="D8644" s="734">
        <v>135.63410212033284</v>
      </c>
      <c r="E8644" s="733"/>
    </row>
    <row r="8645" spans="2:5">
      <c r="B8645" s="121">
        <v>752</v>
      </c>
      <c r="C8645" s="121">
        <v>6</v>
      </c>
      <c r="D8645" s="734">
        <v>146.01938612614575</v>
      </c>
      <c r="E8645" s="733"/>
    </row>
    <row r="8646" spans="2:5">
      <c r="B8646" s="121">
        <v>752</v>
      </c>
      <c r="C8646" s="121">
        <v>7</v>
      </c>
      <c r="D8646" s="734">
        <v>144.34739104883516</v>
      </c>
      <c r="E8646" s="733"/>
    </row>
    <row r="8647" spans="2:5">
      <c r="B8647" s="121">
        <v>752</v>
      </c>
      <c r="C8647" s="121">
        <v>8</v>
      </c>
      <c r="D8647" s="734">
        <v>134.22921888147982</v>
      </c>
      <c r="E8647" s="733"/>
    </row>
    <row r="8648" spans="2:5">
      <c r="B8648" s="121">
        <v>752</v>
      </c>
      <c r="C8648" s="121">
        <v>9</v>
      </c>
      <c r="D8648" s="734">
        <v>143.43567534045451</v>
      </c>
      <c r="E8648" s="733"/>
    </row>
    <row r="8649" spans="2:5">
      <c r="B8649" s="121">
        <v>752</v>
      </c>
      <c r="C8649" s="121">
        <v>10</v>
      </c>
      <c r="D8649" s="734">
        <v>136.70729842837684</v>
      </c>
      <c r="E8649" s="733"/>
    </row>
    <row r="8650" spans="2:5">
      <c r="B8650" s="121">
        <v>752</v>
      </c>
      <c r="C8650" s="121">
        <v>11</v>
      </c>
      <c r="D8650" s="734">
        <v>142.4146104846304</v>
      </c>
      <c r="E8650" s="733"/>
    </row>
    <row r="8651" spans="2:5">
      <c r="B8651" s="121">
        <v>752</v>
      </c>
      <c r="C8651" s="121">
        <v>12</v>
      </c>
      <c r="D8651" s="734">
        <v>145.22322356112744</v>
      </c>
      <c r="E8651" s="733"/>
    </row>
    <row r="8652" spans="2:5">
      <c r="B8652" s="121">
        <v>752</v>
      </c>
      <c r="C8652" s="121">
        <v>13</v>
      </c>
      <c r="D8652" s="734">
        <v>140.51486306866357</v>
      </c>
      <c r="E8652" s="733"/>
    </row>
    <row r="8653" spans="2:5">
      <c r="B8653" s="121">
        <v>752</v>
      </c>
      <c r="C8653" s="121">
        <v>14</v>
      </c>
      <c r="D8653" s="734">
        <v>142.65871560990874</v>
      </c>
      <c r="E8653" s="733"/>
    </row>
    <row r="8654" spans="2:5">
      <c r="B8654" s="121">
        <v>752</v>
      </c>
      <c r="C8654" s="121">
        <v>15</v>
      </c>
      <c r="D8654" s="734">
        <v>140.42546471249153</v>
      </c>
      <c r="E8654" s="733"/>
    </row>
    <row r="8655" spans="2:5">
      <c r="B8655" s="121">
        <v>753</v>
      </c>
      <c r="C8655" s="121">
        <v>1</v>
      </c>
      <c r="D8655" s="734">
        <v>5</v>
      </c>
      <c r="E8655" s="733"/>
    </row>
    <row r="8656" spans="2:5">
      <c r="B8656" s="121">
        <v>753</v>
      </c>
      <c r="C8656" s="121">
        <v>2</v>
      </c>
      <c r="D8656" s="734">
        <v>101.78129740971696</v>
      </c>
      <c r="E8656" s="733"/>
    </row>
    <row r="8657" spans="2:5">
      <c r="B8657" s="121">
        <v>753</v>
      </c>
      <c r="C8657" s="121">
        <v>3</v>
      </c>
      <c r="D8657" s="734">
        <v>120.65117148943378</v>
      </c>
      <c r="E8657" s="733"/>
    </row>
    <row r="8658" spans="2:5">
      <c r="B8658" s="121">
        <v>753</v>
      </c>
      <c r="C8658" s="121">
        <v>4</v>
      </c>
      <c r="D8658" s="734">
        <v>142.39807380021733</v>
      </c>
      <c r="E8658" s="733"/>
    </row>
    <row r="8659" spans="2:5">
      <c r="B8659" s="121">
        <v>753</v>
      </c>
      <c r="C8659" s="121">
        <v>5</v>
      </c>
      <c r="D8659" s="734">
        <v>140.45220699402014</v>
      </c>
      <c r="E8659" s="733"/>
    </row>
    <row r="8660" spans="2:5">
      <c r="B8660" s="121">
        <v>753</v>
      </c>
      <c r="C8660" s="121">
        <v>6</v>
      </c>
      <c r="D8660" s="734">
        <v>138.30813511671616</v>
      </c>
      <c r="E8660" s="733"/>
    </row>
    <row r="8661" spans="2:5">
      <c r="B8661" s="121">
        <v>753</v>
      </c>
      <c r="C8661" s="121">
        <v>7</v>
      </c>
      <c r="D8661" s="734">
        <v>143.89918781060828</v>
      </c>
      <c r="E8661" s="733"/>
    </row>
    <row r="8662" spans="2:5">
      <c r="B8662" s="121">
        <v>753</v>
      </c>
      <c r="C8662" s="121">
        <v>8</v>
      </c>
      <c r="D8662" s="734">
        <v>142.6962401400645</v>
      </c>
      <c r="E8662" s="733"/>
    </row>
    <row r="8663" spans="2:5">
      <c r="B8663" s="121">
        <v>753</v>
      </c>
      <c r="C8663" s="121">
        <v>9</v>
      </c>
      <c r="D8663" s="734">
        <v>141.36890890314197</v>
      </c>
      <c r="E8663" s="733"/>
    </row>
    <row r="8664" spans="2:5">
      <c r="B8664" s="121">
        <v>753</v>
      </c>
      <c r="C8664" s="121">
        <v>10</v>
      </c>
      <c r="D8664" s="734">
        <v>140.48987603602231</v>
      </c>
      <c r="E8664" s="733"/>
    </row>
    <row r="8665" spans="2:5">
      <c r="B8665" s="121">
        <v>753</v>
      </c>
      <c r="C8665" s="121">
        <v>11</v>
      </c>
      <c r="D8665" s="734">
        <v>146.27380772953239</v>
      </c>
      <c r="E8665" s="733"/>
    </row>
    <row r="8666" spans="2:5">
      <c r="B8666" s="121">
        <v>753</v>
      </c>
      <c r="C8666" s="121">
        <v>12</v>
      </c>
      <c r="D8666" s="734">
        <v>136.69025775248306</v>
      </c>
      <c r="E8666" s="733"/>
    </row>
    <row r="8667" spans="2:5">
      <c r="B8667" s="121">
        <v>753</v>
      </c>
      <c r="C8667" s="121">
        <v>13</v>
      </c>
      <c r="D8667" s="734">
        <v>139.88482846902838</v>
      </c>
      <c r="E8667" s="733"/>
    </row>
    <row r="8668" spans="2:5">
      <c r="B8668" s="121">
        <v>753</v>
      </c>
      <c r="C8668" s="121">
        <v>14</v>
      </c>
      <c r="D8668" s="734">
        <v>136.93163811512881</v>
      </c>
      <c r="E8668" s="733"/>
    </row>
    <row r="8669" spans="2:5">
      <c r="B8669" s="121">
        <v>753</v>
      </c>
      <c r="C8669" s="121">
        <v>15</v>
      </c>
      <c r="D8669" s="734">
        <v>141.91869113358928</v>
      </c>
      <c r="E8669" s="733"/>
    </row>
    <row r="8670" spans="2:5">
      <c r="B8670" s="121">
        <v>753</v>
      </c>
      <c r="C8670" s="121">
        <v>16</v>
      </c>
      <c r="D8670" s="734">
        <v>144.71186284104041</v>
      </c>
      <c r="E8670" s="733"/>
    </row>
    <row r="8671" spans="2:5">
      <c r="B8671" s="121">
        <v>753</v>
      </c>
      <c r="C8671" s="121">
        <v>17</v>
      </c>
      <c r="D8671" s="734">
        <v>145.47677580439816</v>
      </c>
      <c r="E8671" s="733"/>
    </row>
    <row r="8672" spans="2:5">
      <c r="B8672" s="121">
        <v>753</v>
      </c>
      <c r="C8672" s="121">
        <v>18</v>
      </c>
      <c r="D8672" s="734">
        <v>142.90752456990154</v>
      </c>
      <c r="E8672" s="733"/>
    </row>
    <row r="8673" spans="2:5">
      <c r="B8673" s="121">
        <v>753</v>
      </c>
      <c r="C8673" s="121">
        <v>19</v>
      </c>
      <c r="D8673" s="734">
        <v>136.57987218365517</v>
      </c>
      <c r="E8673" s="733"/>
    </row>
    <row r="8674" spans="2:5">
      <c r="B8674" s="121">
        <v>753</v>
      </c>
      <c r="C8674" s="121">
        <v>20</v>
      </c>
      <c r="D8674" s="734">
        <v>141.50630134264699</v>
      </c>
      <c r="E8674" s="733"/>
    </row>
    <row r="8675" spans="2:5">
      <c r="B8675" s="121">
        <v>753</v>
      </c>
      <c r="C8675" s="121">
        <v>21</v>
      </c>
      <c r="D8675" s="734">
        <v>147.23957798427395</v>
      </c>
      <c r="E8675" s="733"/>
    </row>
    <row r="8676" spans="2:5">
      <c r="B8676" s="121">
        <v>753</v>
      </c>
      <c r="C8676" s="121">
        <v>22</v>
      </c>
      <c r="D8676" s="734">
        <v>141.49754411563083</v>
      </c>
      <c r="E8676" s="733"/>
    </row>
    <row r="8677" spans="2:5">
      <c r="B8677" s="121">
        <v>753</v>
      </c>
      <c r="C8677" s="121">
        <v>23</v>
      </c>
      <c r="D8677" s="734">
        <v>137.25711647256719</v>
      </c>
      <c r="E8677" s="733"/>
    </row>
    <row r="8678" spans="2:5">
      <c r="B8678" s="121">
        <v>753</v>
      </c>
      <c r="C8678" s="121">
        <v>24</v>
      </c>
      <c r="D8678" s="734">
        <v>134.72130389453355</v>
      </c>
      <c r="E8678" s="733"/>
    </row>
    <row r="8679" spans="2:5">
      <c r="B8679" s="121">
        <v>753</v>
      </c>
      <c r="C8679" s="121">
        <v>25</v>
      </c>
      <c r="D8679" s="734">
        <v>140.66689533126186</v>
      </c>
      <c r="E8679" s="733"/>
    </row>
    <row r="8680" spans="2:5">
      <c r="B8680" s="121">
        <v>753</v>
      </c>
      <c r="C8680" s="121">
        <v>26</v>
      </c>
      <c r="D8680" s="734">
        <v>145.7573934288373</v>
      </c>
      <c r="E8680" s="733"/>
    </row>
    <row r="8681" spans="2:5">
      <c r="B8681" s="121">
        <v>753</v>
      </c>
      <c r="C8681" s="121">
        <v>27</v>
      </c>
      <c r="D8681" s="734">
        <v>142.60587378278467</v>
      </c>
      <c r="E8681" s="733"/>
    </row>
    <row r="8682" spans="2:5">
      <c r="B8682" s="121">
        <v>753</v>
      </c>
      <c r="C8682" s="121">
        <v>28</v>
      </c>
      <c r="D8682" s="734">
        <v>137.22487820538873</v>
      </c>
      <c r="E8682" s="733"/>
    </row>
    <row r="8683" spans="2:5">
      <c r="B8683" s="121">
        <v>753</v>
      </c>
      <c r="C8683" s="121">
        <v>29</v>
      </c>
      <c r="D8683" s="734">
        <v>145.39263830808653</v>
      </c>
      <c r="E8683" s="733"/>
    </row>
    <row r="8684" spans="2:5">
      <c r="B8684" s="121">
        <v>753</v>
      </c>
      <c r="C8684" s="121">
        <v>30</v>
      </c>
      <c r="D8684" s="734">
        <v>139.07196005328424</v>
      </c>
      <c r="E8684" s="733"/>
    </row>
    <row r="8685" spans="2:5">
      <c r="B8685" s="121">
        <v>753</v>
      </c>
      <c r="C8685" s="121">
        <v>31</v>
      </c>
      <c r="D8685" s="734">
        <v>142.60650473042637</v>
      </c>
      <c r="E8685" s="733"/>
    </row>
    <row r="8686" spans="2:5">
      <c r="B8686" s="121">
        <v>753</v>
      </c>
      <c r="C8686" s="121">
        <v>32</v>
      </c>
      <c r="D8686" s="734">
        <v>141.36287247676819</v>
      </c>
      <c r="E8686" s="733"/>
    </row>
    <row r="8687" spans="2:5">
      <c r="B8687" s="121">
        <v>753</v>
      </c>
      <c r="C8687" s="121">
        <v>33</v>
      </c>
      <c r="D8687" s="734">
        <v>134.77731570952523</v>
      </c>
      <c r="E8687" s="733"/>
    </row>
    <row r="8688" spans="2:5">
      <c r="B8688" s="121">
        <v>753</v>
      </c>
      <c r="C8688" s="121">
        <v>34</v>
      </c>
      <c r="D8688" s="734">
        <v>138.53173816679347</v>
      </c>
      <c r="E8688" s="733"/>
    </row>
    <row r="8689" spans="2:5">
      <c r="B8689" s="121">
        <v>753</v>
      </c>
      <c r="C8689" s="121">
        <v>35</v>
      </c>
      <c r="D8689" s="734">
        <v>143.9569816462614</v>
      </c>
      <c r="E8689" s="733"/>
    </row>
    <row r="8690" spans="2:5">
      <c r="B8690" s="121">
        <v>753</v>
      </c>
      <c r="C8690" s="121">
        <v>36</v>
      </c>
      <c r="D8690" s="734">
        <v>142.7344705103942</v>
      </c>
      <c r="E8690" s="733"/>
    </row>
    <row r="8691" spans="2:5">
      <c r="B8691" s="121">
        <v>754</v>
      </c>
      <c r="C8691" s="121">
        <v>1</v>
      </c>
      <c r="D8691" s="734">
        <v>5</v>
      </c>
      <c r="E8691" s="733"/>
    </row>
    <row r="8692" spans="2:5">
      <c r="B8692" s="121">
        <v>754</v>
      </c>
      <c r="C8692" s="121">
        <v>2</v>
      </c>
      <c r="D8692" s="734">
        <v>99.752835689956754</v>
      </c>
      <c r="E8692" s="733"/>
    </row>
    <row r="8693" spans="2:5">
      <c r="B8693" s="121">
        <v>754</v>
      </c>
      <c r="C8693" s="121">
        <v>3</v>
      </c>
      <c r="D8693" s="734">
        <v>117.90492938477452</v>
      </c>
      <c r="E8693" s="733"/>
    </row>
    <row r="8694" spans="2:5">
      <c r="B8694" s="121">
        <v>754</v>
      </c>
      <c r="C8694" s="121">
        <v>4</v>
      </c>
      <c r="D8694" s="734">
        <v>142.2185860452206</v>
      </c>
      <c r="E8694" s="733"/>
    </row>
    <row r="8695" spans="2:5">
      <c r="B8695" s="121">
        <v>754</v>
      </c>
      <c r="C8695" s="121">
        <v>5</v>
      </c>
      <c r="D8695" s="734">
        <v>141.35394272312581</v>
      </c>
      <c r="E8695" s="733"/>
    </row>
    <row r="8696" spans="2:5">
      <c r="B8696" s="121">
        <v>754</v>
      </c>
      <c r="C8696" s="121">
        <v>6</v>
      </c>
      <c r="D8696" s="734">
        <v>137.48939453058281</v>
      </c>
      <c r="E8696" s="733"/>
    </row>
    <row r="8697" spans="2:5">
      <c r="B8697" s="121">
        <v>754</v>
      </c>
      <c r="C8697" s="121">
        <v>7</v>
      </c>
      <c r="D8697" s="734">
        <v>135.70545684706045</v>
      </c>
      <c r="E8697" s="733"/>
    </row>
    <row r="8698" spans="2:5">
      <c r="B8698" s="121">
        <v>754</v>
      </c>
      <c r="C8698" s="121">
        <v>8</v>
      </c>
      <c r="D8698" s="734">
        <v>134.49505261322761</v>
      </c>
      <c r="E8698" s="733"/>
    </row>
    <row r="8699" spans="2:5">
      <c r="B8699" s="121">
        <v>754</v>
      </c>
      <c r="C8699" s="121">
        <v>9</v>
      </c>
      <c r="D8699" s="734">
        <v>134.02477597889023</v>
      </c>
      <c r="E8699" s="733"/>
    </row>
    <row r="8700" spans="2:5">
      <c r="B8700" s="121">
        <v>754</v>
      </c>
      <c r="C8700" s="121">
        <v>10</v>
      </c>
      <c r="D8700" s="734">
        <v>145.96039559770327</v>
      </c>
      <c r="E8700" s="733"/>
    </row>
    <row r="8701" spans="2:5">
      <c r="B8701" s="121">
        <v>754</v>
      </c>
      <c r="C8701" s="121">
        <v>11</v>
      </c>
      <c r="D8701" s="734">
        <v>140.93250668251505</v>
      </c>
      <c r="E8701" s="733"/>
    </row>
    <row r="8702" spans="2:5">
      <c r="B8702" s="121">
        <v>754</v>
      </c>
      <c r="C8702" s="121">
        <v>12</v>
      </c>
      <c r="D8702" s="734">
        <v>134.73827411611413</v>
      </c>
      <c r="E8702" s="733"/>
    </row>
    <row r="8703" spans="2:5">
      <c r="B8703" s="121">
        <v>754</v>
      </c>
      <c r="C8703" s="121">
        <v>13</v>
      </c>
      <c r="D8703" s="734">
        <v>137.02527499115547</v>
      </c>
      <c r="E8703" s="733"/>
    </row>
    <row r="8704" spans="2:5">
      <c r="B8704" s="121">
        <v>754</v>
      </c>
      <c r="C8704" s="121">
        <v>14</v>
      </c>
      <c r="D8704" s="734">
        <v>138.8127173397265</v>
      </c>
      <c r="E8704" s="733"/>
    </row>
    <row r="8705" spans="2:5">
      <c r="B8705" s="121">
        <v>754</v>
      </c>
      <c r="C8705" s="121">
        <v>15</v>
      </c>
      <c r="D8705" s="734">
        <v>146.87093645883741</v>
      </c>
      <c r="E8705" s="733"/>
    </row>
    <row r="8706" spans="2:5">
      <c r="B8706" s="121">
        <v>754</v>
      </c>
      <c r="C8706" s="121">
        <v>16</v>
      </c>
      <c r="D8706" s="734">
        <v>146.83541949877795</v>
      </c>
      <c r="E8706" s="733"/>
    </row>
    <row r="8707" spans="2:5">
      <c r="B8707" s="121">
        <v>754</v>
      </c>
      <c r="C8707" s="121">
        <v>17</v>
      </c>
      <c r="D8707" s="734">
        <v>135.56695026594164</v>
      </c>
      <c r="E8707" s="733"/>
    </row>
    <row r="8708" spans="2:5">
      <c r="B8708" s="121">
        <v>754</v>
      </c>
      <c r="C8708" s="121">
        <v>18</v>
      </c>
      <c r="D8708" s="734">
        <v>141.20593165949683</v>
      </c>
      <c r="E8708" s="733"/>
    </row>
    <row r="8709" spans="2:5">
      <c r="B8709" s="121">
        <v>754</v>
      </c>
      <c r="C8709" s="121">
        <v>19</v>
      </c>
      <c r="D8709" s="734">
        <v>144.26573898493155</v>
      </c>
      <c r="E8709" s="733"/>
    </row>
    <row r="8710" spans="2:5">
      <c r="B8710" s="121">
        <v>754</v>
      </c>
      <c r="C8710" s="121">
        <v>20</v>
      </c>
      <c r="D8710" s="734">
        <v>135.95047176293232</v>
      </c>
      <c r="E8710" s="733"/>
    </row>
    <row r="8711" spans="2:5">
      <c r="B8711" s="121">
        <v>754</v>
      </c>
      <c r="C8711" s="121">
        <v>21</v>
      </c>
      <c r="D8711" s="734">
        <v>140.52341304723194</v>
      </c>
      <c r="E8711" s="733"/>
    </row>
    <row r="8712" spans="2:5">
      <c r="B8712" s="121">
        <v>754</v>
      </c>
      <c r="C8712" s="121">
        <v>22</v>
      </c>
      <c r="D8712" s="734">
        <v>144.42256478078124</v>
      </c>
      <c r="E8712" s="733"/>
    </row>
    <row r="8713" spans="2:5">
      <c r="B8713" s="121">
        <v>754</v>
      </c>
      <c r="C8713" s="121">
        <v>23</v>
      </c>
      <c r="D8713" s="734">
        <v>145.79266766589151</v>
      </c>
      <c r="E8713" s="733"/>
    </row>
    <row r="8714" spans="2:5">
      <c r="B8714" s="121">
        <v>754</v>
      </c>
      <c r="C8714" s="121">
        <v>24</v>
      </c>
      <c r="D8714" s="734">
        <v>145.06612083465356</v>
      </c>
      <c r="E8714" s="733"/>
    </row>
    <row r="8715" spans="2:5">
      <c r="B8715" s="121">
        <v>754</v>
      </c>
      <c r="C8715" s="121">
        <v>25</v>
      </c>
      <c r="D8715" s="734">
        <v>137.04600839361882</v>
      </c>
      <c r="E8715" s="733"/>
    </row>
    <row r="8716" spans="2:5">
      <c r="B8716" s="121">
        <v>754</v>
      </c>
      <c r="C8716" s="121">
        <v>26</v>
      </c>
      <c r="D8716" s="734">
        <v>144.89369484182077</v>
      </c>
      <c r="E8716" s="733"/>
    </row>
    <row r="8717" spans="2:5">
      <c r="B8717" s="121">
        <v>754</v>
      </c>
      <c r="C8717" s="121">
        <v>27</v>
      </c>
      <c r="D8717" s="734">
        <v>145.3311042577173</v>
      </c>
      <c r="E8717" s="733"/>
    </row>
    <row r="8718" spans="2:5">
      <c r="B8718" s="121">
        <v>755</v>
      </c>
      <c r="C8718" s="121">
        <v>1</v>
      </c>
      <c r="D8718" s="734">
        <v>5</v>
      </c>
      <c r="E8718" s="733"/>
    </row>
    <row r="8719" spans="2:5">
      <c r="B8719" s="121">
        <v>755</v>
      </c>
      <c r="C8719" s="121">
        <v>2</v>
      </c>
      <c r="D8719" s="734">
        <v>97.587146813773046</v>
      </c>
      <c r="E8719" s="733"/>
    </row>
    <row r="8720" spans="2:5">
      <c r="B8720" s="121">
        <v>755</v>
      </c>
      <c r="C8720" s="121">
        <v>3</v>
      </c>
      <c r="D8720" s="734">
        <v>123.96350721931033</v>
      </c>
      <c r="E8720" s="733"/>
    </row>
    <row r="8721" spans="2:5">
      <c r="B8721" s="121">
        <v>755</v>
      </c>
      <c r="C8721" s="121">
        <v>4</v>
      </c>
      <c r="D8721" s="734">
        <v>146.23733188909202</v>
      </c>
      <c r="E8721" s="733"/>
    </row>
    <row r="8722" spans="2:5">
      <c r="B8722" s="121">
        <v>755</v>
      </c>
      <c r="C8722" s="121">
        <v>5</v>
      </c>
      <c r="D8722" s="734">
        <v>143.05872021585498</v>
      </c>
      <c r="E8722" s="733"/>
    </row>
    <row r="8723" spans="2:5">
      <c r="B8723" s="121">
        <v>755</v>
      </c>
      <c r="C8723" s="121">
        <v>6</v>
      </c>
      <c r="D8723" s="734">
        <v>137.93943944265445</v>
      </c>
      <c r="E8723" s="733"/>
    </row>
    <row r="8724" spans="2:5">
      <c r="B8724" s="121">
        <v>755</v>
      </c>
      <c r="C8724" s="121">
        <v>7</v>
      </c>
      <c r="D8724" s="734">
        <v>139.70881950583308</v>
      </c>
      <c r="E8724" s="733"/>
    </row>
    <row r="8725" spans="2:5">
      <c r="B8725" s="121">
        <v>755</v>
      </c>
      <c r="C8725" s="121">
        <v>8</v>
      </c>
      <c r="D8725" s="734">
        <v>137.77480065433801</v>
      </c>
      <c r="E8725" s="733"/>
    </row>
    <row r="8726" spans="2:5">
      <c r="B8726" s="121">
        <v>755</v>
      </c>
      <c r="C8726" s="121">
        <v>9</v>
      </c>
      <c r="D8726" s="734">
        <v>145.05317557471454</v>
      </c>
      <c r="E8726" s="733"/>
    </row>
    <row r="8727" spans="2:5">
      <c r="B8727" s="121">
        <v>755</v>
      </c>
      <c r="C8727" s="121">
        <v>10</v>
      </c>
      <c r="D8727" s="734">
        <v>143.33945326531</v>
      </c>
      <c r="E8727" s="733"/>
    </row>
    <row r="8728" spans="2:5">
      <c r="B8728" s="121">
        <v>755</v>
      </c>
      <c r="C8728" s="121">
        <v>11</v>
      </c>
      <c r="D8728" s="734">
        <v>144.96615880583184</v>
      </c>
      <c r="E8728" s="733"/>
    </row>
    <row r="8729" spans="2:5">
      <c r="B8729" s="121">
        <v>755</v>
      </c>
      <c r="C8729" s="121">
        <v>12</v>
      </c>
      <c r="D8729" s="734">
        <v>141.90865082258676</v>
      </c>
      <c r="E8729" s="733"/>
    </row>
    <row r="8730" spans="2:5">
      <c r="B8730" s="121">
        <v>755</v>
      </c>
      <c r="C8730" s="121">
        <v>13</v>
      </c>
      <c r="D8730" s="734">
        <v>145.99102519288704</v>
      </c>
      <c r="E8730" s="733"/>
    </row>
    <row r="8731" spans="2:5">
      <c r="B8731" s="121">
        <v>755</v>
      </c>
      <c r="C8731" s="121">
        <v>14</v>
      </c>
      <c r="D8731" s="734">
        <v>144.65959081421306</v>
      </c>
      <c r="E8731" s="733"/>
    </row>
    <row r="8732" spans="2:5">
      <c r="B8732" s="121">
        <v>755</v>
      </c>
      <c r="C8732" s="121">
        <v>15</v>
      </c>
      <c r="D8732" s="734">
        <v>140.46931442208088</v>
      </c>
      <c r="E8732" s="733"/>
    </row>
    <row r="8733" spans="2:5">
      <c r="B8733" s="121">
        <v>755</v>
      </c>
      <c r="C8733" s="121">
        <v>16</v>
      </c>
      <c r="D8733" s="734">
        <v>142.20689378447952</v>
      </c>
      <c r="E8733" s="733"/>
    </row>
    <row r="8734" spans="2:5">
      <c r="B8734" s="121">
        <v>755</v>
      </c>
      <c r="C8734" s="121">
        <v>17</v>
      </c>
      <c r="D8734" s="734">
        <v>144.29923841576874</v>
      </c>
      <c r="E8734" s="733"/>
    </row>
    <row r="8735" spans="2:5">
      <c r="B8735" s="121">
        <v>755</v>
      </c>
      <c r="C8735" s="121">
        <v>18</v>
      </c>
      <c r="D8735" s="734">
        <v>146.07232698106051</v>
      </c>
      <c r="E8735" s="733"/>
    </row>
    <row r="8736" spans="2:5">
      <c r="B8736" s="121">
        <v>755</v>
      </c>
      <c r="C8736" s="121">
        <v>19</v>
      </c>
      <c r="D8736" s="734">
        <v>138.84571484327751</v>
      </c>
      <c r="E8736" s="733"/>
    </row>
    <row r="8737" spans="2:5">
      <c r="B8737" s="121">
        <v>755</v>
      </c>
      <c r="C8737" s="121">
        <v>20</v>
      </c>
      <c r="D8737" s="734">
        <v>145.59957134133296</v>
      </c>
      <c r="E8737" s="733"/>
    </row>
    <row r="8738" spans="2:5">
      <c r="B8738" s="121">
        <v>755</v>
      </c>
      <c r="C8738" s="121">
        <v>21</v>
      </c>
      <c r="D8738" s="734">
        <v>146.30891339240696</v>
      </c>
      <c r="E8738" s="733"/>
    </row>
    <row r="8739" spans="2:5">
      <c r="B8739" s="121">
        <v>755</v>
      </c>
      <c r="C8739" s="121">
        <v>22</v>
      </c>
      <c r="D8739" s="734">
        <v>137.62602126659689</v>
      </c>
      <c r="E8739" s="733"/>
    </row>
    <row r="8740" spans="2:5">
      <c r="B8740" s="121">
        <v>755</v>
      </c>
      <c r="C8740" s="121">
        <v>23</v>
      </c>
      <c r="D8740" s="734">
        <v>144.03903918091757</v>
      </c>
      <c r="E8740" s="733"/>
    </row>
    <row r="8741" spans="2:5">
      <c r="B8741" s="121">
        <v>755</v>
      </c>
      <c r="C8741" s="121">
        <v>24</v>
      </c>
      <c r="D8741" s="734">
        <v>135.71154480911301</v>
      </c>
      <c r="E8741" s="733"/>
    </row>
    <row r="8742" spans="2:5">
      <c r="B8742" s="121">
        <v>755</v>
      </c>
      <c r="C8742" s="121">
        <v>25</v>
      </c>
      <c r="D8742" s="734">
        <v>141.50090884812263</v>
      </c>
      <c r="E8742" s="733"/>
    </row>
    <row r="8743" spans="2:5">
      <c r="B8743" s="121">
        <v>755</v>
      </c>
      <c r="C8743" s="121">
        <v>26</v>
      </c>
      <c r="D8743" s="734">
        <v>140.07236551172068</v>
      </c>
      <c r="E8743" s="733"/>
    </row>
    <row r="8744" spans="2:5">
      <c r="B8744" s="121">
        <v>755</v>
      </c>
      <c r="C8744" s="121">
        <v>27</v>
      </c>
      <c r="D8744" s="734">
        <v>141.72629124828268</v>
      </c>
      <c r="E8744" s="733"/>
    </row>
    <row r="8745" spans="2:5">
      <c r="B8745" s="121">
        <v>755</v>
      </c>
      <c r="C8745" s="121">
        <v>28</v>
      </c>
      <c r="D8745" s="734">
        <v>134.96416007928744</v>
      </c>
      <c r="E8745" s="733"/>
    </row>
    <row r="8746" spans="2:5">
      <c r="B8746" s="121">
        <v>755</v>
      </c>
      <c r="C8746" s="121">
        <v>29</v>
      </c>
      <c r="D8746" s="734">
        <v>146.77668557512646</v>
      </c>
      <c r="E8746" s="733"/>
    </row>
    <row r="8747" spans="2:5">
      <c r="B8747" s="121">
        <v>755</v>
      </c>
      <c r="C8747" s="121">
        <v>30</v>
      </c>
      <c r="D8747" s="734">
        <v>139.70049384989616</v>
      </c>
      <c r="E8747" s="733"/>
    </row>
    <row r="8748" spans="2:5">
      <c r="B8748" s="121">
        <v>755</v>
      </c>
      <c r="C8748" s="121">
        <v>31</v>
      </c>
      <c r="D8748" s="734">
        <v>137.0503801586631</v>
      </c>
      <c r="E8748" s="733"/>
    </row>
    <row r="8749" spans="2:5">
      <c r="B8749" s="121">
        <v>755</v>
      </c>
      <c r="C8749" s="121">
        <v>32</v>
      </c>
      <c r="D8749" s="734">
        <v>138.83748030388051</v>
      </c>
      <c r="E8749" s="733"/>
    </row>
    <row r="8750" spans="2:5">
      <c r="B8750" s="121">
        <v>755</v>
      </c>
      <c r="C8750" s="121">
        <v>33</v>
      </c>
      <c r="D8750" s="734">
        <v>138.33320118781018</v>
      </c>
      <c r="E8750" s="733"/>
    </row>
    <row r="8751" spans="2:5">
      <c r="B8751" s="121">
        <v>755</v>
      </c>
      <c r="C8751" s="121">
        <v>34</v>
      </c>
      <c r="D8751" s="734">
        <v>137.95458279091613</v>
      </c>
      <c r="E8751" s="733"/>
    </row>
    <row r="8752" spans="2:5">
      <c r="B8752" s="121">
        <v>755</v>
      </c>
      <c r="C8752" s="121">
        <v>35</v>
      </c>
      <c r="D8752" s="734">
        <v>139.77435288673573</v>
      </c>
      <c r="E8752" s="733"/>
    </row>
    <row r="8753" spans="2:5">
      <c r="B8753" s="121">
        <v>755</v>
      </c>
      <c r="C8753" s="121">
        <v>36</v>
      </c>
      <c r="D8753" s="734">
        <v>144.8783457871769</v>
      </c>
      <c r="E8753" s="733"/>
    </row>
    <row r="8754" spans="2:5">
      <c r="B8754" s="121">
        <v>756</v>
      </c>
      <c r="C8754" s="121">
        <v>1</v>
      </c>
      <c r="D8754" s="734">
        <v>5</v>
      </c>
      <c r="E8754" s="733"/>
    </row>
    <row r="8755" spans="2:5">
      <c r="B8755" s="121">
        <v>757</v>
      </c>
      <c r="C8755" s="121">
        <v>1</v>
      </c>
      <c r="D8755" s="734">
        <v>5</v>
      </c>
      <c r="E8755" s="733"/>
    </row>
    <row r="8756" spans="2:5">
      <c r="B8756" s="121">
        <v>757</v>
      </c>
      <c r="C8756" s="121">
        <v>2</v>
      </c>
      <c r="D8756" s="734">
        <v>96.375581413643971</v>
      </c>
      <c r="E8756" s="733"/>
    </row>
    <row r="8757" spans="2:5">
      <c r="B8757" s="121">
        <v>757</v>
      </c>
      <c r="C8757" s="121">
        <v>3</v>
      </c>
      <c r="D8757" s="734">
        <v>116.82747680380758</v>
      </c>
      <c r="E8757" s="733"/>
    </row>
    <row r="8758" spans="2:5">
      <c r="B8758" s="121">
        <v>757</v>
      </c>
      <c r="C8758" s="121">
        <v>4</v>
      </c>
      <c r="D8758" s="734">
        <v>139.91403214276505</v>
      </c>
      <c r="E8758" s="733"/>
    </row>
    <row r="8759" spans="2:5">
      <c r="B8759" s="121">
        <v>757</v>
      </c>
      <c r="C8759" s="121">
        <v>5</v>
      </c>
      <c r="D8759" s="734">
        <v>145.01722401690949</v>
      </c>
      <c r="E8759" s="733"/>
    </row>
    <row r="8760" spans="2:5">
      <c r="B8760" s="121">
        <v>757</v>
      </c>
      <c r="C8760" s="121">
        <v>6</v>
      </c>
      <c r="D8760" s="734">
        <v>141.87469026294244</v>
      </c>
      <c r="E8760" s="733"/>
    </row>
    <row r="8761" spans="2:5">
      <c r="B8761" s="121">
        <v>757</v>
      </c>
      <c r="C8761" s="121">
        <v>7</v>
      </c>
      <c r="D8761" s="734">
        <v>145.80688843735996</v>
      </c>
      <c r="E8761" s="733"/>
    </row>
    <row r="8762" spans="2:5">
      <c r="B8762" s="121">
        <v>757</v>
      </c>
      <c r="C8762" s="121">
        <v>8</v>
      </c>
      <c r="D8762" s="734">
        <v>138.40075822792133</v>
      </c>
      <c r="E8762" s="733"/>
    </row>
    <row r="8763" spans="2:5">
      <c r="B8763" s="121">
        <v>757</v>
      </c>
      <c r="C8763" s="121">
        <v>9</v>
      </c>
      <c r="D8763" s="734">
        <v>134.34142483207754</v>
      </c>
      <c r="E8763" s="733"/>
    </row>
    <row r="8764" spans="2:5">
      <c r="B8764" s="121">
        <v>757</v>
      </c>
      <c r="C8764" s="121">
        <v>10</v>
      </c>
      <c r="D8764" s="734">
        <v>140.20217971181631</v>
      </c>
      <c r="E8764" s="733"/>
    </row>
    <row r="8765" spans="2:5">
      <c r="B8765" s="121">
        <v>757</v>
      </c>
      <c r="C8765" s="121">
        <v>11</v>
      </c>
      <c r="D8765" s="734">
        <v>139.58530987315584</v>
      </c>
      <c r="E8765" s="733"/>
    </row>
    <row r="8766" spans="2:5">
      <c r="B8766" s="121">
        <v>757</v>
      </c>
      <c r="C8766" s="121">
        <v>12</v>
      </c>
      <c r="D8766" s="734">
        <v>140.42867977745033</v>
      </c>
      <c r="E8766" s="733"/>
    </row>
    <row r="8767" spans="2:5">
      <c r="B8767" s="121">
        <v>757</v>
      </c>
      <c r="C8767" s="121">
        <v>13</v>
      </c>
      <c r="D8767" s="734">
        <v>138.85853158834675</v>
      </c>
      <c r="E8767" s="733"/>
    </row>
    <row r="8768" spans="2:5">
      <c r="B8768" s="121">
        <v>757</v>
      </c>
      <c r="C8768" s="121">
        <v>14</v>
      </c>
      <c r="D8768" s="734">
        <v>143.51145664982911</v>
      </c>
      <c r="E8768" s="733"/>
    </row>
    <row r="8769" spans="2:5">
      <c r="B8769" s="121">
        <v>757</v>
      </c>
      <c r="C8769" s="121">
        <v>15</v>
      </c>
      <c r="D8769" s="734">
        <v>134.53668781669356</v>
      </c>
      <c r="E8769" s="733"/>
    </row>
    <row r="8770" spans="2:5">
      <c r="B8770" s="121">
        <v>757</v>
      </c>
      <c r="C8770" s="121">
        <v>16</v>
      </c>
      <c r="D8770" s="734">
        <v>134.91125995298097</v>
      </c>
      <c r="E8770" s="733"/>
    </row>
    <row r="8771" spans="2:5">
      <c r="B8771" s="121">
        <v>757</v>
      </c>
      <c r="C8771" s="121">
        <v>17</v>
      </c>
      <c r="D8771" s="734">
        <v>135.31734428870516</v>
      </c>
      <c r="E8771" s="733"/>
    </row>
    <row r="8772" spans="2:5">
      <c r="B8772" s="121">
        <v>758</v>
      </c>
      <c r="C8772" s="121">
        <v>1</v>
      </c>
      <c r="D8772" s="734">
        <v>5</v>
      </c>
      <c r="E8772" s="733"/>
    </row>
    <row r="8773" spans="2:5">
      <c r="B8773" s="121">
        <v>758</v>
      </c>
      <c r="C8773" s="121">
        <v>2</v>
      </c>
      <c r="D8773" s="734">
        <v>99.580097746884917</v>
      </c>
      <c r="E8773" s="733"/>
    </row>
    <row r="8774" spans="2:5">
      <c r="B8774" s="121">
        <v>758</v>
      </c>
      <c r="C8774" s="121">
        <v>3</v>
      </c>
      <c r="D8774" s="734">
        <v>121.59836269537861</v>
      </c>
      <c r="E8774" s="733"/>
    </row>
    <row r="8775" spans="2:5">
      <c r="B8775" s="121">
        <v>758</v>
      </c>
      <c r="C8775" s="121">
        <v>4</v>
      </c>
      <c r="D8775" s="734">
        <v>143.76978376380546</v>
      </c>
      <c r="E8775" s="733"/>
    </row>
    <row r="8776" spans="2:5">
      <c r="B8776" s="121">
        <v>758</v>
      </c>
      <c r="C8776" s="121">
        <v>5</v>
      </c>
      <c r="D8776" s="734">
        <v>138.74079697822822</v>
      </c>
      <c r="E8776" s="733"/>
    </row>
    <row r="8777" spans="2:5">
      <c r="B8777" s="121">
        <v>758</v>
      </c>
      <c r="C8777" s="121">
        <v>6</v>
      </c>
      <c r="D8777" s="734">
        <v>137.18504616322076</v>
      </c>
      <c r="E8777" s="733"/>
    </row>
    <row r="8778" spans="2:5">
      <c r="B8778" s="121">
        <v>758</v>
      </c>
      <c r="C8778" s="121">
        <v>7</v>
      </c>
      <c r="D8778" s="734">
        <v>146.87805172431516</v>
      </c>
      <c r="E8778" s="733"/>
    </row>
    <row r="8779" spans="2:5">
      <c r="B8779" s="121">
        <v>758</v>
      </c>
      <c r="C8779" s="121">
        <v>8</v>
      </c>
      <c r="D8779" s="734">
        <v>145.46411103493278</v>
      </c>
      <c r="E8779" s="733"/>
    </row>
    <row r="8780" spans="2:5">
      <c r="B8780" s="121">
        <v>758</v>
      </c>
      <c r="C8780" s="121">
        <v>9</v>
      </c>
      <c r="D8780" s="734">
        <v>141.38009020436365</v>
      </c>
      <c r="E8780" s="733"/>
    </row>
    <row r="8781" spans="2:5">
      <c r="B8781" s="121">
        <v>758</v>
      </c>
      <c r="C8781" s="121">
        <v>10</v>
      </c>
      <c r="D8781" s="734">
        <v>140.62397629722278</v>
      </c>
      <c r="E8781" s="733"/>
    </row>
    <row r="8782" spans="2:5">
      <c r="B8782" s="121">
        <v>759</v>
      </c>
      <c r="C8782" s="121">
        <v>1</v>
      </c>
      <c r="D8782" s="734">
        <v>5</v>
      </c>
      <c r="E8782" s="733"/>
    </row>
    <row r="8783" spans="2:5">
      <c r="B8783" s="121">
        <v>759</v>
      </c>
      <c r="C8783" s="121">
        <v>2</v>
      </c>
      <c r="D8783" s="734">
        <v>99.06234251140468</v>
      </c>
      <c r="E8783" s="733"/>
    </row>
    <row r="8784" spans="2:5">
      <c r="B8784" s="121">
        <v>759</v>
      </c>
      <c r="C8784" s="121">
        <v>3</v>
      </c>
      <c r="D8784" s="734">
        <v>120.58372235320944</v>
      </c>
      <c r="E8784" s="733"/>
    </row>
    <row r="8785" spans="2:5">
      <c r="B8785" s="121">
        <v>759</v>
      </c>
      <c r="C8785" s="121">
        <v>4</v>
      </c>
      <c r="D8785" s="734">
        <v>133.70397919449888</v>
      </c>
      <c r="E8785" s="733"/>
    </row>
    <row r="8786" spans="2:5">
      <c r="B8786" s="121">
        <v>760</v>
      </c>
      <c r="C8786" s="121">
        <v>1</v>
      </c>
      <c r="D8786" s="734">
        <v>5</v>
      </c>
      <c r="E8786" s="733"/>
    </row>
    <row r="8787" spans="2:5">
      <c r="B8787" s="121">
        <v>760</v>
      </c>
      <c r="C8787" s="121">
        <v>2</v>
      </c>
      <c r="D8787" s="734">
        <v>94.352933771557716</v>
      </c>
      <c r="E8787" s="733"/>
    </row>
    <row r="8788" spans="2:5">
      <c r="B8788" s="121">
        <v>760</v>
      </c>
      <c r="C8788" s="121">
        <v>3</v>
      </c>
      <c r="D8788" s="734">
        <v>123.72199725724427</v>
      </c>
      <c r="E8788" s="733"/>
    </row>
    <row r="8789" spans="2:5">
      <c r="B8789" s="121">
        <v>760</v>
      </c>
      <c r="C8789" s="121">
        <v>4</v>
      </c>
      <c r="D8789" s="734">
        <v>139.73417158174703</v>
      </c>
      <c r="E8789" s="733"/>
    </row>
    <row r="8790" spans="2:5">
      <c r="B8790" s="121">
        <v>760</v>
      </c>
      <c r="C8790" s="121">
        <v>5</v>
      </c>
      <c r="D8790" s="734">
        <v>138.82811957432932</v>
      </c>
      <c r="E8790" s="733"/>
    </row>
    <row r="8791" spans="2:5">
      <c r="B8791" s="121">
        <v>760</v>
      </c>
      <c r="C8791" s="121">
        <v>6</v>
      </c>
      <c r="D8791" s="734">
        <v>136.40688970176203</v>
      </c>
      <c r="E8791" s="733"/>
    </row>
    <row r="8792" spans="2:5">
      <c r="B8792" s="121">
        <v>760</v>
      </c>
      <c r="C8792" s="121">
        <v>7</v>
      </c>
      <c r="D8792" s="734">
        <v>147.01135377571788</v>
      </c>
      <c r="E8792" s="733"/>
    </row>
    <row r="8793" spans="2:5">
      <c r="B8793" s="121">
        <v>760</v>
      </c>
      <c r="C8793" s="121">
        <v>8</v>
      </c>
      <c r="D8793" s="734">
        <v>139.56216983477353</v>
      </c>
      <c r="E8793" s="733"/>
    </row>
    <row r="8794" spans="2:5">
      <c r="B8794" s="121">
        <v>760</v>
      </c>
      <c r="C8794" s="121">
        <v>9</v>
      </c>
      <c r="D8794" s="734">
        <v>139.93134907087153</v>
      </c>
      <c r="E8794" s="733"/>
    </row>
    <row r="8795" spans="2:5">
      <c r="B8795" s="121">
        <v>760</v>
      </c>
      <c r="C8795" s="121">
        <v>10</v>
      </c>
      <c r="D8795" s="734">
        <v>145.45801628446657</v>
      </c>
      <c r="E8795" s="733"/>
    </row>
    <row r="8796" spans="2:5">
      <c r="B8796" s="121">
        <v>760</v>
      </c>
      <c r="C8796" s="121">
        <v>11</v>
      </c>
      <c r="D8796" s="734">
        <v>142.27580581858075</v>
      </c>
      <c r="E8796" s="733"/>
    </row>
    <row r="8797" spans="2:5">
      <c r="B8797" s="121">
        <v>760</v>
      </c>
      <c r="C8797" s="121">
        <v>12</v>
      </c>
      <c r="D8797" s="734">
        <v>138.02340473726906</v>
      </c>
      <c r="E8797" s="733"/>
    </row>
    <row r="8798" spans="2:5">
      <c r="B8798" s="121">
        <v>760</v>
      </c>
      <c r="C8798" s="121">
        <v>13</v>
      </c>
      <c r="D8798" s="734">
        <v>139.40013073891581</v>
      </c>
      <c r="E8798" s="733"/>
    </row>
    <row r="8799" spans="2:5">
      <c r="B8799" s="121">
        <v>760</v>
      </c>
      <c r="C8799" s="121">
        <v>14</v>
      </c>
      <c r="D8799" s="734">
        <v>146.64504654947817</v>
      </c>
      <c r="E8799" s="733"/>
    </row>
    <row r="8800" spans="2:5">
      <c r="B8800" s="121">
        <v>760</v>
      </c>
      <c r="C8800" s="121">
        <v>15</v>
      </c>
      <c r="D8800" s="734">
        <v>142.7088841271767</v>
      </c>
      <c r="E8800" s="733"/>
    </row>
    <row r="8801" spans="2:5">
      <c r="B8801" s="121">
        <v>760</v>
      </c>
      <c r="C8801" s="121">
        <v>16</v>
      </c>
      <c r="D8801" s="734">
        <v>146.10441563357497</v>
      </c>
      <c r="E8801" s="733"/>
    </row>
    <row r="8802" spans="2:5">
      <c r="B8802" s="121">
        <v>760</v>
      </c>
      <c r="C8802" s="121">
        <v>17</v>
      </c>
      <c r="D8802" s="734">
        <v>144.50962648254588</v>
      </c>
      <c r="E8802" s="733"/>
    </row>
    <row r="8803" spans="2:5">
      <c r="B8803" s="121">
        <v>760</v>
      </c>
      <c r="C8803" s="121">
        <v>18</v>
      </c>
      <c r="D8803" s="734">
        <v>138.28431539596528</v>
      </c>
      <c r="E8803" s="733"/>
    </row>
    <row r="8804" spans="2:5">
      <c r="B8804" s="121">
        <v>761</v>
      </c>
      <c r="C8804" s="121">
        <v>1</v>
      </c>
      <c r="D8804" s="734">
        <v>5</v>
      </c>
      <c r="E8804" s="733"/>
    </row>
    <row r="8805" spans="2:5">
      <c r="B8805" s="121">
        <v>761</v>
      </c>
      <c r="C8805" s="121">
        <v>2</v>
      </c>
      <c r="D8805" s="734">
        <v>100.00840171831784</v>
      </c>
      <c r="E8805" s="733"/>
    </row>
    <row r="8806" spans="2:5">
      <c r="B8806" s="121">
        <v>761</v>
      </c>
      <c r="C8806" s="121">
        <v>3</v>
      </c>
      <c r="D8806" s="734">
        <v>115.46303834155576</v>
      </c>
      <c r="E8806" s="733"/>
    </row>
    <row r="8807" spans="2:5">
      <c r="B8807" s="121">
        <v>761</v>
      </c>
      <c r="C8807" s="121">
        <v>4</v>
      </c>
      <c r="D8807" s="734">
        <v>138.78208109605288</v>
      </c>
      <c r="E8807" s="733"/>
    </row>
    <row r="8808" spans="2:5">
      <c r="B8808" s="121">
        <v>761</v>
      </c>
      <c r="C8808" s="121">
        <v>5</v>
      </c>
      <c r="D8808" s="734">
        <v>137.5442002601539</v>
      </c>
      <c r="E8808" s="733"/>
    </row>
    <row r="8809" spans="2:5">
      <c r="B8809" s="121">
        <v>761</v>
      </c>
      <c r="C8809" s="121">
        <v>6</v>
      </c>
      <c r="D8809" s="734">
        <v>137.63361684011866</v>
      </c>
      <c r="E8809" s="733"/>
    </row>
    <row r="8810" spans="2:5">
      <c r="B8810" s="121">
        <v>761</v>
      </c>
      <c r="C8810" s="121">
        <v>7</v>
      </c>
      <c r="D8810" s="734">
        <v>141.68189393533703</v>
      </c>
      <c r="E8810" s="733"/>
    </row>
    <row r="8811" spans="2:5">
      <c r="B8811" s="121">
        <v>761</v>
      </c>
      <c r="C8811" s="121">
        <v>8</v>
      </c>
      <c r="D8811" s="734">
        <v>143.45337525122184</v>
      </c>
      <c r="E8811" s="733"/>
    </row>
    <row r="8812" spans="2:5">
      <c r="B8812" s="121">
        <v>761</v>
      </c>
      <c r="C8812" s="121">
        <v>9</v>
      </c>
      <c r="D8812" s="734">
        <v>138.32884934045163</v>
      </c>
      <c r="E8812" s="733"/>
    </row>
    <row r="8813" spans="2:5">
      <c r="B8813" s="121">
        <v>761</v>
      </c>
      <c r="C8813" s="121">
        <v>10</v>
      </c>
      <c r="D8813" s="734">
        <v>147.21749819316798</v>
      </c>
      <c r="E8813" s="733"/>
    </row>
    <row r="8814" spans="2:5">
      <c r="B8814" s="121">
        <v>761</v>
      </c>
      <c r="C8814" s="121">
        <v>11</v>
      </c>
      <c r="D8814" s="734">
        <v>138.44737028551882</v>
      </c>
      <c r="E8814" s="733"/>
    </row>
    <row r="8815" spans="2:5">
      <c r="B8815" s="121">
        <v>761</v>
      </c>
      <c r="C8815" s="121">
        <v>12</v>
      </c>
      <c r="D8815" s="734">
        <v>137.71352582323075</v>
      </c>
      <c r="E8815" s="733"/>
    </row>
    <row r="8816" spans="2:5">
      <c r="B8816" s="121">
        <v>761</v>
      </c>
      <c r="C8816" s="121">
        <v>13</v>
      </c>
      <c r="D8816" s="734">
        <v>136.81593488148215</v>
      </c>
      <c r="E8816" s="733"/>
    </row>
    <row r="8817" spans="2:5">
      <c r="B8817" s="121">
        <v>761</v>
      </c>
      <c r="C8817" s="121">
        <v>14</v>
      </c>
      <c r="D8817" s="734">
        <v>144.34381369969111</v>
      </c>
      <c r="E8817" s="733"/>
    </row>
    <row r="8818" spans="2:5">
      <c r="B8818" s="121">
        <v>761</v>
      </c>
      <c r="C8818" s="121">
        <v>15</v>
      </c>
      <c r="D8818" s="734">
        <v>135.70540512771248</v>
      </c>
      <c r="E8818" s="733"/>
    </row>
    <row r="8819" spans="2:5">
      <c r="B8819" s="121">
        <v>761</v>
      </c>
      <c r="C8819" s="121">
        <v>16</v>
      </c>
      <c r="D8819" s="734">
        <v>142.47476935164264</v>
      </c>
      <c r="E8819" s="733"/>
    </row>
    <row r="8820" spans="2:5">
      <c r="B8820" s="121">
        <v>761</v>
      </c>
      <c r="C8820" s="121">
        <v>17</v>
      </c>
      <c r="D8820" s="734">
        <v>138.50173875885304</v>
      </c>
      <c r="E8820" s="733"/>
    </row>
    <row r="8821" spans="2:5">
      <c r="B8821" s="121">
        <v>761</v>
      </c>
      <c r="C8821" s="121">
        <v>18</v>
      </c>
      <c r="D8821" s="734">
        <v>135.87353533431607</v>
      </c>
      <c r="E8821" s="733"/>
    </row>
    <row r="8822" spans="2:5">
      <c r="B8822" s="121">
        <v>761</v>
      </c>
      <c r="C8822" s="121">
        <v>19</v>
      </c>
      <c r="D8822" s="734">
        <v>144.74073153516943</v>
      </c>
      <c r="E8822" s="733"/>
    </row>
    <row r="8823" spans="2:5">
      <c r="B8823" s="121">
        <v>761</v>
      </c>
      <c r="C8823" s="121">
        <v>20</v>
      </c>
      <c r="D8823" s="734">
        <v>143.89110678584561</v>
      </c>
      <c r="E8823" s="733"/>
    </row>
    <row r="8824" spans="2:5">
      <c r="B8824" s="121">
        <v>761</v>
      </c>
      <c r="C8824" s="121">
        <v>21</v>
      </c>
      <c r="D8824" s="734">
        <v>142.49702092063825</v>
      </c>
      <c r="E8824" s="733"/>
    </row>
    <row r="8825" spans="2:5">
      <c r="B8825" s="121">
        <v>761</v>
      </c>
      <c r="C8825" s="121">
        <v>22</v>
      </c>
      <c r="D8825" s="734">
        <v>144.34860251883055</v>
      </c>
      <c r="E8825" s="733"/>
    </row>
    <row r="8826" spans="2:5">
      <c r="B8826" s="121">
        <v>761</v>
      </c>
      <c r="C8826" s="121">
        <v>23</v>
      </c>
      <c r="D8826" s="734">
        <v>145.36661023367571</v>
      </c>
      <c r="E8826" s="733"/>
    </row>
    <row r="8827" spans="2:5">
      <c r="B8827" s="121">
        <v>761</v>
      </c>
      <c r="C8827" s="121">
        <v>24</v>
      </c>
      <c r="D8827" s="734">
        <v>135.45754131212388</v>
      </c>
      <c r="E8827" s="733"/>
    </row>
    <row r="8828" spans="2:5">
      <c r="B8828" s="121">
        <v>761</v>
      </c>
      <c r="C8828" s="121">
        <v>25</v>
      </c>
      <c r="D8828" s="734">
        <v>146.89743468931283</v>
      </c>
      <c r="E8828" s="733"/>
    </row>
    <row r="8829" spans="2:5">
      <c r="B8829" s="121">
        <v>761</v>
      </c>
      <c r="C8829" s="121">
        <v>26</v>
      </c>
      <c r="D8829" s="734">
        <v>142.22185510752414</v>
      </c>
      <c r="E8829" s="733"/>
    </row>
    <row r="8830" spans="2:5">
      <c r="B8830" s="121">
        <v>761</v>
      </c>
      <c r="C8830" s="121">
        <v>27</v>
      </c>
      <c r="D8830" s="734">
        <v>141.78007630155253</v>
      </c>
      <c r="E8830" s="733"/>
    </row>
    <row r="8831" spans="2:5">
      <c r="B8831" s="121">
        <v>761</v>
      </c>
      <c r="C8831" s="121">
        <v>28</v>
      </c>
      <c r="D8831" s="734">
        <v>145.63646824217753</v>
      </c>
      <c r="E8831" s="733"/>
    </row>
    <row r="8832" spans="2:5">
      <c r="B8832" s="121">
        <v>761</v>
      </c>
      <c r="C8832" s="121">
        <v>29</v>
      </c>
      <c r="D8832" s="734">
        <v>147.25417464183272</v>
      </c>
      <c r="E8832" s="733"/>
    </row>
    <row r="8833" spans="2:5">
      <c r="B8833" s="121">
        <v>761</v>
      </c>
      <c r="C8833" s="121">
        <v>30</v>
      </c>
      <c r="D8833" s="734">
        <v>138.72588579059666</v>
      </c>
      <c r="E8833" s="733"/>
    </row>
    <row r="8834" spans="2:5">
      <c r="B8834" s="121">
        <v>761</v>
      </c>
      <c r="C8834" s="121">
        <v>31</v>
      </c>
      <c r="D8834" s="734">
        <v>138.55158771914154</v>
      </c>
      <c r="E8834" s="733"/>
    </row>
    <row r="8835" spans="2:5">
      <c r="B8835" s="121">
        <v>761</v>
      </c>
      <c r="C8835" s="121">
        <v>32</v>
      </c>
      <c r="D8835" s="734">
        <v>144.47550294289894</v>
      </c>
      <c r="E8835" s="733"/>
    </row>
    <row r="8836" spans="2:5">
      <c r="B8836" s="121">
        <v>761</v>
      </c>
      <c r="C8836" s="121">
        <v>33</v>
      </c>
      <c r="D8836" s="734">
        <v>144.70307298232649</v>
      </c>
      <c r="E8836" s="733"/>
    </row>
    <row r="8837" spans="2:5">
      <c r="B8837" s="121">
        <v>761</v>
      </c>
      <c r="C8837" s="121">
        <v>34</v>
      </c>
      <c r="D8837" s="734">
        <v>146.26134357319239</v>
      </c>
      <c r="E8837" s="733"/>
    </row>
    <row r="8838" spans="2:5">
      <c r="B8838" s="121">
        <v>761</v>
      </c>
      <c r="C8838" s="121">
        <v>35</v>
      </c>
      <c r="D8838" s="734">
        <v>138.32966590915186</v>
      </c>
      <c r="E8838" s="733"/>
    </row>
    <row r="8839" spans="2:5">
      <c r="B8839" s="121">
        <v>761</v>
      </c>
      <c r="C8839" s="121">
        <v>36</v>
      </c>
      <c r="D8839" s="734">
        <v>138.70230100163803</v>
      </c>
      <c r="E8839" s="733"/>
    </row>
    <row r="8840" spans="2:5">
      <c r="B8840" s="121">
        <v>762</v>
      </c>
      <c r="C8840" s="121">
        <v>1</v>
      </c>
      <c r="D8840" s="734">
        <v>5</v>
      </c>
      <c r="E8840" s="733"/>
    </row>
    <row r="8841" spans="2:5">
      <c r="B8841" s="121">
        <v>762</v>
      </c>
      <c r="C8841" s="121">
        <v>2</v>
      </c>
      <c r="D8841" s="734">
        <v>95.884376088547299</v>
      </c>
      <c r="E8841" s="733"/>
    </row>
    <row r="8842" spans="2:5">
      <c r="B8842" s="121">
        <v>762</v>
      </c>
      <c r="C8842" s="121">
        <v>3</v>
      </c>
      <c r="D8842" s="734">
        <v>124.8315555085953</v>
      </c>
      <c r="E8842" s="733"/>
    </row>
    <row r="8843" spans="2:5">
      <c r="B8843" s="121">
        <v>762</v>
      </c>
      <c r="C8843" s="121">
        <v>4</v>
      </c>
      <c r="D8843" s="734">
        <v>138.89757900790582</v>
      </c>
      <c r="E8843" s="733"/>
    </row>
    <row r="8844" spans="2:5">
      <c r="B8844" s="121">
        <v>762</v>
      </c>
      <c r="C8844" s="121">
        <v>5</v>
      </c>
      <c r="D8844" s="734">
        <v>138.19496569978588</v>
      </c>
      <c r="E8844" s="733"/>
    </row>
    <row r="8845" spans="2:5">
      <c r="B8845" s="121">
        <v>762</v>
      </c>
      <c r="C8845" s="121">
        <v>6</v>
      </c>
      <c r="D8845" s="734">
        <v>143.49082565580073</v>
      </c>
      <c r="E8845" s="733"/>
    </row>
    <row r="8846" spans="2:5">
      <c r="B8846" s="121">
        <v>762</v>
      </c>
      <c r="C8846" s="121">
        <v>7</v>
      </c>
      <c r="D8846" s="734">
        <v>136.69609728556301</v>
      </c>
      <c r="E8846" s="733"/>
    </row>
    <row r="8847" spans="2:5">
      <c r="B8847" s="121">
        <v>762</v>
      </c>
      <c r="C8847" s="121">
        <v>8</v>
      </c>
      <c r="D8847" s="734">
        <v>144.24121417714255</v>
      </c>
      <c r="E8847" s="733"/>
    </row>
    <row r="8848" spans="2:5">
      <c r="B8848" s="121">
        <v>762</v>
      </c>
      <c r="C8848" s="121">
        <v>9</v>
      </c>
      <c r="D8848" s="734">
        <v>145.75563682610579</v>
      </c>
      <c r="E8848" s="733"/>
    </row>
    <row r="8849" spans="2:5">
      <c r="B8849" s="121">
        <v>762</v>
      </c>
      <c r="C8849" s="121">
        <v>10</v>
      </c>
      <c r="D8849" s="734">
        <v>136.72085210116427</v>
      </c>
      <c r="E8849" s="733"/>
    </row>
    <row r="8850" spans="2:5">
      <c r="B8850" s="121">
        <v>762</v>
      </c>
      <c r="C8850" s="121">
        <v>11</v>
      </c>
      <c r="D8850" s="734">
        <v>134.00603203989317</v>
      </c>
      <c r="E8850" s="733"/>
    </row>
    <row r="8851" spans="2:5">
      <c r="B8851" s="121">
        <v>762</v>
      </c>
      <c r="C8851" s="121">
        <v>12</v>
      </c>
      <c r="D8851" s="734">
        <v>137.68477958489942</v>
      </c>
      <c r="E8851" s="733"/>
    </row>
    <row r="8852" spans="2:5">
      <c r="B8852" s="121">
        <v>763</v>
      </c>
      <c r="C8852" s="121">
        <v>1</v>
      </c>
      <c r="D8852" s="734">
        <v>5</v>
      </c>
      <c r="E8852" s="733"/>
    </row>
    <row r="8853" spans="2:5">
      <c r="B8853" s="121">
        <v>763</v>
      </c>
      <c r="C8853" s="121">
        <v>2</v>
      </c>
      <c r="D8853" s="734">
        <v>101.58066060898501</v>
      </c>
      <c r="E8853" s="733"/>
    </row>
    <row r="8854" spans="2:5">
      <c r="B8854" s="121">
        <v>763</v>
      </c>
      <c r="C8854" s="121">
        <v>3</v>
      </c>
      <c r="D8854" s="734">
        <v>121.12999947781954</v>
      </c>
      <c r="E8854" s="733"/>
    </row>
    <row r="8855" spans="2:5">
      <c r="B8855" s="121">
        <v>763</v>
      </c>
      <c r="C8855" s="121">
        <v>4</v>
      </c>
      <c r="D8855" s="734">
        <v>139.06186468698556</v>
      </c>
      <c r="E8855" s="733"/>
    </row>
    <row r="8856" spans="2:5">
      <c r="B8856" s="121">
        <v>763</v>
      </c>
      <c r="C8856" s="121">
        <v>5</v>
      </c>
      <c r="D8856" s="734">
        <v>144.29451759032105</v>
      </c>
      <c r="E8856" s="733"/>
    </row>
    <row r="8857" spans="2:5">
      <c r="B8857" s="121">
        <v>763</v>
      </c>
      <c r="C8857" s="121">
        <v>6</v>
      </c>
      <c r="D8857" s="734">
        <v>140.83802995517902</v>
      </c>
      <c r="E8857" s="733"/>
    </row>
    <row r="8858" spans="2:5">
      <c r="B8858" s="121">
        <v>763</v>
      </c>
      <c r="C8858" s="121">
        <v>7</v>
      </c>
      <c r="D8858" s="734">
        <v>139.49063060701891</v>
      </c>
      <c r="E8858" s="733"/>
    </row>
    <row r="8859" spans="2:5">
      <c r="B8859" s="121">
        <v>763</v>
      </c>
      <c r="C8859" s="121">
        <v>8</v>
      </c>
      <c r="D8859" s="734">
        <v>139.36204100924488</v>
      </c>
      <c r="E8859" s="733"/>
    </row>
    <row r="8860" spans="2:5">
      <c r="B8860" s="121">
        <v>763</v>
      </c>
      <c r="C8860" s="121">
        <v>9</v>
      </c>
      <c r="D8860" s="734">
        <v>134.56883334565202</v>
      </c>
      <c r="E8860" s="733"/>
    </row>
    <row r="8861" spans="2:5">
      <c r="B8861" s="121">
        <v>763</v>
      </c>
      <c r="C8861" s="121">
        <v>10</v>
      </c>
      <c r="D8861" s="734">
        <v>135.57598919067129</v>
      </c>
      <c r="E8861" s="733"/>
    </row>
    <row r="8862" spans="2:5">
      <c r="B8862" s="121">
        <v>763</v>
      </c>
      <c r="C8862" s="121">
        <v>11</v>
      </c>
      <c r="D8862" s="734">
        <v>136.17926300553779</v>
      </c>
      <c r="E8862" s="733"/>
    </row>
    <row r="8863" spans="2:5">
      <c r="B8863" s="121">
        <v>763</v>
      </c>
      <c r="C8863" s="121">
        <v>12</v>
      </c>
      <c r="D8863" s="734">
        <v>143.41987453652848</v>
      </c>
      <c r="E8863" s="733"/>
    </row>
    <row r="8864" spans="2:5">
      <c r="B8864" s="121">
        <v>763</v>
      </c>
      <c r="C8864" s="121">
        <v>13</v>
      </c>
      <c r="D8864" s="734">
        <v>137.75514512618406</v>
      </c>
      <c r="E8864" s="733"/>
    </row>
    <row r="8865" spans="2:5">
      <c r="B8865" s="121">
        <v>763</v>
      </c>
      <c r="C8865" s="121">
        <v>14</v>
      </c>
      <c r="D8865" s="734">
        <v>146.48517831662858</v>
      </c>
      <c r="E8865" s="733"/>
    </row>
    <row r="8866" spans="2:5">
      <c r="B8866" s="121">
        <v>763</v>
      </c>
      <c r="C8866" s="121">
        <v>15</v>
      </c>
      <c r="D8866" s="734">
        <v>137.07118618041815</v>
      </c>
      <c r="E8866" s="733"/>
    </row>
    <row r="8867" spans="2:5">
      <c r="B8867" s="121">
        <v>763</v>
      </c>
      <c r="C8867" s="121">
        <v>16</v>
      </c>
      <c r="D8867" s="734">
        <v>138.95379220245383</v>
      </c>
      <c r="E8867" s="733"/>
    </row>
    <row r="8868" spans="2:5">
      <c r="B8868" s="121">
        <v>763</v>
      </c>
      <c r="C8868" s="121">
        <v>17</v>
      </c>
      <c r="D8868" s="734">
        <v>142.213352738212</v>
      </c>
      <c r="E8868" s="733"/>
    </row>
    <row r="8869" spans="2:5">
      <c r="B8869" s="121">
        <v>763</v>
      </c>
      <c r="C8869" s="121">
        <v>18</v>
      </c>
      <c r="D8869" s="734">
        <v>144.50859905073159</v>
      </c>
      <c r="E8869" s="733"/>
    </row>
    <row r="8870" spans="2:5">
      <c r="B8870" s="121">
        <v>763</v>
      </c>
      <c r="C8870" s="121">
        <v>19</v>
      </c>
      <c r="D8870" s="734">
        <v>139.04031868986647</v>
      </c>
      <c r="E8870" s="733"/>
    </row>
    <row r="8871" spans="2:5">
      <c r="B8871" s="121">
        <v>763</v>
      </c>
      <c r="C8871" s="121">
        <v>20</v>
      </c>
      <c r="D8871" s="734">
        <v>138.71301335045112</v>
      </c>
      <c r="E8871" s="733"/>
    </row>
    <row r="8872" spans="2:5">
      <c r="B8872" s="121">
        <v>763</v>
      </c>
      <c r="C8872" s="121">
        <v>21</v>
      </c>
      <c r="D8872" s="734">
        <v>146.05998246925463</v>
      </c>
      <c r="E8872" s="733"/>
    </row>
    <row r="8873" spans="2:5">
      <c r="B8873" s="121">
        <v>763</v>
      </c>
      <c r="C8873" s="121">
        <v>22</v>
      </c>
      <c r="D8873" s="734">
        <v>142.69855974380471</v>
      </c>
      <c r="E8873" s="733"/>
    </row>
    <row r="8874" spans="2:5">
      <c r="B8874" s="121">
        <v>763</v>
      </c>
      <c r="C8874" s="121">
        <v>23</v>
      </c>
      <c r="D8874" s="734">
        <v>146.67554545264599</v>
      </c>
      <c r="E8874" s="733"/>
    </row>
    <row r="8875" spans="2:5">
      <c r="B8875" s="121">
        <v>763</v>
      </c>
      <c r="C8875" s="121">
        <v>24</v>
      </c>
      <c r="D8875" s="734">
        <v>145.310852255892</v>
      </c>
      <c r="E8875" s="733"/>
    </row>
    <row r="8876" spans="2:5">
      <c r="B8876" s="121">
        <v>763</v>
      </c>
      <c r="C8876" s="121">
        <v>25</v>
      </c>
      <c r="D8876" s="734">
        <v>135.5208757193389</v>
      </c>
      <c r="E8876" s="733"/>
    </row>
    <row r="8877" spans="2:5">
      <c r="B8877" s="121">
        <v>764</v>
      </c>
      <c r="C8877" s="121">
        <v>1</v>
      </c>
      <c r="D8877" s="734">
        <v>5</v>
      </c>
      <c r="E8877" s="733"/>
    </row>
    <row r="8878" spans="2:5">
      <c r="B8878" s="121">
        <v>764</v>
      </c>
      <c r="C8878" s="121">
        <v>2</v>
      </c>
      <c r="D8878" s="734">
        <v>102.31134402207604</v>
      </c>
      <c r="E8878" s="733"/>
    </row>
    <row r="8879" spans="2:5">
      <c r="B8879" s="121">
        <v>764</v>
      </c>
      <c r="C8879" s="121">
        <v>3</v>
      </c>
      <c r="D8879" s="734">
        <v>121.69231223879665</v>
      </c>
      <c r="E8879" s="733"/>
    </row>
    <row r="8880" spans="2:5">
      <c r="B8880" s="121">
        <v>764</v>
      </c>
      <c r="C8880" s="121">
        <v>4</v>
      </c>
      <c r="D8880" s="734">
        <v>146.05497823329168</v>
      </c>
      <c r="E8880" s="733"/>
    </row>
    <row r="8881" spans="2:5">
      <c r="B8881" s="121">
        <v>764</v>
      </c>
      <c r="C8881" s="121">
        <v>5</v>
      </c>
      <c r="D8881" s="734">
        <v>144.70330114633958</v>
      </c>
      <c r="E8881" s="733"/>
    </row>
    <row r="8882" spans="2:5">
      <c r="B8882" s="121">
        <v>764</v>
      </c>
      <c r="C8882" s="121">
        <v>6</v>
      </c>
      <c r="D8882" s="734">
        <v>145.50371210188462</v>
      </c>
      <c r="E8882" s="733"/>
    </row>
    <row r="8883" spans="2:5">
      <c r="B8883" s="121">
        <v>764</v>
      </c>
      <c r="C8883" s="121">
        <v>7</v>
      </c>
      <c r="D8883" s="734">
        <v>145.34778058775552</v>
      </c>
      <c r="E8883" s="733"/>
    </row>
    <row r="8884" spans="2:5">
      <c r="B8884" s="121">
        <v>764</v>
      </c>
      <c r="C8884" s="121">
        <v>8</v>
      </c>
      <c r="D8884" s="734">
        <v>143.77337385853437</v>
      </c>
      <c r="E8884" s="733"/>
    </row>
    <row r="8885" spans="2:5">
      <c r="B8885" s="121">
        <v>764</v>
      </c>
      <c r="C8885" s="121">
        <v>9</v>
      </c>
      <c r="D8885" s="734">
        <v>139.60653717502865</v>
      </c>
      <c r="E8885" s="733"/>
    </row>
    <row r="8886" spans="2:5">
      <c r="B8886" s="121">
        <v>764</v>
      </c>
      <c r="C8886" s="121">
        <v>10</v>
      </c>
      <c r="D8886" s="734">
        <v>146.50083209007849</v>
      </c>
      <c r="E8886" s="733"/>
    </row>
    <row r="8887" spans="2:5">
      <c r="B8887" s="121">
        <v>764</v>
      </c>
      <c r="C8887" s="121">
        <v>11</v>
      </c>
      <c r="D8887" s="734">
        <v>143.54145574477485</v>
      </c>
      <c r="E8887" s="733"/>
    </row>
    <row r="8888" spans="2:5">
      <c r="B8888" s="121">
        <v>764</v>
      </c>
      <c r="C8888" s="121">
        <v>12</v>
      </c>
      <c r="D8888" s="734">
        <v>143.48546025565707</v>
      </c>
      <c r="E8888" s="733"/>
    </row>
    <row r="8889" spans="2:5">
      <c r="B8889" s="121">
        <v>764</v>
      </c>
      <c r="C8889" s="121">
        <v>13</v>
      </c>
      <c r="D8889" s="734">
        <v>137.76012507178584</v>
      </c>
      <c r="E8889" s="733"/>
    </row>
    <row r="8890" spans="2:5">
      <c r="B8890" s="121">
        <v>764</v>
      </c>
      <c r="C8890" s="121">
        <v>14</v>
      </c>
      <c r="D8890" s="734">
        <v>134.28298641822406</v>
      </c>
      <c r="E8890" s="733"/>
    </row>
    <row r="8891" spans="2:5">
      <c r="B8891" s="121">
        <v>764</v>
      </c>
      <c r="C8891" s="121">
        <v>15</v>
      </c>
      <c r="D8891" s="734">
        <v>134.2756800991591</v>
      </c>
      <c r="E8891" s="733"/>
    </row>
    <row r="8892" spans="2:5">
      <c r="B8892" s="121">
        <v>764</v>
      </c>
      <c r="C8892" s="121">
        <v>16</v>
      </c>
      <c r="D8892" s="734">
        <v>135.69543610985255</v>
      </c>
      <c r="E8892" s="733"/>
    </row>
    <row r="8893" spans="2:5">
      <c r="B8893" s="121">
        <v>764</v>
      </c>
      <c r="C8893" s="121">
        <v>17</v>
      </c>
      <c r="D8893" s="734">
        <v>138.5521994903761</v>
      </c>
      <c r="E8893" s="733"/>
    </row>
    <row r="8894" spans="2:5">
      <c r="B8894" s="121">
        <v>764</v>
      </c>
      <c r="C8894" s="121">
        <v>18</v>
      </c>
      <c r="D8894" s="734">
        <v>137.82656937003091</v>
      </c>
      <c r="E8894" s="733"/>
    </row>
    <row r="8895" spans="2:5">
      <c r="B8895" s="121">
        <v>764</v>
      </c>
      <c r="C8895" s="121">
        <v>19</v>
      </c>
      <c r="D8895" s="734">
        <v>138.92137864094306</v>
      </c>
      <c r="E8895" s="733"/>
    </row>
    <row r="8896" spans="2:5">
      <c r="B8896" s="121">
        <v>764</v>
      </c>
      <c r="C8896" s="121">
        <v>20</v>
      </c>
      <c r="D8896" s="734">
        <v>144.58708736509877</v>
      </c>
      <c r="E8896" s="733"/>
    </row>
    <row r="8897" spans="2:5">
      <c r="B8897" s="121">
        <v>764</v>
      </c>
      <c r="C8897" s="121">
        <v>21</v>
      </c>
      <c r="D8897" s="734">
        <v>137.94684800109289</v>
      </c>
      <c r="E8897" s="733"/>
    </row>
    <row r="8898" spans="2:5">
      <c r="B8898" s="121">
        <v>764</v>
      </c>
      <c r="C8898" s="121">
        <v>22</v>
      </c>
      <c r="D8898" s="734">
        <v>147.26293080877727</v>
      </c>
      <c r="E8898" s="733"/>
    </row>
    <row r="8899" spans="2:5">
      <c r="B8899" s="121">
        <v>764</v>
      </c>
      <c r="C8899" s="121">
        <v>23</v>
      </c>
      <c r="D8899" s="734">
        <v>140.94293561145645</v>
      </c>
      <c r="E8899" s="733"/>
    </row>
    <row r="8900" spans="2:5">
      <c r="B8900" s="121">
        <v>764</v>
      </c>
      <c r="C8900" s="121">
        <v>24</v>
      </c>
      <c r="D8900" s="734">
        <v>142.68967289722283</v>
      </c>
      <c r="E8900" s="733"/>
    </row>
    <row r="8901" spans="2:5">
      <c r="B8901" s="121">
        <v>764</v>
      </c>
      <c r="C8901" s="121">
        <v>25</v>
      </c>
      <c r="D8901" s="734">
        <v>134.7794889595491</v>
      </c>
      <c r="E8901" s="733"/>
    </row>
    <row r="8902" spans="2:5">
      <c r="B8902" s="121">
        <v>764</v>
      </c>
      <c r="C8902" s="121">
        <v>26</v>
      </c>
      <c r="D8902" s="734">
        <v>134.47932983637227</v>
      </c>
      <c r="E8902" s="733"/>
    </row>
    <row r="8903" spans="2:5">
      <c r="B8903" s="121">
        <v>764</v>
      </c>
      <c r="C8903" s="121">
        <v>27</v>
      </c>
      <c r="D8903" s="734">
        <v>141.91734349825077</v>
      </c>
      <c r="E8903" s="733"/>
    </row>
    <row r="8904" spans="2:5">
      <c r="B8904" s="121">
        <v>764</v>
      </c>
      <c r="C8904" s="121">
        <v>28</v>
      </c>
      <c r="D8904" s="734">
        <v>145.96273455252518</v>
      </c>
      <c r="E8904" s="733"/>
    </row>
    <row r="8905" spans="2:5">
      <c r="B8905" s="121">
        <v>764</v>
      </c>
      <c r="C8905" s="121">
        <v>29</v>
      </c>
      <c r="D8905" s="734">
        <v>140.39244478707823</v>
      </c>
      <c r="E8905" s="733"/>
    </row>
    <row r="8906" spans="2:5">
      <c r="B8906" s="121">
        <v>764</v>
      </c>
      <c r="C8906" s="121">
        <v>30</v>
      </c>
      <c r="D8906" s="734">
        <v>140.77392407518442</v>
      </c>
      <c r="E8906" s="733"/>
    </row>
    <row r="8907" spans="2:5">
      <c r="B8907" s="121">
        <v>764</v>
      </c>
      <c r="C8907" s="121">
        <v>31</v>
      </c>
      <c r="D8907" s="734">
        <v>145.21790466157552</v>
      </c>
      <c r="E8907" s="733"/>
    </row>
    <row r="8908" spans="2:5">
      <c r="B8908" s="121">
        <v>764</v>
      </c>
      <c r="C8908" s="121">
        <v>32</v>
      </c>
      <c r="D8908" s="734">
        <v>136.3953611605277</v>
      </c>
      <c r="E8908" s="733"/>
    </row>
    <row r="8909" spans="2:5">
      <c r="B8909" s="121">
        <v>764</v>
      </c>
      <c r="C8909" s="121">
        <v>33</v>
      </c>
      <c r="D8909" s="734">
        <v>136.86544804767553</v>
      </c>
      <c r="E8909" s="733"/>
    </row>
    <row r="8910" spans="2:5">
      <c r="B8910" s="121">
        <v>764</v>
      </c>
      <c r="C8910" s="121">
        <v>34</v>
      </c>
      <c r="D8910" s="734">
        <v>147.08839360743028</v>
      </c>
      <c r="E8910" s="733"/>
    </row>
    <row r="8911" spans="2:5">
      <c r="B8911" s="121">
        <v>764</v>
      </c>
      <c r="C8911" s="121">
        <v>35</v>
      </c>
      <c r="D8911" s="734">
        <v>141.51611406593344</v>
      </c>
      <c r="E8911" s="733"/>
    </row>
    <row r="8912" spans="2:5">
      <c r="B8912" s="121">
        <v>764</v>
      </c>
      <c r="C8912" s="121">
        <v>36</v>
      </c>
      <c r="D8912" s="734">
        <v>135.28302334090347</v>
      </c>
      <c r="E8912" s="733"/>
    </row>
    <row r="8913" spans="2:5">
      <c r="B8913" s="121">
        <v>765</v>
      </c>
      <c r="C8913" s="121">
        <v>1</v>
      </c>
      <c r="D8913" s="734">
        <v>5</v>
      </c>
      <c r="E8913" s="733"/>
    </row>
    <row r="8914" spans="2:5">
      <c r="B8914" s="121">
        <v>765</v>
      </c>
      <c r="C8914" s="121">
        <v>2</v>
      </c>
      <c r="D8914" s="734">
        <v>101.30757858616835</v>
      </c>
      <c r="E8914" s="733"/>
    </row>
    <row r="8915" spans="2:5">
      <c r="B8915" s="121">
        <v>765</v>
      </c>
      <c r="C8915" s="121">
        <v>3</v>
      </c>
      <c r="D8915" s="734">
        <v>122.80165449119505</v>
      </c>
      <c r="E8915" s="733"/>
    </row>
    <row r="8916" spans="2:5">
      <c r="B8916" s="121">
        <v>765</v>
      </c>
      <c r="C8916" s="121">
        <v>4</v>
      </c>
      <c r="D8916" s="734">
        <v>145.51354500190484</v>
      </c>
      <c r="E8916" s="733"/>
    </row>
    <row r="8917" spans="2:5">
      <c r="B8917" s="121">
        <v>765</v>
      </c>
      <c r="C8917" s="121">
        <v>5</v>
      </c>
      <c r="D8917" s="734">
        <v>140.84439442452225</v>
      </c>
      <c r="E8917" s="733"/>
    </row>
    <row r="8918" spans="2:5">
      <c r="B8918" s="121">
        <v>765</v>
      </c>
      <c r="C8918" s="121">
        <v>6</v>
      </c>
      <c r="D8918" s="734">
        <v>134.41609510802866</v>
      </c>
      <c r="E8918" s="733"/>
    </row>
    <row r="8919" spans="2:5">
      <c r="B8919" s="121">
        <v>765</v>
      </c>
      <c r="C8919" s="121">
        <v>7</v>
      </c>
      <c r="D8919" s="734">
        <v>143.64594990660166</v>
      </c>
      <c r="E8919" s="733"/>
    </row>
    <row r="8920" spans="2:5">
      <c r="B8920" s="121">
        <v>765</v>
      </c>
      <c r="C8920" s="121">
        <v>8</v>
      </c>
      <c r="D8920" s="734">
        <v>134.37293225832028</v>
      </c>
      <c r="E8920" s="733"/>
    </row>
    <row r="8921" spans="2:5">
      <c r="B8921" s="121">
        <v>765</v>
      </c>
      <c r="C8921" s="121">
        <v>9</v>
      </c>
      <c r="D8921" s="734">
        <v>136.89272345751985</v>
      </c>
      <c r="E8921" s="733"/>
    </row>
    <row r="8922" spans="2:5">
      <c r="B8922" s="121">
        <v>765</v>
      </c>
      <c r="C8922" s="121">
        <v>10</v>
      </c>
      <c r="D8922" s="734">
        <v>137.68475240308109</v>
      </c>
      <c r="E8922" s="733"/>
    </row>
    <row r="8923" spans="2:5">
      <c r="B8923" s="121">
        <v>765</v>
      </c>
      <c r="C8923" s="121">
        <v>11</v>
      </c>
      <c r="D8923" s="734">
        <v>138.22075320753245</v>
      </c>
      <c r="E8923" s="733"/>
    </row>
    <row r="8924" spans="2:5">
      <c r="B8924" s="121">
        <v>765</v>
      </c>
      <c r="C8924" s="121">
        <v>12</v>
      </c>
      <c r="D8924" s="734">
        <v>144.53543672995337</v>
      </c>
      <c r="E8924" s="733"/>
    </row>
    <row r="8925" spans="2:5">
      <c r="B8925" s="121">
        <v>765</v>
      </c>
      <c r="C8925" s="121">
        <v>13</v>
      </c>
      <c r="D8925" s="734">
        <v>145.54573278364359</v>
      </c>
      <c r="E8925" s="733"/>
    </row>
    <row r="8926" spans="2:5">
      <c r="B8926" s="121">
        <v>765</v>
      </c>
      <c r="C8926" s="121">
        <v>14</v>
      </c>
      <c r="D8926" s="734">
        <v>136.63139825283173</v>
      </c>
      <c r="E8926" s="733"/>
    </row>
    <row r="8927" spans="2:5">
      <c r="B8927" s="121">
        <v>765</v>
      </c>
      <c r="C8927" s="121">
        <v>15</v>
      </c>
      <c r="D8927" s="734">
        <v>136.98661341793672</v>
      </c>
      <c r="E8927" s="733"/>
    </row>
    <row r="8928" spans="2:5">
      <c r="B8928" s="121">
        <v>765</v>
      </c>
      <c r="C8928" s="121">
        <v>16</v>
      </c>
      <c r="D8928" s="734">
        <v>134.75780450161491</v>
      </c>
      <c r="E8928" s="733"/>
    </row>
    <row r="8929" spans="2:5">
      <c r="B8929" s="121">
        <v>765</v>
      </c>
      <c r="C8929" s="121">
        <v>17</v>
      </c>
      <c r="D8929" s="734">
        <v>143.33290082251528</v>
      </c>
      <c r="E8929" s="733"/>
    </row>
    <row r="8930" spans="2:5">
      <c r="B8930" s="121">
        <v>765</v>
      </c>
      <c r="C8930" s="121">
        <v>18</v>
      </c>
      <c r="D8930" s="734">
        <v>142.56979054858542</v>
      </c>
      <c r="E8930" s="733"/>
    </row>
    <row r="8931" spans="2:5">
      <c r="B8931" s="121">
        <v>765</v>
      </c>
      <c r="C8931" s="121">
        <v>19</v>
      </c>
      <c r="D8931" s="734">
        <v>138.79886213799162</v>
      </c>
      <c r="E8931" s="733"/>
    </row>
    <row r="8932" spans="2:5">
      <c r="B8932" s="121">
        <v>765</v>
      </c>
      <c r="C8932" s="121">
        <v>20</v>
      </c>
      <c r="D8932" s="734">
        <v>143.33756251717534</v>
      </c>
      <c r="E8932" s="733"/>
    </row>
    <row r="8933" spans="2:5">
      <c r="B8933" s="121">
        <v>765</v>
      </c>
      <c r="C8933" s="121">
        <v>21</v>
      </c>
      <c r="D8933" s="734">
        <v>143.05912770551151</v>
      </c>
      <c r="E8933" s="733"/>
    </row>
    <row r="8934" spans="2:5">
      <c r="B8934" s="121">
        <v>765</v>
      </c>
      <c r="C8934" s="121">
        <v>22</v>
      </c>
      <c r="D8934" s="734">
        <v>139.98634070847922</v>
      </c>
      <c r="E8934" s="733"/>
    </row>
    <row r="8935" spans="2:5">
      <c r="B8935" s="121">
        <v>766</v>
      </c>
      <c r="C8935" s="121">
        <v>1</v>
      </c>
      <c r="D8935" s="734">
        <v>5</v>
      </c>
      <c r="E8935" s="733"/>
    </row>
    <row r="8936" spans="2:5">
      <c r="B8936" s="121">
        <v>766</v>
      </c>
      <c r="C8936" s="121">
        <v>2</v>
      </c>
      <c r="D8936" s="734">
        <v>98.256915146563429</v>
      </c>
      <c r="E8936" s="733"/>
    </row>
    <row r="8937" spans="2:5">
      <c r="B8937" s="121">
        <v>766</v>
      </c>
      <c r="C8937" s="121">
        <v>3</v>
      </c>
      <c r="D8937" s="734">
        <v>114.70468053336353</v>
      </c>
      <c r="E8937" s="733"/>
    </row>
    <row r="8938" spans="2:5">
      <c r="B8938" s="121">
        <v>766</v>
      </c>
      <c r="C8938" s="121">
        <v>4</v>
      </c>
      <c r="D8938" s="734">
        <v>139.31819581980201</v>
      </c>
      <c r="E8938" s="733"/>
    </row>
    <row r="8939" spans="2:5">
      <c r="B8939" s="121">
        <v>766</v>
      </c>
      <c r="C8939" s="121">
        <v>5</v>
      </c>
      <c r="D8939" s="734">
        <v>142.58302059498178</v>
      </c>
      <c r="E8939" s="733"/>
    </row>
    <row r="8940" spans="2:5">
      <c r="B8940" s="121">
        <v>766</v>
      </c>
      <c r="C8940" s="121">
        <v>6</v>
      </c>
      <c r="D8940" s="734">
        <v>142.77634934686967</v>
      </c>
      <c r="E8940" s="733"/>
    </row>
    <row r="8941" spans="2:5">
      <c r="B8941" s="121">
        <v>766</v>
      </c>
      <c r="C8941" s="121">
        <v>7</v>
      </c>
      <c r="D8941" s="734">
        <v>135.03807254020336</v>
      </c>
      <c r="E8941" s="733"/>
    </row>
    <row r="8942" spans="2:5">
      <c r="B8942" s="121">
        <v>766</v>
      </c>
      <c r="C8942" s="121">
        <v>8</v>
      </c>
      <c r="D8942" s="734">
        <v>140.75276453285591</v>
      </c>
      <c r="E8942" s="733"/>
    </row>
    <row r="8943" spans="2:5">
      <c r="B8943" s="121">
        <v>767</v>
      </c>
      <c r="C8943" s="121">
        <v>1</v>
      </c>
      <c r="D8943" s="734">
        <v>5</v>
      </c>
      <c r="E8943" s="733"/>
    </row>
    <row r="8944" spans="2:5">
      <c r="B8944" s="121">
        <v>768</v>
      </c>
      <c r="C8944" s="121">
        <v>1</v>
      </c>
      <c r="D8944" s="734">
        <v>5</v>
      </c>
      <c r="E8944" s="733"/>
    </row>
    <row r="8945" spans="2:5">
      <c r="B8945" s="121">
        <v>768</v>
      </c>
      <c r="C8945" s="121">
        <v>2</v>
      </c>
      <c r="D8945" s="734">
        <v>98.016060746422369</v>
      </c>
      <c r="E8945" s="733"/>
    </row>
    <row r="8946" spans="2:5">
      <c r="B8946" s="121">
        <v>768</v>
      </c>
      <c r="C8946" s="121">
        <v>3</v>
      </c>
      <c r="D8946" s="734">
        <v>121.44783174526508</v>
      </c>
      <c r="E8946" s="733"/>
    </row>
    <row r="8947" spans="2:5">
      <c r="B8947" s="121">
        <v>768</v>
      </c>
      <c r="C8947" s="121">
        <v>4</v>
      </c>
      <c r="D8947" s="734">
        <v>145.74650556003729</v>
      </c>
      <c r="E8947" s="733"/>
    </row>
    <row r="8948" spans="2:5">
      <c r="B8948" s="121">
        <v>768</v>
      </c>
      <c r="C8948" s="121">
        <v>5</v>
      </c>
      <c r="D8948" s="734">
        <v>136.76241170489513</v>
      </c>
      <c r="E8948" s="733"/>
    </row>
    <row r="8949" spans="2:5">
      <c r="B8949" s="121">
        <v>768</v>
      </c>
      <c r="C8949" s="121">
        <v>6</v>
      </c>
      <c r="D8949" s="734">
        <v>138.26230844443816</v>
      </c>
      <c r="E8949" s="733"/>
    </row>
    <row r="8950" spans="2:5">
      <c r="B8950" s="121">
        <v>768</v>
      </c>
      <c r="C8950" s="121">
        <v>7</v>
      </c>
      <c r="D8950" s="734">
        <v>134.52393832080452</v>
      </c>
      <c r="E8950" s="733"/>
    </row>
    <row r="8951" spans="2:5">
      <c r="B8951" s="121">
        <v>769</v>
      </c>
      <c r="C8951" s="121">
        <v>1</v>
      </c>
      <c r="D8951" s="734">
        <v>5</v>
      </c>
      <c r="E8951" s="733"/>
    </row>
    <row r="8952" spans="2:5">
      <c r="B8952" s="121">
        <v>770</v>
      </c>
      <c r="C8952" s="121">
        <v>1</v>
      </c>
      <c r="D8952" s="734">
        <v>5</v>
      </c>
      <c r="E8952" s="733"/>
    </row>
    <row r="8953" spans="2:5">
      <c r="B8953" s="121">
        <v>771</v>
      </c>
      <c r="C8953" s="121">
        <v>1</v>
      </c>
      <c r="D8953" s="734">
        <v>5</v>
      </c>
      <c r="E8953" s="733"/>
    </row>
    <row r="8954" spans="2:5">
      <c r="B8954" s="121">
        <v>771</v>
      </c>
      <c r="C8954" s="121">
        <v>2</v>
      </c>
      <c r="D8954" s="734">
        <v>99.05838741823581</v>
      </c>
      <c r="E8954" s="733"/>
    </row>
    <row r="8955" spans="2:5">
      <c r="B8955" s="121">
        <v>771</v>
      </c>
      <c r="C8955" s="121">
        <v>3</v>
      </c>
      <c r="D8955" s="734">
        <v>118.92666694337531</v>
      </c>
      <c r="E8955" s="733"/>
    </row>
    <row r="8956" spans="2:5">
      <c r="B8956" s="121">
        <v>771</v>
      </c>
      <c r="C8956" s="121">
        <v>4</v>
      </c>
      <c r="D8956" s="734">
        <v>134.02070338421512</v>
      </c>
      <c r="E8956" s="733"/>
    </row>
    <row r="8957" spans="2:5">
      <c r="B8957" s="121">
        <v>771</v>
      </c>
      <c r="C8957" s="121">
        <v>5</v>
      </c>
      <c r="D8957" s="734">
        <v>140.52041278233398</v>
      </c>
      <c r="E8957" s="733"/>
    </row>
    <row r="8958" spans="2:5">
      <c r="B8958" s="121">
        <v>771</v>
      </c>
      <c r="C8958" s="121">
        <v>6</v>
      </c>
      <c r="D8958" s="734">
        <v>147.08296571950663</v>
      </c>
      <c r="E8958" s="733"/>
    </row>
    <row r="8959" spans="2:5">
      <c r="B8959" s="121">
        <v>771</v>
      </c>
      <c r="C8959" s="121">
        <v>7</v>
      </c>
      <c r="D8959" s="734">
        <v>138.69712858317098</v>
      </c>
      <c r="E8959" s="733"/>
    </row>
    <row r="8960" spans="2:5">
      <c r="B8960" s="121">
        <v>771</v>
      </c>
      <c r="C8960" s="121">
        <v>8</v>
      </c>
      <c r="D8960" s="734">
        <v>136.80558660349064</v>
      </c>
      <c r="E8960" s="733"/>
    </row>
    <row r="8961" spans="2:5">
      <c r="B8961" s="121">
        <v>771</v>
      </c>
      <c r="C8961" s="121">
        <v>9</v>
      </c>
      <c r="D8961" s="734">
        <v>140.61572093040567</v>
      </c>
      <c r="E8961" s="733"/>
    </row>
    <row r="8962" spans="2:5">
      <c r="B8962" s="121">
        <v>771</v>
      </c>
      <c r="C8962" s="121">
        <v>10</v>
      </c>
      <c r="D8962" s="734">
        <v>137.51620501579012</v>
      </c>
      <c r="E8962" s="733"/>
    </row>
    <row r="8963" spans="2:5">
      <c r="B8963" s="121">
        <v>771</v>
      </c>
      <c r="C8963" s="121">
        <v>11</v>
      </c>
      <c r="D8963" s="734">
        <v>145.40227359575326</v>
      </c>
      <c r="E8963" s="733"/>
    </row>
    <row r="8964" spans="2:5">
      <c r="B8964" s="121">
        <v>771</v>
      </c>
      <c r="C8964" s="121">
        <v>12</v>
      </c>
      <c r="D8964" s="734">
        <v>139.45057844211954</v>
      </c>
      <c r="E8964" s="733"/>
    </row>
    <row r="8965" spans="2:5">
      <c r="B8965" s="121">
        <v>771</v>
      </c>
      <c r="C8965" s="121">
        <v>13</v>
      </c>
      <c r="D8965" s="734">
        <v>142.570461555332</v>
      </c>
      <c r="E8965" s="733"/>
    </row>
    <row r="8966" spans="2:5">
      <c r="B8966" s="121">
        <v>771</v>
      </c>
      <c r="C8966" s="121">
        <v>14</v>
      </c>
      <c r="D8966" s="734">
        <v>136.35401193010739</v>
      </c>
      <c r="E8966" s="733"/>
    </row>
    <row r="8967" spans="2:5">
      <c r="B8967" s="121">
        <v>771</v>
      </c>
      <c r="C8967" s="121">
        <v>15</v>
      </c>
      <c r="D8967" s="734">
        <v>135.29281683550187</v>
      </c>
      <c r="E8967" s="733"/>
    </row>
    <row r="8968" spans="2:5">
      <c r="B8968" s="121">
        <v>771</v>
      </c>
      <c r="C8968" s="121">
        <v>16</v>
      </c>
      <c r="D8968" s="734">
        <v>146.67293018791412</v>
      </c>
      <c r="E8968" s="733"/>
    </row>
    <row r="8969" spans="2:5">
      <c r="B8969" s="121">
        <v>771</v>
      </c>
      <c r="C8969" s="121">
        <v>17</v>
      </c>
      <c r="D8969" s="734">
        <v>140.8496892026173</v>
      </c>
      <c r="E8969" s="733"/>
    </row>
    <row r="8970" spans="2:5">
      <c r="B8970" s="121">
        <v>771</v>
      </c>
      <c r="C8970" s="121">
        <v>18</v>
      </c>
      <c r="D8970" s="734">
        <v>145.56745437727369</v>
      </c>
      <c r="E8970" s="733"/>
    </row>
    <row r="8971" spans="2:5">
      <c r="B8971" s="121">
        <v>771</v>
      </c>
      <c r="C8971" s="121">
        <v>19</v>
      </c>
      <c r="D8971" s="734">
        <v>146.59286616593116</v>
      </c>
      <c r="E8971" s="733"/>
    </row>
    <row r="8972" spans="2:5">
      <c r="B8972" s="121">
        <v>771</v>
      </c>
      <c r="C8972" s="121">
        <v>20</v>
      </c>
      <c r="D8972" s="734">
        <v>144.61364661478507</v>
      </c>
      <c r="E8972" s="733"/>
    </row>
    <row r="8973" spans="2:5">
      <c r="B8973" s="121">
        <v>771</v>
      </c>
      <c r="C8973" s="121">
        <v>21</v>
      </c>
      <c r="D8973" s="734">
        <v>146.63411699493804</v>
      </c>
      <c r="E8973" s="733"/>
    </row>
    <row r="8974" spans="2:5">
      <c r="B8974" s="121">
        <v>771</v>
      </c>
      <c r="C8974" s="121">
        <v>22</v>
      </c>
      <c r="D8974" s="734">
        <v>139.72398635285612</v>
      </c>
      <c r="E8974" s="733"/>
    </row>
    <row r="8975" spans="2:5">
      <c r="B8975" s="121">
        <v>771</v>
      </c>
      <c r="C8975" s="121">
        <v>23</v>
      </c>
      <c r="D8975" s="734">
        <v>138.27677746419647</v>
      </c>
      <c r="E8975" s="733"/>
    </row>
    <row r="8976" spans="2:5">
      <c r="B8976" s="121">
        <v>771</v>
      </c>
      <c r="C8976" s="121">
        <v>24</v>
      </c>
      <c r="D8976" s="734">
        <v>143.80153365971395</v>
      </c>
      <c r="E8976" s="733"/>
    </row>
    <row r="8977" spans="2:5">
      <c r="B8977" s="121">
        <v>771</v>
      </c>
      <c r="C8977" s="121">
        <v>25</v>
      </c>
      <c r="D8977" s="734">
        <v>144.46323634877592</v>
      </c>
      <c r="E8977" s="733"/>
    </row>
    <row r="8978" spans="2:5">
      <c r="B8978" s="121">
        <v>771</v>
      </c>
      <c r="C8978" s="121">
        <v>26</v>
      </c>
      <c r="D8978" s="734">
        <v>140.55871112232683</v>
      </c>
      <c r="E8978" s="733"/>
    </row>
    <row r="8979" spans="2:5">
      <c r="B8979" s="121">
        <v>771</v>
      </c>
      <c r="C8979" s="121">
        <v>27</v>
      </c>
      <c r="D8979" s="734">
        <v>142.7689390061895</v>
      </c>
      <c r="E8979" s="733"/>
    </row>
    <row r="8980" spans="2:5">
      <c r="B8980" s="121">
        <v>771</v>
      </c>
      <c r="C8980" s="121">
        <v>28</v>
      </c>
      <c r="D8980" s="734">
        <v>141.72504896453549</v>
      </c>
      <c r="E8980" s="733"/>
    </row>
    <row r="8981" spans="2:5">
      <c r="B8981" s="121">
        <v>771</v>
      </c>
      <c r="C8981" s="121">
        <v>29</v>
      </c>
      <c r="D8981" s="734">
        <v>140.73468606770078</v>
      </c>
      <c r="E8981" s="733"/>
    </row>
    <row r="8982" spans="2:5">
      <c r="B8982" s="121">
        <v>771</v>
      </c>
      <c r="C8982" s="121">
        <v>30</v>
      </c>
      <c r="D8982" s="734">
        <v>134.43674421449444</v>
      </c>
      <c r="E8982" s="733"/>
    </row>
    <row r="8983" spans="2:5">
      <c r="B8983" s="121">
        <v>771</v>
      </c>
      <c r="C8983" s="121">
        <v>31</v>
      </c>
      <c r="D8983" s="734">
        <v>146.97321671233649</v>
      </c>
      <c r="E8983" s="733"/>
    </row>
    <row r="8984" spans="2:5">
      <c r="B8984" s="121">
        <v>771</v>
      </c>
      <c r="C8984" s="121">
        <v>32</v>
      </c>
      <c r="D8984" s="734">
        <v>143.88828819954966</v>
      </c>
      <c r="E8984" s="733"/>
    </row>
    <row r="8985" spans="2:5">
      <c r="B8985" s="121">
        <v>771</v>
      </c>
      <c r="C8985" s="121">
        <v>33</v>
      </c>
      <c r="D8985" s="734">
        <v>139.68587567148131</v>
      </c>
      <c r="E8985" s="733"/>
    </row>
    <row r="8986" spans="2:5">
      <c r="B8986" s="121">
        <v>771</v>
      </c>
      <c r="C8986" s="121">
        <v>34</v>
      </c>
      <c r="D8986" s="734">
        <v>139.69180294778261</v>
      </c>
      <c r="E8986" s="733"/>
    </row>
    <row r="8987" spans="2:5">
      <c r="B8987" s="121">
        <v>771</v>
      </c>
      <c r="C8987" s="121">
        <v>35</v>
      </c>
      <c r="D8987" s="734">
        <v>139.55152710155502</v>
      </c>
      <c r="E8987" s="733"/>
    </row>
    <row r="8988" spans="2:5">
      <c r="B8988" s="121">
        <v>771</v>
      </c>
      <c r="C8988" s="121">
        <v>36</v>
      </c>
      <c r="D8988" s="734">
        <v>142.19759985283949</v>
      </c>
      <c r="E8988" s="733"/>
    </row>
    <row r="8989" spans="2:5">
      <c r="B8989" s="121">
        <v>772</v>
      </c>
      <c r="C8989" s="121">
        <v>1</v>
      </c>
      <c r="D8989" s="734">
        <v>5</v>
      </c>
      <c r="E8989" s="733"/>
    </row>
    <row r="8990" spans="2:5">
      <c r="B8990" s="121">
        <v>772</v>
      </c>
      <c r="C8990" s="121">
        <v>2</v>
      </c>
      <c r="D8990" s="734">
        <v>101.62265413196852</v>
      </c>
      <c r="E8990" s="733"/>
    </row>
    <row r="8991" spans="2:5">
      <c r="B8991" s="121">
        <v>773</v>
      </c>
      <c r="C8991" s="121">
        <v>1</v>
      </c>
      <c r="D8991" s="734">
        <v>5</v>
      </c>
      <c r="E8991" s="733"/>
    </row>
    <row r="8992" spans="2:5">
      <c r="B8992" s="121">
        <v>773</v>
      </c>
      <c r="C8992" s="121">
        <v>2</v>
      </c>
      <c r="D8992" s="734">
        <v>97.07765135933461</v>
      </c>
      <c r="E8992" s="733"/>
    </row>
    <row r="8993" spans="2:5">
      <c r="B8993" s="121">
        <v>773</v>
      </c>
      <c r="C8993" s="121">
        <v>3</v>
      </c>
      <c r="D8993" s="734">
        <v>115.79218484494851</v>
      </c>
      <c r="E8993" s="733"/>
    </row>
    <row r="8994" spans="2:5">
      <c r="B8994" s="121">
        <v>773</v>
      </c>
      <c r="C8994" s="121">
        <v>4</v>
      </c>
      <c r="D8994" s="734">
        <v>146.89956080693182</v>
      </c>
      <c r="E8994" s="733"/>
    </row>
    <row r="8995" spans="2:5">
      <c r="B8995" s="121">
        <v>773</v>
      </c>
      <c r="C8995" s="121">
        <v>5</v>
      </c>
      <c r="D8995" s="734">
        <v>144.20759518883142</v>
      </c>
      <c r="E8995" s="733"/>
    </row>
    <row r="8996" spans="2:5">
      <c r="B8996" s="121">
        <v>773</v>
      </c>
      <c r="C8996" s="121">
        <v>6</v>
      </c>
      <c r="D8996" s="734">
        <v>141.51899773050991</v>
      </c>
      <c r="E8996" s="733"/>
    </row>
    <row r="8997" spans="2:5">
      <c r="B8997" s="121">
        <v>773</v>
      </c>
      <c r="C8997" s="121">
        <v>7</v>
      </c>
      <c r="D8997" s="734">
        <v>144.88911756244758</v>
      </c>
      <c r="E8997" s="733"/>
    </row>
    <row r="8998" spans="2:5">
      <c r="B8998" s="121">
        <v>773</v>
      </c>
      <c r="C8998" s="121">
        <v>8</v>
      </c>
      <c r="D8998" s="734">
        <v>141.68019728643714</v>
      </c>
      <c r="E8998" s="733"/>
    </row>
    <row r="8999" spans="2:5">
      <c r="B8999" s="121">
        <v>773</v>
      </c>
      <c r="C8999" s="121">
        <v>9</v>
      </c>
      <c r="D8999" s="734">
        <v>145.44413939734937</v>
      </c>
      <c r="E8999" s="733"/>
    </row>
    <row r="9000" spans="2:5">
      <c r="B9000" s="121">
        <v>773</v>
      </c>
      <c r="C9000" s="121">
        <v>10</v>
      </c>
      <c r="D9000" s="734">
        <v>135.42066298984025</v>
      </c>
      <c r="E9000" s="733"/>
    </row>
    <row r="9001" spans="2:5">
      <c r="B9001" s="121">
        <v>773</v>
      </c>
      <c r="C9001" s="121">
        <v>11</v>
      </c>
      <c r="D9001" s="734">
        <v>146.55592179681889</v>
      </c>
      <c r="E9001" s="733"/>
    </row>
    <row r="9002" spans="2:5">
      <c r="B9002" s="121">
        <v>773</v>
      </c>
      <c r="C9002" s="121">
        <v>12</v>
      </c>
      <c r="D9002" s="734">
        <v>145.20812426931477</v>
      </c>
      <c r="E9002" s="733"/>
    </row>
    <row r="9003" spans="2:5">
      <c r="B9003" s="121">
        <v>773</v>
      </c>
      <c r="C9003" s="121">
        <v>13</v>
      </c>
      <c r="D9003" s="734">
        <v>137.18162175497289</v>
      </c>
      <c r="E9003" s="733"/>
    </row>
    <row r="9004" spans="2:5">
      <c r="B9004" s="121">
        <v>773</v>
      </c>
      <c r="C9004" s="121">
        <v>14</v>
      </c>
      <c r="D9004" s="734">
        <v>143.72365928615866</v>
      </c>
      <c r="E9004" s="733"/>
    </row>
    <row r="9005" spans="2:5">
      <c r="B9005" s="121">
        <v>773</v>
      </c>
      <c r="C9005" s="121">
        <v>15</v>
      </c>
      <c r="D9005" s="734">
        <v>140.21167324281987</v>
      </c>
      <c r="E9005" s="733"/>
    </row>
    <row r="9006" spans="2:5">
      <c r="B9006" s="121">
        <v>773</v>
      </c>
      <c r="C9006" s="121">
        <v>16</v>
      </c>
      <c r="D9006" s="734">
        <v>133.72043954521536</v>
      </c>
      <c r="E9006" s="733"/>
    </row>
    <row r="9007" spans="2:5">
      <c r="B9007" s="121">
        <v>773</v>
      </c>
      <c r="C9007" s="121">
        <v>17</v>
      </c>
      <c r="D9007" s="734">
        <v>146.79302254201437</v>
      </c>
      <c r="E9007" s="733"/>
    </row>
    <row r="9008" spans="2:5">
      <c r="B9008" s="121">
        <v>773</v>
      </c>
      <c r="C9008" s="121">
        <v>18</v>
      </c>
      <c r="D9008" s="734">
        <v>135.41575738768319</v>
      </c>
      <c r="E9008" s="733"/>
    </row>
    <row r="9009" spans="2:5">
      <c r="B9009" s="121">
        <v>773</v>
      </c>
      <c r="C9009" s="121">
        <v>19</v>
      </c>
      <c r="D9009" s="734">
        <v>144.80263953490831</v>
      </c>
      <c r="E9009" s="733"/>
    </row>
    <row r="9010" spans="2:5">
      <c r="B9010" s="121">
        <v>774</v>
      </c>
      <c r="C9010" s="121">
        <v>1</v>
      </c>
      <c r="D9010" s="734">
        <v>5</v>
      </c>
      <c r="E9010" s="733"/>
    </row>
    <row r="9011" spans="2:5">
      <c r="B9011" s="121">
        <v>774</v>
      </c>
      <c r="C9011" s="121">
        <v>2</v>
      </c>
      <c r="D9011" s="734">
        <v>98.343954443775132</v>
      </c>
      <c r="E9011" s="733"/>
    </row>
    <row r="9012" spans="2:5">
      <c r="B9012" s="121">
        <v>775</v>
      </c>
      <c r="C9012" s="121">
        <v>1</v>
      </c>
      <c r="D9012" s="734">
        <v>5</v>
      </c>
      <c r="E9012" s="733"/>
    </row>
    <row r="9013" spans="2:5">
      <c r="B9013" s="121">
        <v>776</v>
      </c>
      <c r="C9013" s="121">
        <v>1</v>
      </c>
      <c r="D9013" s="734">
        <v>5</v>
      </c>
      <c r="E9013" s="733"/>
    </row>
    <row r="9014" spans="2:5">
      <c r="B9014" s="121">
        <v>776</v>
      </c>
      <c r="C9014" s="121">
        <v>2</v>
      </c>
      <c r="D9014" s="734">
        <v>96.367803478042546</v>
      </c>
      <c r="E9014" s="733"/>
    </row>
    <row r="9015" spans="2:5">
      <c r="B9015" s="121">
        <v>776</v>
      </c>
      <c r="C9015" s="121">
        <v>3</v>
      </c>
      <c r="D9015" s="734">
        <v>119.75312561866843</v>
      </c>
      <c r="E9015" s="733"/>
    </row>
    <row r="9016" spans="2:5">
      <c r="B9016" s="121">
        <v>776</v>
      </c>
      <c r="C9016" s="121">
        <v>4</v>
      </c>
      <c r="D9016" s="734">
        <v>134.67377184244728</v>
      </c>
      <c r="E9016" s="733"/>
    </row>
    <row r="9017" spans="2:5">
      <c r="B9017" s="121">
        <v>776</v>
      </c>
      <c r="C9017" s="121">
        <v>5</v>
      </c>
      <c r="D9017" s="734">
        <v>144.26885048991659</v>
      </c>
      <c r="E9017" s="733"/>
    </row>
    <row r="9018" spans="2:5">
      <c r="B9018" s="121">
        <v>776</v>
      </c>
      <c r="C9018" s="121">
        <v>6</v>
      </c>
      <c r="D9018" s="734">
        <v>138.81513845659535</v>
      </c>
      <c r="E9018" s="733"/>
    </row>
    <row r="9019" spans="2:5">
      <c r="B9019" s="121">
        <v>776</v>
      </c>
      <c r="C9019" s="121">
        <v>7</v>
      </c>
      <c r="D9019" s="734">
        <v>146.41480598586244</v>
      </c>
      <c r="E9019" s="733"/>
    </row>
    <row r="9020" spans="2:5">
      <c r="B9020" s="121">
        <v>776</v>
      </c>
      <c r="C9020" s="121">
        <v>8</v>
      </c>
      <c r="D9020" s="734">
        <v>141.08647518291517</v>
      </c>
      <c r="E9020" s="733"/>
    </row>
    <row r="9021" spans="2:5">
      <c r="B9021" s="121">
        <v>776</v>
      </c>
      <c r="C9021" s="121">
        <v>9</v>
      </c>
      <c r="D9021" s="734">
        <v>140.34042605693134</v>
      </c>
      <c r="E9021" s="733"/>
    </row>
    <row r="9022" spans="2:5">
      <c r="B9022" s="121">
        <v>776</v>
      </c>
      <c r="C9022" s="121">
        <v>10</v>
      </c>
      <c r="D9022" s="734">
        <v>136.69056731540786</v>
      </c>
      <c r="E9022" s="733"/>
    </row>
    <row r="9023" spans="2:5">
      <c r="B9023" s="121">
        <v>776</v>
      </c>
      <c r="C9023" s="121">
        <v>11</v>
      </c>
      <c r="D9023" s="734">
        <v>144.7387915836859</v>
      </c>
      <c r="E9023" s="733"/>
    </row>
    <row r="9024" spans="2:5">
      <c r="B9024" s="121">
        <v>776</v>
      </c>
      <c r="C9024" s="121">
        <v>12</v>
      </c>
      <c r="D9024" s="734">
        <v>135.67815529920634</v>
      </c>
      <c r="E9024" s="733"/>
    </row>
    <row r="9025" spans="2:5">
      <c r="B9025" s="121">
        <v>776</v>
      </c>
      <c r="C9025" s="121">
        <v>13</v>
      </c>
      <c r="D9025" s="734">
        <v>136.50189908894245</v>
      </c>
      <c r="E9025" s="733"/>
    </row>
    <row r="9026" spans="2:5">
      <c r="B9026" s="121">
        <v>776</v>
      </c>
      <c r="C9026" s="121">
        <v>14</v>
      </c>
      <c r="D9026" s="734">
        <v>147.25796302307381</v>
      </c>
      <c r="E9026" s="733"/>
    </row>
    <row r="9027" spans="2:5">
      <c r="B9027" s="121">
        <v>776</v>
      </c>
      <c r="C9027" s="121">
        <v>15</v>
      </c>
      <c r="D9027" s="734">
        <v>138.92361325468818</v>
      </c>
      <c r="E9027" s="733"/>
    </row>
    <row r="9028" spans="2:5">
      <c r="B9028" s="121">
        <v>776</v>
      </c>
      <c r="C9028" s="121">
        <v>16</v>
      </c>
      <c r="D9028" s="734">
        <v>137.43860238566137</v>
      </c>
      <c r="E9028" s="733"/>
    </row>
    <row r="9029" spans="2:5">
      <c r="B9029" s="121">
        <v>776</v>
      </c>
      <c r="C9029" s="121">
        <v>17</v>
      </c>
      <c r="D9029" s="734">
        <v>141.40125573386842</v>
      </c>
      <c r="E9029" s="733"/>
    </row>
    <row r="9030" spans="2:5">
      <c r="B9030" s="121">
        <v>776</v>
      </c>
      <c r="C9030" s="121">
        <v>18</v>
      </c>
      <c r="D9030" s="734">
        <v>134.3975851680886</v>
      </c>
      <c r="E9030" s="733"/>
    </row>
    <row r="9031" spans="2:5">
      <c r="B9031" s="121">
        <v>776</v>
      </c>
      <c r="C9031" s="121">
        <v>19</v>
      </c>
      <c r="D9031" s="734">
        <v>137.26143746930637</v>
      </c>
      <c r="E9031" s="733"/>
    </row>
    <row r="9032" spans="2:5">
      <c r="B9032" s="121">
        <v>776</v>
      </c>
      <c r="C9032" s="121">
        <v>20</v>
      </c>
      <c r="D9032" s="734">
        <v>139.6863288635675</v>
      </c>
      <c r="E9032" s="733"/>
    </row>
    <row r="9033" spans="2:5">
      <c r="B9033" s="121">
        <v>776</v>
      </c>
      <c r="C9033" s="121">
        <v>21</v>
      </c>
      <c r="D9033" s="734">
        <v>139.56841041728842</v>
      </c>
      <c r="E9033" s="733"/>
    </row>
    <row r="9034" spans="2:5">
      <c r="B9034" s="121">
        <v>776</v>
      </c>
      <c r="C9034" s="121">
        <v>22</v>
      </c>
      <c r="D9034" s="734">
        <v>142.01007992375509</v>
      </c>
      <c r="E9034" s="733"/>
    </row>
    <row r="9035" spans="2:5">
      <c r="B9035" s="121">
        <v>776</v>
      </c>
      <c r="C9035" s="121">
        <v>23</v>
      </c>
      <c r="D9035" s="734">
        <v>134.96645592717891</v>
      </c>
      <c r="E9035" s="733"/>
    </row>
    <row r="9036" spans="2:5">
      <c r="B9036" s="121">
        <v>777</v>
      </c>
      <c r="C9036" s="121">
        <v>1</v>
      </c>
      <c r="D9036" s="734">
        <v>5</v>
      </c>
      <c r="E9036" s="733"/>
    </row>
    <row r="9037" spans="2:5">
      <c r="B9037" s="121">
        <v>777</v>
      </c>
      <c r="C9037" s="121">
        <v>2</v>
      </c>
      <c r="D9037" s="734">
        <v>100.55188473162218</v>
      </c>
      <c r="E9037" s="733"/>
    </row>
    <row r="9038" spans="2:5">
      <c r="B9038" s="121">
        <v>778</v>
      </c>
      <c r="C9038" s="121">
        <v>1</v>
      </c>
      <c r="D9038" s="734">
        <v>5</v>
      </c>
      <c r="E9038" s="733"/>
    </row>
    <row r="9039" spans="2:5">
      <c r="B9039" s="121">
        <v>778</v>
      </c>
      <c r="C9039" s="121">
        <v>2</v>
      </c>
      <c r="D9039" s="734">
        <v>96.733334729050028</v>
      </c>
      <c r="E9039" s="733"/>
    </row>
    <row r="9040" spans="2:5">
      <c r="B9040" s="121">
        <v>778</v>
      </c>
      <c r="C9040" s="121">
        <v>3</v>
      </c>
      <c r="D9040" s="734">
        <v>122.73864476966203</v>
      </c>
      <c r="E9040" s="733"/>
    </row>
    <row r="9041" spans="2:5">
      <c r="B9041" s="121">
        <v>778</v>
      </c>
      <c r="C9041" s="121">
        <v>4</v>
      </c>
      <c r="D9041" s="734">
        <v>147.22516999870953</v>
      </c>
      <c r="E9041" s="733"/>
    </row>
    <row r="9042" spans="2:5">
      <c r="B9042" s="121">
        <v>778</v>
      </c>
      <c r="C9042" s="121">
        <v>5</v>
      </c>
      <c r="D9042" s="734">
        <v>139.63312293742149</v>
      </c>
      <c r="E9042" s="733"/>
    </row>
    <row r="9043" spans="2:5">
      <c r="B9043" s="121">
        <v>778</v>
      </c>
      <c r="C9043" s="121">
        <v>6</v>
      </c>
      <c r="D9043" s="734">
        <v>138.88864487678296</v>
      </c>
      <c r="E9043" s="733"/>
    </row>
    <row r="9044" spans="2:5">
      <c r="B9044" s="121">
        <v>778</v>
      </c>
      <c r="C9044" s="121">
        <v>7</v>
      </c>
      <c r="D9044" s="734">
        <v>141.0587348896469</v>
      </c>
      <c r="E9044" s="733"/>
    </row>
    <row r="9045" spans="2:5">
      <c r="B9045" s="121">
        <v>778</v>
      </c>
      <c r="C9045" s="121">
        <v>8</v>
      </c>
      <c r="D9045" s="734">
        <v>145.24113106547293</v>
      </c>
      <c r="E9045" s="733"/>
    </row>
    <row r="9046" spans="2:5">
      <c r="B9046" s="121">
        <v>778</v>
      </c>
      <c r="C9046" s="121">
        <v>9</v>
      </c>
      <c r="D9046" s="734">
        <v>144.79503772785176</v>
      </c>
      <c r="E9046" s="733"/>
    </row>
    <row r="9047" spans="2:5">
      <c r="B9047" s="121">
        <v>778</v>
      </c>
      <c r="C9047" s="121">
        <v>10</v>
      </c>
      <c r="D9047" s="734">
        <v>142.8775405965371</v>
      </c>
      <c r="E9047" s="733"/>
    </row>
    <row r="9048" spans="2:5">
      <c r="B9048" s="121">
        <v>778</v>
      </c>
      <c r="C9048" s="121">
        <v>11</v>
      </c>
      <c r="D9048" s="734">
        <v>134.85769288484713</v>
      </c>
      <c r="E9048" s="733"/>
    </row>
    <row r="9049" spans="2:5">
      <c r="B9049" s="121">
        <v>778</v>
      </c>
      <c r="C9049" s="121">
        <v>12</v>
      </c>
      <c r="D9049" s="734">
        <v>140.96512974297192</v>
      </c>
      <c r="E9049" s="733"/>
    </row>
    <row r="9050" spans="2:5">
      <c r="B9050" s="121">
        <v>778</v>
      </c>
      <c r="C9050" s="121">
        <v>13</v>
      </c>
      <c r="D9050" s="734">
        <v>143.60172790192146</v>
      </c>
      <c r="E9050" s="733"/>
    </row>
    <row r="9051" spans="2:5">
      <c r="B9051" s="121">
        <v>778</v>
      </c>
      <c r="C9051" s="121">
        <v>14</v>
      </c>
      <c r="D9051" s="734">
        <v>138.73742947199432</v>
      </c>
      <c r="E9051" s="733"/>
    </row>
    <row r="9052" spans="2:5">
      <c r="B9052" s="121">
        <v>779</v>
      </c>
      <c r="C9052" s="121">
        <v>1</v>
      </c>
      <c r="D9052" s="734">
        <v>5</v>
      </c>
      <c r="E9052" s="733"/>
    </row>
    <row r="9053" spans="2:5">
      <c r="B9053" s="121">
        <v>779</v>
      </c>
      <c r="C9053" s="121">
        <v>2</v>
      </c>
      <c r="D9053" s="734">
        <v>97.09017221771343</v>
      </c>
      <c r="E9053" s="733"/>
    </row>
    <row r="9054" spans="2:5">
      <c r="B9054" s="121">
        <v>779</v>
      </c>
      <c r="C9054" s="121">
        <v>3</v>
      </c>
      <c r="D9054" s="734">
        <v>115.17556403098938</v>
      </c>
      <c r="E9054" s="733"/>
    </row>
    <row r="9055" spans="2:5">
      <c r="B9055" s="121">
        <v>779</v>
      </c>
      <c r="C9055" s="121">
        <v>4</v>
      </c>
      <c r="D9055" s="734">
        <v>141.97873263032258</v>
      </c>
      <c r="E9055" s="733"/>
    </row>
    <row r="9056" spans="2:5">
      <c r="B9056" s="121">
        <v>779</v>
      </c>
      <c r="C9056" s="121">
        <v>5</v>
      </c>
      <c r="D9056" s="734">
        <v>141.89244784422073</v>
      </c>
      <c r="E9056" s="733"/>
    </row>
    <row r="9057" spans="2:5">
      <c r="B9057" s="121">
        <v>779</v>
      </c>
      <c r="C9057" s="121">
        <v>6</v>
      </c>
      <c r="D9057" s="734">
        <v>144.76080027577893</v>
      </c>
      <c r="E9057" s="733"/>
    </row>
    <row r="9058" spans="2:5">
      <c r="B9058" s="121">
        <v>779</v>
      </c>
      <c r="C9058" s="121">
        <v>7</v>
      </c>
      <c r="D9058" s="734">
        <v>141.55547604651636</v>
      </c>
      <c r="E9058" s="733"/>
    </row>
    <row r="9059" spans="2:5">
      <c r="B9059" s="121">
        <v>779</v>
      </c>
      <c r="C9059" s="121">
        <v>8</v>
      </c>
      <c r="D9059" s="734">
        <v>141.04601093366091</v>
      </c>
      <c r="E9059" s="733"/>
    </row>
    <row r="9060" spans="2:5">
      <c r="B9060" s="121">
        <v>779</v>
      </c>
      <c r="C9060" s="121">
        <v>9</v>
      </c>
      <c r="D9060" s="734">
        <v>145.75800519979563</v>
      </c>
      <c r="E9060" s="733"/>
    </row>
    <row r="9061" spans="2:5">
      <c r="B9061" s="121">
        <v>779</v>
      </c>
      <c r="C9061" s="121">
        <v>10</v>
      </c>
      <c r="D9061" s="734">
        <v>135.42006086567659</v>
      </c>
      <c r="E9061" s="733"/>
    </row>
    <row r="9062" spans="2:5">
      <c r="B9062" s="121">
        <v>779</v>
      </c>
      <c r="C9062" s="121">
        <v>11</v>
      </c>
      <c r="D9062" s="734">
        <v>141.78756505626558</v>
      </c>
      <c r="E9062" s="733"/>
    </row>
    <row r="9063" spans="2:5">
      <c r="B9063" s="121">
        <v>779</v>
      </c>
      <c r="C9063" s="121">
        <v>12</v>
      </c>
      <c r="D9063" s="734">
        <v>137.71493200295561</v>
      </c>
      <c r="E9063" s="733"/>
    </row>
    <row r="9064" spans="2:5">
      <c r="B9064" s="121">
        <v>779</v>
      </c>
      <c r="C9064" s="121">
        <v>13</v>
      </c>
      <c r="D9064" s="734">
        <v>142.90179342832633</v>
      </c>
      <c r="E9064" s="733"/>
    </row>
    <row r="9065" spans="2:5">
      <c r="B9065" s="121">
        <v>779</v>
      </c>
      <c r="C9065" s="121">
        <v>14</v>
      </c>
      <c r="D9065" s="734">
        <v>144.99788153642407</v>
      </c>
      <c r="E9065" s="733"/>
    </row>
    <row r="9066" spans="2:5">
      <c r="B9066" s="121">
        <v>779</v>
      </c>
      <c r="C9066" s="121">
        <v>15</v>
      </c>
      <c r="D9066" s="734">
        <v>138.75794355567763</v>
      </c>
      <c r="E9066" s="733"/>
    </row>
    <row r="9067" spans="2:5">
      <c r="B9067" s="121">
        <v>779</v>
      </c>
      <c r="C9067" s="121">
        <v>16</v>
      </c>
      <c r="D9067" s="734">
        <v>146.95308715393386</v>
      </c>
      <c r="E9067" s="733"/>
    </row>
    <row r="9068" spans="2:5">
      <c r="B9068" s="121">
        <v>779</v>
      </c>
      <c r="C9068" s="121">
        <v>17</v>
      </c>
      <c r="D9068" s="734">
        <v>144.66034528726129</v>
      </c>
      <c r="E9068" s="733"/>
    </row>
    <row r="9069" spans="2:5">
      <c r="B9069" s="121">
        <v>779</v>
      </c>
      <c r="C9069" s="121">
        <v>18</v>
      </c>
      <c r="D9069" s="734">
        <v>137.98875279629769</v>
      </c>
      <c r="E9069" s="733"/>
    </row>
    <row r="9070" spans="2:5">
      <c r="B9070" s="121">
        <v>779</v>
      </c>
      <c r="C9070" s="121">
        <v>19</v>
      </c>
      <c r="D9070" s="734">
        <v>144.40064774244547</v>
      </c>
      <c r="E9070" s="733"/>
    </row>
    <row r="9071" spans="2:5">
      <c r="B9071" s="121">
        <v>779</v>
      </c>
      <c r="C9071" s="121">
        <v>20</v>
      </c>
      <c r="D9071" s="734">
        <v>146.72603851182302</v>
      </c>
      <c r="E9071" s="733"/>
    </row>
    <row r="9072" spans="2:5">
      <c r="B9072" s="121">
        <v>779</v>
      </c>
      <c r="C9072" s="121">
        <v>21</v>
      </c>
      <c r="D9072" s="734">
        <v>140.67937214296475</v>
      </c>
      <c r="E9072" s="733"/>
    </row>
    <row r="9073" spans="2:5">
      <c r="B9073" s="121">
        <v>779</v>
      </c>
      <c r="C9073" s="121">
        <v>22</v>
      </c>
      <c r="D9073" s="734">
        <v>145.66893579022016</v>
      </c>
      <c r="E9073" s="733"/>
    </row>
    <row r="9074" spans="2:5">
      <c r="B9074" s="121">
        <v>779</v>
      </c>
      <c r="C9074" s="121">
        <v>23</v>
      </c>
      <c r="D9074" s="734">
        <v>134.244462334193</v>
      </c>
      <c r="E9074" s="733"/>
    </row>
    <row r="9075" spans="2:5">
      <c r="B9075" s="121">
        <v>779</v>
      </c>
      <c r="C9075" s="121">
        <v>24</v>
      </c>
      <c r="D9075" s="734">
        <v>144.73965578717517</v>
      </c>
      <c r="E9075" s="733"/>
    </row>
    <row r="9076" spans="2:5">
      <c r="B9076" s="121">
        <v>779</v>
      </c>
      <c r="C9076" s="121">
        <v>25</v>
      </c>
      <c r="D9076" s="734">
        <v>139.5794287402166</v>
      </c>
      <c r="E9076" s="733"/>
    </row>
    <row r="9077" spans="2:5">
      <c r="B9077" s="121">
        <v>779</v>
      </c>
      <c r="C9077" s="121">
        <v>26</v>
      </c>
      <c r="D9077" s="734">
        <v>142.64832191000735</v>
      </c>
      <c r="E9077" s="733"/>
    </row>
    <row r="9078" spans="2:5">
      <c r="B9078" s="121">
        <v>779</v>
      </c>
      <c r="C9078" s="121">
        <v>27</v>
      </c>
      <c r="D9078" s="734">
        <v>144.35463968526844</v>
      </c>
      <c r="E9078" s="733"/>
    </row>
    <row r="9079" spans="2:5">
      <c r="B9079" s="121">
        <v>779</v>
      </c>
      <c r="C9079" s="121">
        <v>28</v>
      </c>
      <c r="D9079" s="734">
        <v>143.38405615812965</v>
      </c>
      <c r="E9079" s="733"/>
    </row>
    <row r="9080" spans="2:5">
      <c r="B9080" s="121">
        <v>779</v>
      </c>
      <c r="C9080" s="121">
        <v>29</v>
      </c>
      <c r="D9080" s="734">
        <v>141.34045728196972</v>
      </c>
      <c r="E9080" s="733"/>
    </row>
    <row r="9081" spans="2:5">
      <c r="B9081" s="121">
        <v>779</v>
      </c>
      <c r="C9081" s="121">
        <v>30</v>
      </c>
      <c r="D9081" s="734">
        <v>142.54340279167789</v>
      </c>
      <c r="E9081" s="733"/>
    </row>
    <row r="9082" spans="2:5">
      <c r="B9082" s="121">
        <v>779</v>
      </c>
      <c r="C9082" s="121">
        <v>31</v>
      </c>
      <c r="D9082" s="734">
        <v>143.73882552896936</v>
      </c>
      <c r="E9082" s="733"/>
    </row>
    <row r="9083" spans="2:5">
      <c r="B9083" s="121">
        <v>779</v>
      </c>
      <c r="C9083" s="121">
        <v>32</v>
      </c>
      <c r="D9083" s="734">
        <v>140.72143204330411</v>
      </c>
      <c r="E9083" s="733"/>
    </row>
    <row r="9084" spans="2:5">
      <c r="B9084" s="121">
        <v>779</v>
      </c>
      <c r="C9084" s="121">
        <v>33</v>
      </c>
      <c r="D9084" s="734">
        <v>142.25053864318292</v>
      </c>
      <c r="E9084" s="733"/>
    </row>
    <row r="9085" spans="2:5">
      <c r="B9085" s="121">
        <v>779</v>
      </c>
      <c r="C9085" s="121">
        <v>34</v>
      </c>
      <c r="D9085" s="734">
        <v>137.54494317643884</v>
      </c>
      <c r="E9085" s="733"/>
    </row>
    <row r="9086" spans="2:5">
      <c r="B9086" s="121">
        <v>779</v>
      </c>
      <c r="C9086" s="121">
        <v>35</v>
      </c>
      <c r="D9086" s="734">
        <v>136.53099554701402</v>
      </c>
      <c r="E9086" s="733"/>
    </row>
    <row r="9087" spans="2:5">
      <c r="B9087" s="121">
        <v>779</v>
      </c>
      <c r="C9087" s="121">
        <v>36</v>
      </c>
      <c r="D9087" s="734">
        <v>146.09317483048335</v>
      </c>
      <c r="E9087" s="733"/>
    </row>
    <row r="9088" spans="2:5">
      <c r="B9088" s="121">
        <v>780</v>
      </c>
      <c r="C9088" s="121">
        <v>1</v>
      </c>
      <c r="D9088" s="734">
        <v>5</v>
      </c>
      <c r="E9088" s="733"/>
    </row>
    <row r="9089" spans="2:5">
      <c r="B9089" s="121">
        <v>780</v>
      </c>
      <c r="C9089" s="121">
        <v>2</v>
      </c>
      <c r="D9089" s="734">
        <v>102.19156510945125</v>
      </c>
      <c r="E9089" s="733"/>
    </row>
    <row r="9090" spans="2:5">
      <c r="B9090" s="121">
        <v>780</v>
      </c>
      <c r="C9090" s="121">
        <v>3</v>
      </c>
      <c r="D9090" s="734">
        <v>117.2087622905498</v>
      </c>
      <c r="E9090" s="733"/>
    </row>
    <row r="9091" spans="2:5">
      <c r="B9091" s="121">
        <v>780</v>
      </c>
      <c r="C9091" s="121">
        <v>4</v>
      </c>
      <c r="D9091" s="734">
        <v>144.65025987766123</v>
      </c>
      <c r="E9091" s="733"/>
    </row>
    <row r="9092" spans="2:5">
      <c r="B9092" s="121">
        <v>780</v>
      </c>
      <c r="C9092" s="121">
        <v>5</v>
      </c>
      <c r="D9092" s="734">
        <v>140.53826011716856</v>
      </c>
      <c r="E9092" s="733"/>
    </row>
    <row r="9093" spans="2:5">
      <c r="B9093" s="121">
        <v>780</v>
      </c>
      <c r="C9093" s="121">
        <v>6</v>
      </c>
      <c r="D9093" s="734">
        <v>146.51503700929678</v>
      </c>
      <c r="E9093" s="733"/>
    </row>
    <row r="9094" spans="2:5">
      <c r="B9094" s="121">
        <v>780</v>
      </c>
      <c r="C9094" s="121">
        <v>7</v>
      </c>
      <c r="D9094" s="734">
        <v>140.82818939119036</v>
      </c>
      <c r="E9094" s="733"/>
    </row>
    <row r="9095" spans="2:5">
      <c r="B9095" s="121">
        <v>780</v>
      </c>
      <c r="C9095" s="121">
        <v>8</v>
      </c>
      <c r="D9095" s="734">
        <v>137.82700455091708</v>
      </c>
      <c r="E9095" s="733"/>
    </row>
    <row r="9096" spans="2:5">
      <c r="B9096" s="121">
        <v>780</v>
      </c>
      <c r="C9096" s="121">
        <v>9</v>
      </c>
      <c r="D9096" s="734">
        <v>137.49837610489837</v>
      </c>
      <c r="E9096" s="733"/>
    </row>
    <row r="9097" spans="2:5">
      <c r="B9097" s="121">
        <v>780</v>
      </c>
      <c r="C9097" s="121">
        <v>10</v>
      </c>
      <c r="D9097" s="734">
        <v>139.4659558700034</v>
      </c>
      <c r="E9097" s="733"/>
    </row>
    <row r="9098" spans="2:5">
      <c r="B9098" s="121">
        <v>780</v>
      </c>
      <c r="C9098" s="121">
        <v>11</v>
      </c>
      <c r="D9098" s="734">
        <v>143.67106444544126</v>
      </c>
      <c r="E9098" s="733"/>
    </row>
    <row r="9099" spans="2:5">
      <c r="B9099" s="121">
        <v>780</v>
      </c>
      <c r="C9099" s="121">
        <v>12</v>
      </c>
      <c r="D9099" s="734">
        <v>146.23768705343423</v>
      </c>
      <c r="E9099" s="733"/>
    </row>
    <row r="9100" spans="2:5">
      <c r="B9100" s="121">
        <v>780</v>
      </c>
      <c r="C9100" s="121">
        <v>13</v>
      </c>
      <c r="D9100" s="734">
        <v>145.98325670927284</v>
      </c>
      <c r="E9100" s="733"/>
    </row>
    <row r="9101" spans="2:5">
      <c r="B9101" s="121">
        <v>780</v>
      </c>
      <c r="C9101" s="121">
        <v>14</v>
      </c>
      <c r="D9101" s="734">
        <v>146.42657078297495</v>
      </c>
      <c r="E9101" s="733"/>
    </row>
    <row r="9102" spans="2:5">
      <c r="B9102" s="121">
        <v>780</v>
      </c>
      <c r="C9102" s="121">
        <v>15</v>
      </c>
      <c r="D9102" s="734">
        <v>145.54989056093012</v>
      </c>
      <c r="E9102" s="733"/>
    </row>
    <row r="9103" spans="2:5">
      <c r="B9103" s="121">
        <v>780</v>
      </c>
      <c r="C9103" s="121">
        <v>16</v>
      </c>
      <c r="D9103" s="734">
        <v>142.35220481279512</v>
      </c>
      <c r="E9103" s="733"/>
    </row>
    <row r="9104" spans="2:5">
      <c r="B9104" s="121">
        <v>780</v>
      </c>
      <c r="C9104" s="121">
        <v>17</v>
      </c>
      <c r="D9104" s="734">
        <v>139.6484799081783</v>
      </c>
      <c r="E9104" s="733"/>
    </row>
    <row r="9105" spans="2:5">
      <c r="B9105" s="121">
        <v>780</v>
      </c>
      <c r="C9105" s="121">
        <v>18</v>
      </c>
      <c r="D9105" s="734">
        <v>142.41194332822036</v>
      </c>
      <c r="E9105" s="733"/>
    </row>
    <row r="9106" spans="2:5">
      <c r="B9106" s="121">
        <v>780</v>
      </c>
      <c r="C9106" s="121">
        <v>19</v>
      </c>
      <c r="D9106" s="734">
        <v>141.86212983917252</v>
      </c>
      <c r="E9106" s="733"/>
    </row>
    <row r="9107" spans="2:5">
      <c r="B9107" s="121">
        <v>780</v>
      </c>
      <c r="C9107" s="121">
        <v>20</v>
      </c>
      <c r="D9107" s="734">
        <v>140.91308762130416</v>
      </c>
      <c r="E9107" s="733"/>
    </row>
    <row r="9108" spans="2:5">
      <c r="B9108" s="121">
        <v>780</v>
      </c>
      <c r="C9108" s="121">
        <v>21</v>
      </c>
      <c r="D9108" s="734">
        <v>145.70647431095841</v>
      </c>
      <c r="E9108" s="733"/>
    </row>
    <row r="9109" spans="2:5">
      <c r="B9109" s="121">
        <v>780</v>
      </c>
      <c r="C9109" s="121">
        <v>22</v>
      </c>
      <c r="D9109" s="734">
        <v>134.6616383572908</v>
      </c>
      <c r="E9109" s="733"/>
    </row>
    <row r="9110" spans="2:5">
      <c r="B9110" s="121">
        <v>780</v>
      </c>
      <c r="C9110" s="121">
        <v>23</v>
      </c>
      <c r="D9110" s="734">
        <v>138.56048875694171</v>
      </c>
      <c r="E9110" s="733"/>
    </row>
    <row r="9111" spans="2:5">
      <c r="B9111" s="121">
        <v>780</v>
      </c>
      <c r="C9111" s="121">
        <v>24</v>
      </c>
      <c r="D9111" s="734">
        <v>136.20858380790369</v>
      </c>
      <c r="E9111" s="733"/>
    </row>
    <row r="9112" spans="2:5">
      <c r="B9112" s="121">
        <v>780</v>
      </c>
      <c r="C9112" s="121">
        <v>25</v>
      </c>
      <c r="D9112" s="734">
        <v>134.99319501068837</v>
      </c>
      <c r="E9112" s="733"/>
    </row>
    <row r="9113" spans="2:5">
      <c r="B9113" s="121">
        <v>780</v>
      </c>
      <c r="C9113" s="121">
        <v>26</v>
      </c>
      <c r="D9113" s="734">
        <v>139.75371370526386</v>
      </c>
      <c r="E9113" s="733"/>
    </row>
    <row r="9114" spans="2:5">
      <c r="B9114" s="121">
        <v>780</v>
      </c>
      <c r="C9114" s="121">
        <v>27</v>
      </c>
      <c r="D9114" s="734">
        <v>145.44363852221539</v>
      </c>
      <c r="E9114" s="733"/>
    </row>
    <row r="9115" spans="2:5">
      <c r="B9115" s="121">
        <v>781</v>
      </c>
      <c r="C9115" s="121">
        <v>1</v>
      </c>
      <c r="D9115" s="734">
        <v>5</v>
      </c>
      <c r="E9115" s="733"/>
    </row>
    <row r="9116" spans="2:5">
      <c r="B9116" s="121">
        <v>781</v>
      </c>
      <c r="C9116" s="121">
        <v>2</v>
      </c>
      <c r="D9116" s="734">
        <v>99.049703132566933</v>
      </c>
      <c r="E9116" s="733"/>
    </row>
    <row r="9117" spans="2:5">
      <c r="B9117" s="121">
        <v>782</v>
      </c>
      <c r="C9117" s="121">
        <v>1</v>
      </c>
      <c r="D9117" s="734">
        <v>5</v>
      </c>
      <c r="E9117" s="733"/>
    </row>
    <row r="9118" spans="2:5">
      <c r="B9118" s="121">
        <v>782</v>
      </c>
      <c r="C9118" s="121">
        <v>2</v>
      </c>
      <c r="D9118" s="734">
        <v>102.95255862403776</v>
      </c>
      <c r="E9118" s="733"/>
    </row>
    <row r="9119" spans="2:5">
      <c r="B9119" s="121">
        <v>782</v>
      </c>
      <c r="C9119" s="121">
        <v>3</v>
      </c>
      <c r="D9119" s="734">
        <v>120.87814158977379</v>
      </c>
      <c r="E9119" s="733"/>
    </row>
    <row r="9120" spans="2:5">
      <c r="B9120" s="121">
        <v>782</v>
      </c>
      <c r="C9120" s="121">
        <v>4</v>
      </c>
      <c r="D9120" s="734">
        <v>135.6541210764687</v>
      </c>
      <c r="E9120" s="733"/>
    </row>
    <row r="9121" spans="2:5">
      <c r="B9121" s="121">
        <v>782</v>
      </c>
      <c r="C9121" s="121">
        <v>5</v>
      </c>
      <c r="D9121" s="734">
        <v>135.7750349187553</v>
      </c>
      <c r="E9121" s="733"/>
    </row>
    <row r="9122" spans="2:5">
      <c r="B9122" s="121">
        <v>782</v>
      </c>
      <c r="C9122" s="121">
        <v>6</v>
      </c>
      <c r="D9122" s="734">
        <v>140.46716031573968</v>
      </c>
      <c r="E9122" s="733"/>
    </row>
    <row r="9123" spans="2:5">
      <c r="B9123" s="121">
        <v>782</v>
      </c>
      <c r="C9123" s="121">
        <v>7</v>
      </c>
      <c r="D9123" s="734">
        <v>139.38046465892293</v>
      </c>
      <c r="E9123" s="733"/>
    </row>
    <row r="9124" spans="2:5">
      <c r="B9124" s="121">
        <v>782</v>
      </c>
      <c r="C9124" s="121">
        <v>8</v>
      </c>
      <c r="D9124" s="734">
        <v>139.79231075462289</v>
      </c>
      <c r="E9124" s="733"/>
    </row>
    <row r="9125" spans="2:5">
      <c r="B9125" s="121">
        <v>782</v>
      </c>
      <c r="C9125" s="121">
        <v>9</v>
      </c>
      <c r="D9125" s="734">
        <v>136.76276362144381</v>
      </c>
      <c r="E9125" s="733"/>
    </row>
    <row r="9126" spans="2:5">
      <c r="B9126" s="121">
        <v>782</v>
      </c>
      <c r="C9126" s="121">
        <v>10</v>
      </c>
      <c r="D9126" s="734">
        <v>145.93369307989872</v>
      </c>
      <c r="E9126" s="733"/>
    </row>
    <row r="9127" spans="2:5">
      <c r="B9127" s="121">
        <v>782</v>
      </c>
      <c r="C9127" s="121">
        <v>11</v>
      </c>
      <c r="D9127" s="734">
        <v>146.56138956346166</v>
      </c>
      <c r="E9127" s="733"/>
    </row>
    <row r="9128" spans="2:5">
      <c r="B9128" s="121">
        <v>782</v>
      </c>
      <c r="C9128" s="121">
        <v>12</v>
      </c>
      <c r="D9128" s="734">
        <v>135.33217647946279</v>
      </c>
      <c r="E9128" s="733"/>
    </row>
    <row r="9129" spans="2:5">
      <c r="B9129" s="121">
        <v>782</v>
      </c>
      <c r="C9129" s="121">
        <v>13</v>
      </c>
      <c r="D9129" s="734">
        <v>140.82790888491061</v>
      </c>
      <c r="E9129" s="733"/>
    </row>
    <row r="9130" spans="2:5">
      <c r="B9130" s="121">
        <v>783</v>
      </c>
      <c r="C9130" s="121">
        <v>1</v>
      </c>
      <c r="D9130" s="734">
        <v>5</v>
      </c>
      <c r="E9130" s="733"/>
    </row>
    <row r="9131" spans="2:5">
      <c r="B9131" s="121">
        <v>783</v>
      </c>
      <c r="C9131" s="121">
        <v>2</v>
      </c>
      <c r="D9131" s="734">
        <v>97.879427011556515</v>
      </c>
      <c r="E9131" s="733"/>
    </row>
    <row r="9132" spans="2:5">
      <c r="B9132" s="121">
        <v>783</v>
      </c>
      <c r="C9132" s="121">
        <v>3</v>
      </c>
      <c r="D9132" s="734">
        <v>114.83794430992994</v>
      </c>
      <c r="E9132" s="733"/>
    </row>
    <row r="9133" spans="2:5">
      <c r="B9133" s="121">
        <v>783</v>
      </c>
      <c r="C9133" s="121">
        <v>4</v>
      </c>
      <c r="D9133" s="734">
        <v>143.93844231928512</v>
      </c>
      <c r="E9133" s="733"/>
    </row>
    <row r="9134" spans="2:5">
      <c r="B9134" s="121">
        <v>783</v>
      </c>
      <c r="C9134" s="121">
        <v>5</v>
      </c>
      <c r="D9134" s="734">
        <v>145.06550673831075</v>
      </c>
      <c r="E9134" s="733"/>
    </row>
    <row r="9135" spans="2:5">
      <c r="B9135" s="121">
        <v>783</v>
      </c>
      <c r="C9135" s="121">
        <v>6</v>
      </c>
      <c r="D9135" s="734">
        <v>142.20970874072992</v>
      </c>
      <c r="E9135" s="733"/>
    </row>
    <row r="9136" spans="2:5">
      <c r="B9136" s="121">
        <v>783</v>
      </c>
      <c r="C9136" s="121">
        <v>7</v>
      </c>
      <c r="D9136" s="734">
        <v>139.28074471258992</v>
      </c>
      <c r="E9136" s="733"/>
    </row>
    <row r="9137" spans="2:5">
      <c r="B9137" s="121">
        <v>784</v>
      </c>
      <c r="C9137" s="121">
        <v>1</v>
      </c>
      <c r="D9137" s="734">
        <v>5</v>
      </c>
      <c r="E9137" s="733"/>
    </row>
    <row r="9138" spans="2:5">
      <c r="B9138" s="121">
        <v>785</v>
      </c>
      <c r="C9138" s="121">
        <v>1</v>
      </c>
      <c r="D9138" s="734">
        <v>5</v>
      </c>
      <c r="E9138" s="733"/>
    </row>
    <row r="9139" spans="2:5">
      <c r="B9139" s="121">
        <v>786</v>
      </c>
      <c r="C9139" s="121">
        <v>1</v>
      </c>
      <c r="D9139" s="734">
        <v>5</v>
      </c>
      <c r="E9139" s="733"/>
    </row>
    <row r="9140" spans="2:5">
      <c r="B9140" s="121">
        <v>786</v>
      </c>
      <c r="C9140" s="121">
        <v>2</v>
      </c>
      <c r="D9140" s="734">
        <v>99.015612727459441</v>
      </c>
      <c r="E9140" s="733"/>
    </row>
    <row r="9141" spans="2:5">
      <c r="B9141" s="121">
        <v>786</v>
      </c>
      <c r="C9141" s="121">
        <v>3</v>
      </c>
      <c r="D9141" s="734">
        <v>123.47849936191521</v>
      </c>
      <c r="E9141" s="733"/>
    </row>
    <row r="9142" spans="2:5">
      <c r="B9142" s="121">
        <v>786</v>
      </c>
      <c r="C9142" s="121">
        <v>4</v>
      </c>
      <c r="D9142" s="734">
        <v>146.77775146394072</v>
      </c>
      <c r="E9142" s="733"/>
    </row>
    <row r="9143" spans="2:5">
      <c r="B9143" s="121">
        <v>786</v>
      </c>
      <c r="C9143" s="121">
        <v>5</v>
      </c>
      <c r="D9143" s="734">
        <v>145.38762738554357</v>
      </c>
      <c r="E9143" s="733"/>
    </row>
    <row r="9144" spans="2:5">
      <c r="B9144" s="121">
        <v>786</v>
      </c>
      <c r="C9144" s="121">
        <v>6</v>
      </c>
      <c r="D9144" s="734">
        <v>140.24690499633843</v>
      </c>
      <c r="E9144" s="733"/>
    </row>
    <row r="9145" spans="2:5">
      <c r="B9145" s="121">
        <v>786</v>
      </c>
      <c r="C9145" s="121">
        <v>7</v>
      </c>
      <c r="D9145" s="734">
        <v>139.53887912549408</v>
      </c>
      <c r="E9145" s="733"/>
    </row>
    <row r="9146" spans="2:5">
      <c r="B9146" s="121">
        <v>786</v>
      </c>
      <c r="C9146" s="121">
        <v>8</v>
      </c>
      <c r="D9146" s="734">
        <v>141.71755921634198</v>
      </c>
      <c r="E9146" s="733"/>
    </row>
    <row r="9147" spans="2:5">
      <c r="B9147" s="121">
        <v>786</v>
      </c>
      <c r="C9147" s="121">
        <v>9</v>
      </c>
      <c r="D9147" s="734">
        <v>145.91544011169401</v>
      </c>
      <c r="E9147" s="733"/>
    </row>
    <row r="9148" spans="2:5">
      <c r="B9148" s="121">
        <v>786</v>
      </c>
      <c r="C9148" s="121">
        <v>10</v>
      </c>
      <c r="D9148" s="734">
        <v>146.92022893953475</v>
      </c>
      <c r="E9148" s="733"/>
    </row>
    <row r="9149" spans="2:5">
      <c r="B9149" s="121">
        <v>786</v>
      </c>
      <c r="C9149" s="121">
        <v>11</v>
      </c>
      <c r="D9149" s="734">
        <v>138.59708829499769</v>
      </c>
      <c r="E9149" s="733"/>
    </row>
    <row r="9150" spans="2:5">
      <c r="B9150" s="121">
        <v>786</v>
      </c>
      <c r="C9150" s="121">
        <v>12</v>
      </c>
      <c r="D9150" s="734">
        <v>141.7921617633346</v>
      </c>
      <c r="E9150" s="733"/>
    </row>
    <row r="9151" spans="2:5">
      <c r="B9151" s="121">
        <v>786</v>
      </c>
      <c r="C9151" s="121">
        <v>13</v>
      </c>
      <c r="D9151" s="734">
        <v>144.58617863751147</v>
      </c>
      <c r="E9151" s="733"/>
    </row>
    <row r="9152" spans="2:5">
      <c r="B9152" s="121">
        <v>786</v>
      </c>
      <c r="C9152" s="121">
        <v>14</v>
      </c>
      <c r="D9152" s="734">
        <v>143.68609411116958</v>
      </c>
      <c r="E9152" s="733"/>
    </row>
    <row r="9153" spans="2:5">
      <c r="B9153" s="121">
        <v>786</v>
      </c>
      <c r="C9153" s="121">
        <v>15</v>
      </c>
      <c r="D9153" s="734">
        <v>142.8490927948275</v>
      </c>
      <c r="E9153" s="733"/>
    </row>
    <row r="9154" spans="2:5">
      <c r="B9154" s="121">
        <v>786</v>
      </c>
      <c r="C9154" s="121">
        <v>16</v>
      </c>
      <c r="D9154" s="734">
        <v>136.5877659962924</v>
      </c>
      <c r="E9154" s="733"/>
    </row>
    <row r="9155" spans="2:5">
      <c r="B9155" s="121">
        <v>786</v>
      </c>
      <c r="C9155" s="121">
        <v>17</v>
      </c>
      <c r="D9155" s="734">
        <v>134.44898444344966</v>
      </c>
      <c r="E9155" s="733"/>
    </row>
    <row r="9156" spans="2:5">
      <c r="B9156" s="121">
        <v>786</v>
      </c>
      <c r="C9156" s="121">
        <v>18</v>
      </c>
      <c r="D9156" s="734">
        <v>146.10005051781997</v>
      </c>
      <c r="E9156" s="733"/>
    </row>
    <row r="9157" spans="2:5">
      <c r="B9157" s="121">
        <v>786</v>
      </c>
      <c r="C9157" s="121">
        <v>19</v>
      </c>
      <c r="D9157" s="734">
        <v>140.39721878737734</v>
      </c>
      <c r="E9157" s="733"/>
    </row>
    <row r="9158" spans="2:5">
      <c r="B9158" s="121">
        <v>786</v>
      </c>
      <c r="C9158" s="121">
        <v>20</v>
      </c>
      <c r="D9158" s="734">
        <v>147.07882981703281</v>
      </c>
      <c r="E9158" s="733"/>
    </row>
    <row r="9159" spans="2:5">
      <c r="B9159" s="121">
        <v>786</v>
      </c>
      <c r="C9159" s="121">
        <v>21</v>
      </c>
      <c r="D9159" s="734">
        <v>134.80323890473537</v>
      </c>
      <c r="E9159" s="733"/>
    </row>
    <row r="9160" spans="2:5">
      <c r="B9160" s="121">
        <v>786</v>
      </c>
      <c r="C9160" s="121">
        <v>22</v>
      </c>
      <c r="D9160" s="734">
        <v>136.53366373892686</v>
      </c>
      <c r="E9160" s="733"/>
    </row>
    <row r="9161" spans="2:5">
      <c r="B9161" s="121">
        <v>786</v>
      </c>
      <c r="C9161" s="121">
        <v>23</v>
      </c>
      <c r="D9161" s="734">
        <v>137.29611806737518</v>
      </c>
      <c r="E9161" s="733"/>
    </row>
    <row r="9162" spans="2:5">
      <c r="B9162" s="121">
        <v>786</v>
      </c>
      <c r="C9162" s="121">
        <v>24</v>
      </c>
      <c r="D9162" s="734">
        <v>140.30583633567991</v>
      </c>
      <c r="E9162" s="733"/>
    </row>
    <row r="9163" spans="2:5">
      <c r="B9163" s="121">
        <v>786</v>
      </c>
      <c r="C9163" s="121">
        <v>25</v>
      </c>
      <c r="D9163" s="734">
        <v>146.85010829304983</v>
      </c>
      <c r="E9163" s="733"/>
    </row>
    <row r="9164" spans="2:5">
      <c r="B9164" s="121">
        <v>786</v>
      </c>
      <c r="C9164" s="121">
        <v>26</v>
      </c>
      <c r="D9164" s="734">
        <v>135.75570879003965</v>
      </c>
      <c r="E9164" s="733"/>
    </row>
    <row r="9165" spans="2:5">
      <c r="B9165" s="121">
        <v>786</v>
      </c>
      <c r="C9165" s="121">
        <v>27</v>
      </c>
      <c r="D9165" s="734">
        <v>142.37985810183361</v>
      </c>
      <c r="E9165" s="733"/>
    </row>
    <row r="9166" spans="2:5">
      <c r="B9166" s="121">
        <v>786</v>
      </c>
      <c r="C9166" s="121">
        <v>28</v>
      </c>
      <c r="D9166" s="734">
        <v>135.73011431596336</v>
      </c>
      <c r="E9166" s="733"/>
    </row>
    <row r="9167" spans="2:5">
      <c r="B9167" s="121">
        <v>786</v>
      </c>
      <c r="C9167" s="121">
        <v>29</v>
      </c>
      <c r="D9167" s="734">
        <v>138.9214550727437</v>
      </c>
      <c r="E9167" s="733"/>
    </row>
    <row r="9168" spans="2:5">
      <c r="B9168" s="121">
        <v>786</v>
      </c>
      <c r="C9168" s="121">
        <v>30</v>
      </c>
      <c r="D9168" s="734">
        <v>135.44286482659953</v>
      </c>
      <c r="E9168" s="733"/>
    </row>
    <row r="9169" spans="2:5">
      <c r="B9169" s="121">
        <v>786</v>
      </c>
      <c r="C9169" s="121">
        <v>31</v>
      </c>
      <c r="D9169" s="734">
        <v>134.43813486664686</v>
      </c>
      <c r="E9169" s="733"/>
    </row>
    <row r="9170" spans="2:5">
      <c r="B9170" s="121">
        <v>786</v>
      </c>
      <c r="C9170" s="121">
        <v>32</v>
      </c>
      <c r="D9170" s="734">
        <v>139.00891248796836</v>
      </c>
      <c r="E9170" s="733"/>
    </row>
    <row r="9171" spans="2:5">
      <c r="B9171" s="121">
        <v>786</v>
      </c>
      <c r="C9171" s="121">
        <v>33</v>
      </c>
      <c r="D9171" s="734">
        <v>142.81615894994363</v>
      </c>
      <c r="E9171" s="733"/>
    </row>
    <row r="9172" spans="2:5">
      <c r="B9172" s="121">
        <v>786</v>
      </c>
      <c r="C9172" s="121">
        <v>34</v>
      </c>
      <c r="D9172" s="734">
        <v>138.75555292462195</v>
      </c>
      <c r="E9172" s="733"/>
    </row>
    <row r="9173" spans="2:5">
      <c r="B9173" s="121">
        <v>786</v>
      </c>
      <c r="C9173" s="121">
        <v>35</v>
      </c>
      <c r="D9173" s="734">
        <v>146.0075729548528</v>
      </c>
      <c r="E9173" s="733"/>
    </row>
    <row r="9174" spans="2:5">
      <c r="B9174" s="121">
        <v>786</v>
      </c>
      <c r="C9174" s="121">
        <v>36</v>
      </c>
      <c r="D9174" s="734">
        <v>136.91218675542137</v>
      </c>
      <c r="E9174" s="733"/>
    </row>
    <row r="9175" spans="2:5">
      <c r="B9175" s="121">
        <v>787</v>
      </c>
      <c r="C9175" s="121">
        <v>1</v>
      </c>
      <c r="D9175" s="734">
        <v>5</v>
      </c>
      <c r="E9175" s="733"/>
    </row>
    <row r="9176" spans="2:5">
      <c r="B9176" s="121">
        <v>787</v>
      </c>
      <c r="C9176" s="121">
        <v>2</v>
      </c>
      <c r="D9176" s="734">
        <v>97.040005917738725</v>
      </c>
      <c r="E9176" s="733"/>
    </row>
    <row r="9177" spans="2:5">
      <c r="B9177" s="121">
        <v>787</v>
      </c>
      <c r="C9177" s="121">
        <v>3</v>
      </c>
      <c r="D9177" s="734">
        <v>123.25485595900979</v>
      </c>
      <c r="E9177" s="733"/>
    </row>
    <row r="9178" spans="2:5">
      <c r="B9178" s="121">
        <v>787</v>
      </c>
      <c r="C9178" s="121">
        <v>4</v>
      </c>
      <c r="D9178" s="734">
        <v>139.05395033801014</v>
      </c>
      <c r="E9178" s="733"/>
    </row>
    <row r="9179" spans="2:5">
      <c r="B9179" s="121">
        <v>788</v>
      </c>
      <c r="C9179" s="121">
        <v>1</v>
      </c>
      <c r="D9179" s="734">
        <v>5</v>
      </c>
      <c r="E9179" s="733"/>
    </row>
    <row r="9180" spans="2:5">
      <c r="B9180" s="121">
        <v>789</v>
      </c>
      <c r="C9180" s="121">
        <v>1</v>
      </c>
      <c r="D9180" s="734">
        <v>5</v>
      </c>
      <c r="E9180" s="733"/>
    </row>
    <row r="9181" spans="2:5">
      <c r="B9181" s="121">
        <v>789</v>
      </c>
      <c r="C9181" s="121">
        <v>2</v>
      </c>
      <c r="D9181" s="734">
        <v>99.348037066459256</v>
      </c>
      <c r="E9181" s="733"/>
    </row>
    <row r="9182" spans="2:5">
      <c r="B9182" s="121">
        <v>789</v>
      </c>
      <c r="C9182" s="121">
        <v>3</v>
      </c>
      <c r="D9182" s="734">
        <v>121.9333001034984</v>
      </c>
      <c r="E9182" s="733"/>
    </row>
    <row r="9183" spans="2:5">
      <c r="B9183" s="121">
        <v>789</v>
      </c>
      <c r="C9183" s="121">
        <v>4</v>
      </c>
      <c r="D9183" s="734">
        <v>146.45691862321877</v>
      </c>
      <c r="E9183" s="733"/>
    </row>
    <row r="9184" spans="2:5">
      <c r="B9184" s="121">
        <v>789</v>
      </c>
      <c r="C9184" s="121">
        <v>5</v>
      </c>
      <c r="D9184" s="734">
        <v>142.36744615953018</v>
      </c>
      <c r="E9184" s="733"/>
    </row>
    <row r="9185" spans="2:5">
      <c r="B9185" s="121">
        <v>789</v>
      </c>
      <c r="C9185" s="121">
        <v>6</v>
      </c>
      <c r="D9185" s="734">
        <v>138.05613729028352</v>
      </c>
      <c r="E9185" s="733"/>
    </row>
    <row r="9186" spans="2:5">
      <c r="B9186" s="121">
        <v>789</v>
      </c>
      <c r="C9186" s="121">
        <v>7</v>
      </c>
      <c r="D9186" s="734">
        <v>144.72550424302</v>
      </c>
      <c r="E9186" s="733"/>
    </row>
    <row r="9187" spans="2:5">
      <c r="B9187" s="121">
        <v>789</v>
      </c>
      <c r="C9187" s="121">
        <v>8</v>
      </c>
      <c r="D9187" s="734">
        <v>143.89165522169336</v>
      </c>
      <c r="E9187" s="733"/>
    </row>
    <row r="9188" spans="2:5">
      <c r="B9188" s="121">
        <v>789</v>
      </c>
      <c r="C9188" s="121">
        <v>9</v>
      </c>
      <c r="D9188" s="734">
        <v>137.35359276630436</v>
      </c>
      <c r="E9188" s="733"/>
    </row>
    <row r="9189" spans="2:5">
      <c r="B9189" s="121">
        <v>789</v>
      </c>
      <c r="C9189" s="121">
        <v>10</v>
      </c>
      <c r="D9189" s="734">
        <v>138.9761856798315</v>
      </c>
      <c r="E9189" s="733"/>
    </row>
    <row r="9190" spans="2:5">
      <c r="B9190" s="121">
        <v>789</v>
      </c>
      <c r="C9190" s="121">
        <v>11</v>
      </c>
      <c r="D9190" s="734">
        <v>142.72137952388695</v>
      </c>
      <c r="E9190" s="733"/>
    </row>
    <row r="9191" spans="2:5">
      <c r="B9191" s="121">
        <v>789</v>
      </c>
      <c r="C9191" s="121">
        <v>12</v>
      </c>
      <c r="D9191" s="734">
        <v>135.27965950809036</v>
      </c>
      <c r="E9191" s="733"/>
    </row>
    <row r="9192" spans="2:5">
      <c r="B9192" s="121">
        <v>789</v>
      </c>
      <c r="C9192" s="121">
        <v>13</v>
      </c>
      <c r="D9192" s="734">
        <v>146.82334848884435</v>
      </c>
      <c r="E9192" s="733"/>
    </row>
    <row r="9193" spans="2:5">
      <c r="B9193" s="121">
        <v>789</v>
      </c>
      <c r="C9193" s="121">
        <v>14</v>
      </c>
      <c r="D9193" s="734">
        <v>142.60210085044892</v>
      </c>
      <c r="E9193" s="733"/>
    </row>
    <row r="9194" spans="2:5">
      <c r="B9194" s="121">
        <v>790</v>
      </c>
      <c r="C9194" s="121">
        <v>1</v>
      </c>
      <c r="D9194" s="734">
        <v>5</v>
      </c>
      <c r="E9194" s="733"/>
    </row>
    <row r="9195" spans="2:5">
      <c r="B9195" s="121">
        <v>791</v>
      </c>
      <c r="C9195" s="121">
        <v>1</v>
      </c>
      <c r="D9195" s="734">
        <v>5</v>
      </c>
      <c r="E9195" s="733"/>
    </row>
    <row r="9196" spans="2:5">
      <c r="B9196" s="121">
        <v>791</v>
      </c>
      <c r="C9196" s="121">
        <v>2</v>
      </c>
      <c r="D9196" s="734">
        <v>96.611786980988754</v>
      </c>
      <c r="E9196" s="733"/>
    </row>
    <row r="9197" spans="2:5">
      <c r="B9197" s="121">
        <v>792</v>
      </c>
      <c r="C9197" s="121">
        <v>1</v>
      </c>
      <c r="D9197" s="734">
        <v>5</v>
      </c>
      <c r="E9197" s="733"/>
    </row>
    <row r="9198" spans="2:5">
      <c r="B9198" s="121">
        <v>792</v>
      </c>
      <c r="C9198" s="121">
        <v>2</v>
      </c>
      <c r="D9198" s="734">
        <v>95.259688548740769</v>
      </c>
      <c r="E9198" s="733"/>
    </row>
    <row r="9199" spans="2:5">
      <c r="B9199" s="121">
        <v>792</v>
      </c>
      <c r="C9199" s="121">
        <v>3</v>
      </c>
      <c r="D9199" s="734">
        <v>124.30946013408482</v>
      </c>
      <c r="E9199" s="733"/>
    </row>
    <row r="9200" spans="2:5">
      <c r="B9200" s="121">
        <v>792</v>
      </c>
      <c r="C9200" s="121">
        <v>4</v>
      </c>
      <c r="D9200" s="734">
        <v>141.0436673783563</v>
      </c>
      <c r="E9200" s="733"/>
    </row>
    <row r="9201" spans="2:5">
      <c r="B9201" s="121">
        <v>792</v>
      </c>
      <c r="C9201" s="121">
        <v>5</v>
      </c>
      <c r="D9201" s="734">
        <v>142.43408741975205</v>
      </c>
      <c r="E9201" s="733"/>
    </row>
    <row r="9202" spans="2:5">
      <c r="B9202" s="121">
        <v>792</v>
      </c>
      <c r="C9202" s="121">
        <v>6</v>
      </c>
      <c r="D9202" s="734">
        <v>144.45617770332137</v>
      </c>
      <c r="E9202" s="733"/>
    </row>
    <row r="9203" spans="2:5">
      <c r="B9203" s="121">
        <v>792</v>
      </c>
      <c r="C9203" s="121">
        <v>7</v>
      </c>
      <c r="D9203" s="734">
        <v>144.42782131992371</v>
      </c>
      <c r="E9203" s="733"/>
    </row>
    <row r="9204" spans="2:5">
      <c r="B9204" s="121">
        <v>792</v>
      </c>
      <c r="C9204" s="121">
        <v>8</v>
      </c>
      <c r="D9204" s="734">
        <v>134.76147541287045</v>
      </c>
      <c r="E9204" s="733"/>
    </row>
    <row r="9205" spans="2:5">
      <c r="B9205" s="121">
        <v>792</v>
      </c>
      <c r="C9205" s="121">
        <v>9</v>
      </c>
      <c r="D9205" s="734">
        <v>137.00255629224731</v>
      </c>
      <c r="E9205" s="733"/>
    </row>
    <row r="9206" spans="2:5">
      <c r="B9206" s="121">
        <v>792</v>
      </c>
      <c r="C9206" s="121">
        <v>10</v>
      </c>
      <c r="D9206" s="734">
        <v>135.45332639717861</v>
      </c>
      <c r="E9206" s="733"/>
    </row>
    <row r="9207" spans="2:5">
      <c r="B9207" s="121">
        <v>792</v>
      </c>
      <c r="C9207" s="121">
        <v>11</v>
      </c>
      <c r="D9207" s="734">
        <v>134.64468424074477</v>
      </c>
      <c r="E9207" s="733"/>
    </row>
    <row r="9208" spans="2:5">
      <c r="B9208" s="121">
        <v>792</v>
      </c>
      <c r="C9208" s="121">
        <v>12</v>
      </c>
      <c r="D9208" s="734">
        <v>137.28411303418756</v>
      </c>
      <c r="E9208" s="733"/>
    </row>
    <row r="9209" spans="2:5">
      <c r="B9209" s="121">
        <v>792</v>
      </c>
      <c r="C9209" s="121">
        <v>13</v>
      </c>
      <c r="D9209" s="734">
        <v>145.53495354550063</v>
      </c>
      <c r="E9209" s="733"/>
    </row>
    <row r="9210" spans="2:5">
      <c r="B9210" s="121">
        <v>792</v>
      </c>
      <c r="C9210" s="121">
        <v>14</v>
      </c>
      <c r="D9210" s="734">
        <v>140.7468907973348</v>
      </c>
      <c r="E9210" s="733"/>
    </row>
    <row r="9211" spans="2:5">
      <c r="B9211" s="121">
        <v>792</v>
      </c>
      <c r="C9211" s="121">
        <v>15</v>
      </c>
      <c r="D9211" s="734">
        <v>144.23000725381289</v>
      </c>
      <c r="E9211" s="733"/>
    </row>
    <row r="9212" spans="2:5">
      <c r="B9212" s="121">
        <v>792</v>
      </c>
      <c r="C9212" s="121">
        <v>16</v>
      </c>
      <c r="D9212" s="734">
        <v>134.9147482451904</v>
      </c>
      <c r="E9212" s="733"/>
    </row>
    <row r="9213" spans="2:5">
      <c r="B9213" s="121">
        <v>792</v>
      </c>
      <c r="C9213" s="121">
        <v>17</v>
      </c>
      <c r="D9213" s="734">
        <v>141.40704236046824</v>
      </c>
      <c r="E9213" s="733"/>
    </row>
    <row r="9214" spans="2:5">
      <c r="B9214" s="121">
        <v>792</v>
      </c>
      <c r="C9214" s="121">
        <v>18</v>
      </c>
      <c r="D9214" s="734">
        <v>140.84100157995437</v>
      </c>
      <c r="E9214" s="733"/>
    </row>
    <row r="9215" spans="2:5">
      <c r="B9215" s="121">
        <v>792</v>
      </c>
      <c r="C9215" s="121">
        <v>19</v>
      </c>
      <c r="D9215" s="734">
        <v>145.22724937515318</v>
      </c>
      <c r="E9215" s="733"/>
    </row>
    <row r="9216" spans="2:5">
      <c r="B9216" s="121">
        <v>792</v>
      </c>
      <c r="C9216" s="121">
        <v>20</v>
      </c>
      <c r="D9216" s="734">
        <v>141.03816554395061</v>
      </c>
      <c r="E9216" s="733"/>
    </row>
    <row r="9217" spans="2:5">
      <c r="B9217" s="121">
        <v>792</v>
      </c>
      <c r="C9217" s="121">
        <v>21</v>
      </c>
      <c r="D9217" s="734">
        <v>143.71677015696645</v>
      </c>
      <c r="E9217" s="733"/>
    </row>
    <row r="9218" spans="2:5">
      <c r="B9218" s="121">
        <v>793</v>
      </c>
      <c r="C9218" s="121">
        <v>1</v>
      </c>
      <c r="D9218" s="734">
        <v>5</v>
      </c>
      <c r="E9218" s="733"/>
    </row>
    <row r="9219" spans="2:5">
      <c r="B9219" s="121">
        <v>793</v>
      </c>
      <c r="C9219" s="121">
        <v>2</v>
      </c>
      <c r="D9219" s="734">
        <v>95.890231504856999</v>
      </c>
      <c r="E9219" s="733"/>
    </row>
    <row r="9220" spans="2:5">
      <c r="B9220" s="121">
        <v>793</v>
      </c>
      <c r="C9220" s="121">
        <v>3</v>
      </c>
      <c r="D9220" s="734">
        <v>117.30545590454453</v>
      </c>
      <c r="E9220" s="733"/>
    </row>
    <row r="9221" spans="2:5">
      <c r="B9221" s="121">
        <v>793</v>
      </c>
      <c r="C9221" s="121">
        <v>4</v>
      </c>
      <c r="D9221" s="734">
        <v>146.38757652896996</v>
      </c>
      <c r="E9221" s="733"/>
    </row>
    <row r="9222" spans="2:5">
      <c r="B9222" s="121">
        <v>793</v>
      </c>
      <c r="C9222" s="121">
        <v>5</v>
      </c>
      <c r="D9222" s="734">
        <v>135.22697818583489</v>
      </c>
      <c r="E9222" s="733"/>
    </row>
    <row r="9223" spans="2:5">
      <c r="B9223" s="121">
        <v>793</v>
      </c>
      <c r="C9223" s="121">
        <v>6</v>
      </c>
      <c r="D9223" s="734">
        <v>138.24965501669246</v>
      </c>
      <c r="E9223" s="733"/>
    </row>
    <row r="9224" spans="2:5">
      <c r="B9224" s="121">
        <v>793</v>
      </c>
      <c r="C9224" s="121">
        <v>7</v>
      </c>
      <c r="D9224" s="734">
        <v>146.07414935582665</v>
      </c>
      <c r="E9224" s="733"/>
    </row>
    <row r="9225" spans="2:5">
      <c r="B9225" s="121">
        <v>793</v>
      </c>
      <c r="C9225" s="121">
        <v>8</v>
      </c>
      <c r="D9225" s="734">
        <v>145.90341950977336</v>
      </c>
      <c r="E9225" s="733"/>
    </row>
    <row r="9226" spans="2:5">
      <c r="B9226" s="121">
        <v>793</v>
      </c>
      <c r="C9226" s="121">
        <v>9</v>
      </c>
      <c r="D9226" s="734">
        <v>136.44774307817818</v>
      </c>
      <c r="E9226" s="733"/>
    </row>
    <row r="9227" spans="2:5">
      <c r="B9227" s="121">
        <v>793</v>
      </c>
      <c r="C9227" s="121">
        <v>10</v>
      </c>
      <c r="D9227" s="734">
        <v>142.29093663300281</v>
      </c>
      <c r="E9227" s="733"/>
    </row>
    <row r="9228" spans="2:5">
      <c r="B9228" s="121">
        <v>793</v>
      </c>
      <c r="C9228" s="121">
        <v>11</v>
      </c>
      <c r="D9228" s="734">
        <v>142.45757782055099</v>
      </c>
      <c r="E9228" s="733"/>
    </row>
    <row r="9229" spans="2:5">
      <c r="B9229" s="121">
        <v>793</v>
      </c>
      <c r="C9229" s="121">
        <v>12</v>
      </c>
      <c r="D9229" s="734">
        <v>142.55635790172977</v>
      </c>
      <c r="E9229" s="733"/>
    </row>
    <row r="9230" spans="2:5">
      <c r="B9230" s="121">
        <v>793</v>
      </c>
      <c r="C9230" s="121">
        <v>13</v>
      </c>
      <c r="D9230" s="734">
        <v>140.81363549550926</v>
      </c>
      <c r="E9230" s="733"/>
    </row>
    <row r="9231" spans="2:5">
      <c r="B9231" s="121">
        <v>793</v>
      </c>
      <c r="C9231" s="121">
        <v>14</v>
      </c>
      <c r="D9231" s="734">
        <v>145.42784571024549</v>
      </c>
      <c r="E9231" s="733"/>
    </row>
    <row r="9232" spans="2:5">
      <c r="B9232" s="121">
        <v>793</v>
      </c>
      <c r="C9232" s="121">
        <v>15</v>
      </c>
      <c r="D9232" s="734">
        <v>139.85088303752656</v>
      </c>
      <c r="E9232" s="733"/>
    </row>
    <row r="9233" spans="2:5">
      <c r="B9233" s="121">
        <v>793</v>
      </c>
      <c r="C9233" s="121">
        <v>16</v>
      </c>
      <c r="D9233" s="734">
        <v>145.7313757059182</v>
      </c>
      <c r="E9233" s="733"/>
    </row>
    <row r="9234" spans="2:5">
      <c r="B9234" s="121">
        <v>793</v>
      </c>
      <c r="C9234" s="121">
        <v>17</v>
      </c>
      <c r="D9234" s="734">
        <v>145.3941009791383</v>
      </c>
      <c r="E9234" s="733"/>
    </row>
    <row r="9235" spans="2:5">
      <c r="B9235" s="121">
        <v>793</v>
      </c>
      <c r="C9235" s="121">
        <v>18</v>
      </c>
      <c r="D9235" s="734">
        <v>144.47771201756262</v>
      </c>
      <c r="E9235" s="733"/>
    </row>
    <row r="9236" spans="2:5">
      <c r="B9236" s="121">
        <v>793</v>
      </c>
      <c r="C9236" s="121">
        <v>19</v>
      </c>
      <c r="D9236" s="734">
        <v>138.78062429801341</v>
      </c>
      <c r="E9236" s="733"/>
    </row>
    <row r="9237" spans="2:5">
      <c r="B9237" s="121">
        <v>793</v>
      </c>
      <c r="C9237" s="121">
        <v>20</v>
      </c>
      <c r="D9237" s="734">
        <v>140.35521809919308</v>
      </c>
      <c r="E9237" s="733"/>
    </row>
    <row r="9238" spans="2:5">
      <c r="B9238" s="121">
        <v>793</v>
      </c>
      <c r="C9238" s="121">
        <v>21</v>
      </c>
      <c r="D9238" s="734">
        <v>146.69475983732656</v>
      </c>
      <c r="E9238" s="733"/>
    </row>
    <row r="9239" spans="2:5">
      <c r="B9239" s="121">
        <v>793</v>
      </c>
      <c r="C9239" s="121">
        <v>22</v>
      </c>
      <c r="D9239" s="734">
        <v>135.94316303345141</v>
      </c>
      <c r="E9239" s="733"/>
    </row>
    <row r="9240" spans="2:5">
      <c r="B9240" s="121">
        <v>793</v>
      </c>
      <c r="C9240" s="121">
        <v>23</v>
      </c>
      <c r="D9240" s="734">
        <v>139.05727687577206</v>
      </c>
      <c r="E9240" s="733"/>
    </row>
    <row r="9241" spans="2:5">
      <c r="B9241" s="121">
        <v>793</v>
      </c>
      <c r="C9241" s="121">
        <v>24</v>
      </c>
      <c r="D9241" s="734">
        <v>146.08095762970993</v>
      </c>
      <c r="E9241" s="733"/>
    </row>
    <row r="9242" spans="2:5">
      <c r="B9242" s="121">
        <v>793</v>
      </c>
      <c r="C9242" s="121">
        <v>25</v>
      </c>
      <c r="D9242" s="734">
        <v>144.65924184235132</v>
      </c>
      <c r="E9242" s="733"/>
    </row>
    <row r="9243" spans="2:5">
      <c r="B9243" s="121">
        <v>793</v>
      </c>
      <c r="C9243" s="121">
        <v>26</v>
      </c>
      <c r="D9243" s="734">
        <v>139.69128712285675</v>
      </c>
      <c r="E9243" s="733"/>
    </row>
    <row r="9244" spans="2:5">
      <c r="B9244" s="121">
        <v>793</v>
      </c>
      <c r="C9244" s="121">
        <v>27</v>
      </c>
      <c r="D9244" s="734">
        <v>139.62099819737088</v>
      </c>
      <c r="E9244" s="733"/>
    </row>
    <row r="9245" spans="2:5">
      <c r="B9245" s="121">
        <v>793</v>
      </c>
      <c r="C9245" s="121">
        <v>28</v>
      </c>
      <c r="D9245" s="734">
        <v>139.73592449042062</v>
      </c>
      <c r="E9245" s="733"/>
    </row>
    <row r="9246" spans="2:5">
      <c r="B9246" s="121">
        <v>793</v>
      </c>
      <c r="C9246" s="121">
        <v>29</v>
      </c>
      <c r="D9246" s="734">
        <v>138.72885193920487</v>
      </c>
      <c r="E9246" s="733"/>
    </row>
    <row r="9247" spans="2:5">
      <c r="B9247" s="121">
        <v>793</v>
      </c>
      <c r="C9247" s="121">
        <v>30</v>
      </c>
      <c r="D9247" s="734">
        <v>138.40906637947768</v>
      </c>
      <c r="E9247" s="733"/>
    </row>
    <row r="9248" spans="2:5">
      <c r="B9248" s="121">
        <v>793</v>
      </c>
      <c r="C9248" s="121">
        <v>31</v>
      </c>
      <c r="D9248" s="734">
        <v>142.29973473092736</v>
      </c>
      <c r="E9248" s="733"/>
    </row>
    <row r="9249" spans="2:5">
      <c r="B9249" s="121">
        <v>793</v>
      </c>
      <c r="C9249" s="121">
        <v>32</v>
      </c>
      <c r="D9249" s="734">
        <v>145.53955026827293</v>
      </c>
      <c r="E9249" s="733"/>
    </row>
    <row r="9250" spans="2:5">
      <c r="B9250" s="121">
        <v>793</v>
      </c>
      <c r="C9250" s="121">
        <v>33</v>
      </c>
      <c r="D9250" s="734">
        <v>146.25118934331434</v>
      </c>
      <c r="E9250" s="733"/>
    </row>
    <row r="9251" spans="2:5">
      <c r="B9251" s="121">
        <v>793</v>
      </c>
      <c r="C9251" s="121">
        <v>34</v>
      </c>
      <c r="D9251" s="734">
        <v>146.88702129084797</v>
      </c>
      <c r="E9251" s="733"/>
    </row>
    <row r="9252" spans="2:5">
      <c r="B9252" s="121">
        <v>793</v>
      </c>
      <c r="C9252" s="121">
        <v>35</v>
      </c>
      <c r="D9252" s="734">
        <v>137.47709046966855</v>
      </c>
      <c r="E9252" s="733"/>
    </row>
    <row r="9253" spans="2:5">
      <c r="B9253" s="121">
        <v>793</v>
      </c>
      <c r="C9253" s="121">
        <v>36</v>
      </c>
      <c r="D9253" s="734">
        <v>137.58988391731344</v>
      </c>
      <c r="E9253" s="733"/>
    </row>
    <row r="9254" spans="2:5">
      <c r="B9254" s="121">
        <v>794</v>
      </c>
      <c r="C9254" s="121">
        <v>1</v>
      </c>
      <c r="D9254" s="734">
        <v>5</v>
      </c>
      <c r="E9254" s="733"/>
    </row>
    <row r="9255" spans="2:5">
      <c r="B9255" s="121">
        <v>795</v>
      </c>
      <c r="C9255" s="121">
        <v>1</v>
      </c>
      <c r="D9255" s="734">
        <v>5</v>
      </c>
      <c r="E9255" s="733"/>
    </row>
    <row r="9256" spans="2:5">
      <c r="B9256" s="121">
        <v>795</v>
      </c>
      <c r="C9256" s="121">
        <v>2</v>
      </c>
      <c r="D9256" s="734">
        <v>102.74600733741543</v>
      </c>
      <c r="E9256" s="733"/>
    </row>
    <row r="9257" spans="2:5">
      <c r="B9257" s="121">
        <v>795</v>
      </c>
      <c r="C9257" s="121">
        <v>3</v>
      </c>
      <c r="D9257" s="734">
        <v>119.84715621833915</v>
      </c>
      <c r="E9257" s="733"/>
    </row>
    <row r="9258" spans="2:5">
      <c r="B9258" s="121">
        <v>795</v>
      </c>
      <c r="C9258" s="121">
        <v>4</v>
      </c>
      <c r="D9258" s="734">
        <v>145.33259031116225</v>
      </c>
      <c r="E9258" s="733"/>
    </row>
    <row r="9259" spans="2:5">
      <c r="B9259" s="121">
        <v>795</v>
      </c>
      <c r="C9259" s="121">
        <v>5</v>
      </c>
      <c r="D9259" s="734">
        <v>134.73258425613662</v>
      </c>
      <c r="E9259" s="733"/>
    </row>
    <row r="9260" spans="2:5">
      <c r="B9260" s="121">
        <v>795</v>
      </c>
      <c r="C9260" s="121">
        <v>6</v>
      </c>
      <c r="D9260" s="734">
        <v>146.07353184402069</v>
      </c>
      <c r="E9260" s="733"/>
    </row>
    <row r="9261" spans="2:5">
      <c r="B9261" s="121">
        <v>795</v>
      </c>
      <c r="C9261" s="121">
        <v>7</v>
      </c>
      <c r="D9261" s="734">
        <v>134.40251363691763</v>
      </c>
      <c r="E9261" s="733"/>
    </row>
    <row r="9262" spans="2:5">
      <c r="B9262" s="121">
        <v>795</v>
      </c>
      <c r="C9262" s="121">
        <v>8</v>
      </c>
      <c r="D9262" s="734">
        <v>141.29075496887748</v>
      </c>
      <c r="E9262" s="733"/>
    </row>
    <row r="9263" spans="2:5">
      <c r="B9263" s="121">
        <v>795</v>
      </c>
      <c r="C9263" s="121">
        <v>9</v>
      </c>
      <c r="D9263" s="734">
        <v>138.49138400968394</v>
      </c>
      <c r="E9263" s="733"/>
    </row>
    <row r="9264" spans="2:5">
      <c r="B9264" s="121">
        <v>795</v>
      </c>
      <c r="C9264" s="121">
        <v>10</v>
      </c>
      <c r="D9264" s="734">
        <v>140.26006090564044</v>
      </c>
      <c r="E9264" s="733"/>
    </row>
    <row r="9265" spans="2:5">
      <c r="B9265" s="121">
        <v>795</v>
      </c>
      <c r="C9265" s="121">
        <v>11</v>
      </c>
      <c r="D9265" s="734">
        <v>146.80555162195998</v>
      </c>
      <c r="E9265" s="733"/>
    </row>
    <row r="9266" spans="2:5">
      <c r="B9266" s="121">
        <v>795</v>
      </c>
      <c r="C9266" s="121">
        <v>12</v>
      </c>
      <c r="D9266" s="734">
        <v>136.60760192965813</v>
      </c>
      <c r="E9266" s="733"/>
    </row>
    <row r="9267" spans="2:5">
      <c r="B9267" s="121">
        <v>795</v>
      </c>
      <c r="C9267" s="121">
        <v>13</v>
      </c>
      <c r="D9267" s="734">
        <v>143.30982554797473</v>
      </c>
      <c r="E9267" s="733"/>
    </row>
    <row r="9268" spans="2:5">
      <c r="B9268" s="121">
        <v>795</v>
      </c>
      <c r="C9268" s="121">
        <v>14</v>
      </c>
      <c r="D9268" s="734">
        <v>146.02828295255753</v>
      </c>
      <c r="E9268" s="733"/>
    </row>
    <row r="9269" spans="2:5">
      <c r="B9269" s="121">
        <v>795</v>
      </c>
      <c r="C9269" s="121">
        <v>15</v>
      </c>
      <c r="D9269" s="734">
        <v>138.70852086762179</v>
      </c>
      <c r="E9269" s="733"/>
    </row>
    <row r="9270" spans="2:5">
      <c r="B9270" s="121">
        <v>795</v>
      </c>
      <c r="C9270" s="121">
        <v>16</v>
      </c>
      <c r="D9270" s="734">
        <v>144.08413836530485</v>
      </c>
      <c r="E9270" s="733"/>
    </row>
    <row r="9271" spans="2:5">
      <c r="B9271" s="121">
        <v>795</v>
      </c>
      <c r="C9271" s="121">
        <v>17</v>
      </c>
      <c r="D9271" s="734">
        <v>139.46433992663532</v>
      </c>
      <c r="E9271" s="733"/>
    </row>
    <row r="9272" spans="2:5">
      <c r="B9272" s="121">
        <v>795</v>
      </c>
      <c r="C9272" s="121">
        <v>18</v>
      </c>
      <c r="D9272" s="734">
        <v>134.80042194157528</v>
      </c>
      <c r="E9272" s="733"/>
    </row>
    <row r="9273" spans="2:5">
      <c r="B9273" s="121">
        <v>795</v>
      </c>
      <c r="C9273" s="121">
        <v>19</v>
      </c>
      <c r="D9273" s="734">
        <v>146.92297153926901</v>
      </c>
      <c r="E9273" s="733"/>
    </row>
    <row r="9274" spans="2:5">
      <c r="B9274" s="121">
        <v>795</v>
      </c>
      <c r="C9274" s="121">
        <v>20</v>
      </c>
      <c r="D9274" s="734">
        <v>136.38464817607814</v>
      </c>
      <c r="E9274" s="733"/>
    </row>
    <row r="9275" spans="2:5">
      <c r="B9275" s="121">
        <v>795</v>
      </c>
      <c r="C9275" s="121">
        <v>21</v>
      </c>
      <c r="D9275" s="734">
        <v>142.89217086707566</v>
      </c>
      <c r="E9275" s="733"/>
    </row>
    <row r="9276" spans="2:5">
      <c r="B9276" s="121">
        <v>795</v>
      </c>
      <c r="C9276" s="121">
        <v>22</v>
      </c>
      <c r="D9276" s="734">
        <v>140.79379008506322</v>
      </c>
      <c r="E9276" s="733"/>
    </row>
    <row r="9277" spans="2:5">
      <c r="B9277" s="121">
        <v>795</v>
      </c>
      <c r="C9277" s="121">
        <v>23</v>
      </c>
      <c r="D9277" s="734">
        <v>144.58073835527657</v>
      </c>
      <c r="E9277" s="733"/>
    </row>
    <row r="9278" spans="2:5">
      <c r="B9278" s="121">
        <v>795</v>
      </c>
      <c r="C9278" s="121">
        <v>24</v>
      </c>
      <c r="D9278" s="734">
        <v>135.30111432731678</v>
      </c>
      <c r="E9278" s="733"/>
    </row>
    <row r="9279" spans="2:5">
      <c r="B9279" s="121">
        <v>795</v>
      </c>
      <c r="C9279" s="121">
        <v>25</v>
      </c>
      <c r="D9279" s="734">
        <v>139.46821200733186</v>
      </c>
      <c r="E9279" s="733"/>
    </row>
    <row r="9280" spans="2:5">
      <c r="B9280" s="121">
        <v>795</v>
      </c>
      <c r="C9280" s="121">
        <v>26</v>
      </c>
      <c r="D9280" s="734">
        <v>137.00422829814374</v>
      </c>
      <c r="E9280" s="733"/>
    </row>
    <row r="9281" spans="2:5">
      <c r="B9281" s="121">
        <v>795</v>
      </c>
      <c r="C9281" s="121">
        <v>27</v>
      </c>
      <c r="D9281" s="734">
        <v>139.91293759973306</v>
      </c>
      <c r="E9281" s="733"/>
    </row>
    <row r="9282" spans="2:5">
      <c r="B9282" s="121">
        <v>796</v>
      </c>
      <c r="C9282" s="121">
        <v>1</v>
      </c>
      <c r="D9282" s="734">
        <v>5</v>
      </c>
      <c r="E9282" s="733"/>
    </row>
    <row r="9283" spans="2:5">
      <c r="B9283" s="121">
        <v>796</v>
      </c>
      <c r="C9283" s="121">
        <v>2</v>
      </c>
      <c r="D9283" s="734">
        <v>102.32312044158061</v>
      </c>
      <c r="E9283" s="733"/>
    </row>
    <row r="9284" spans="2:5">
      <c r="B9284" s="121">
        <v>796</v>
      </c>
      <c r="C9284" s="121">
        <v>3</v>
      </c>
      <c r="D9284" s="734">
        <v>117.71991199069879</v>
      </c>
      <c r="E9284" s="733"/>
    </row>
    <row r="9285" spans="2:5">
      <c r="B9285" s="121">
        <v>796</v>
      </c>
      <c r="C9285" s="121">
        <v>4</v>
      </c>
      <c r="D9285" s="734">
        <v>138.6014402074203</v>
      </c>
      <c r="E9285" s="733"/>
    </row>
    <row r="9286" spans="2:5">
      <c r="B9286" s="121">
        <v>796</v>
      </c>
      <c r="C9286" s="121">
        <v>5</v>
      </c>
      <c r="D9286" s="734">
        <v>134.43545501745587</v>
      </c>
      <c r="E9286" s="733"/>
    </row>
    <row r="9287" spans="2:5">
      <c r="B9287" s="121">
        <v>796</v>
      </c>
      <c r="C9287" s="121">
        <v>6</v>
      </c>
      <c r="D9287" s="734">
        <v>145.37230701649594</v>
      </c>
      <c r="E9287" s="733"/>
    </row>
    <row r="9288" spans="2:5">
      <c r="B9288" s="121">
        <v>796</v>
      </c>
      <c r="C9288" s="121">
        <v>7</v>
      </c>
      <c r="D9288" s="734">
        <v>141.72610569827654</v>
      </c>
      <c r="E9288" s="733"/>
    </row>
    <row r="9289" spans="2:5">
      <c r="B9289" s="121">
        <v>797</v>
      </c>
      <c r="C9289" s="121">
        <v>1</v>
      </c>
      <c r="D9289" s="734">
        <v>5</v>
      </c>
      <c r="E9289" s="733"/>
    </row>
    <row r="9290" spans="2:5">
      <c r="B9290" s="121">
        <v>798</v>
      </c>
      <c r="C9290" s="121">
        <v>1</v>
      </c>
      <c r="D9290" s="734">
        <v>5</v>
      </c>
      <c r="E9290" s="733"/>
    </row>
    <row r="9291" spans="2:5">
      <c r="B9291" s="121">
        <v>799</v>
      </c>
      <c r="C9291" s="121">
        <v>1</v>
      </c>
      <c r="D9291" s="734">
        <v>5</v>
      </c>
      <c r="E9291" s="733"/>
    </row>
    <row r="9292" spans="2:5">
      <c r="B9292" s="121">
        <v>799</v>
      </c>
      <c r="C9292" s="121">
        <v>2</v>
      </c>
      <c r="D9292" s="734">
        <v>98.348699461832339</v>
      </c>
      <c r="E9292" s="733"/>
    </row>
    <row r="9293" spans="2:5">
      <c r="B9293" s="121">
        <v>799</v>
      </c>
      <c r="C9293" s="121">
        <v>3</v>
      </c>
      <c r="D9293" s="734">
        <v>116.54383306600594</v>
      </c>
      <c r="E9293" s="733"/>
    </row>
    <row r="9294" spans="2:5">
      <c r="B9294" s="121">
        <v>799</v>
      </c>
      <c r="C9294" s="121">
        <v>4</v>
      </c>
      <c r="D9294" s="734">
        <v>141.89225571657224</v>
      </c>
      <c r="E9294" s="733"/>
    </row>
    <row r="9295" spans="2:5">
      <c r="B9295" s="121">
        <v>799</v>
      </c>
      <c r="C9295" s="121">
        <v>5</v>
      </c>
      <c r="D9295" s="734">
        <v>139.53528201316612</v>
      </c>
      <c r="E9295" s="733"/>
    </row>
    <row r="9296" spans="2:5">
      <c r="B9296" s="121">
        <v>799</v>
      </c>
      <c r="C9296" s="121">
        <v>6</v>
      </c>
      <c r="D9296" s="734">
        <v>140.95493260975613</v>
      </c>
      <c r="E9296" s="733"/>
    </row>
    <row r="9297" spans="2:5">
      <c r="B9297" s="121">
        <v>799</v>
      </c>
      <c r="C9297" s="121">
        <v>7</v>
      </c>
      <c r="D9297" s="734">
        <v>142.91568393405726</v>
      </c>
      <c r="E9297" s="733"/>
    </row>
    <row r="9298" spans="2:5">
      <c r="B9298" s="121">
        <v>799</v>
      </c>
      <c r="C9298" s="121">
        <v>8</v>
      </c>
      <c r="D9298" s="734">
        <v>137.49885869579188</v>
      </c>
      <c r="E9298" s="733"/>
    </row>
    <row r="9299" spans="2:5">
      <c r="B9299" s="121">
        <v>799</v>
      </c>
      <c r="C9299" s="121">
        <v>9</v>
      </c>
      <c r="D9299" s="734">
        <v>144.06137684261714</v>
      </c>
      <c r="E9299" s="733"/>
    </row>
    <row r="9300" spans="2:5">
      <c r="B9300" s="121">
        <v>799</v>
      </c>
      <c r="C9300" s="121">
        <v>10</v>
      </c>
      <c r="D9300" s="734">
        <v>143.94445558828605</v>
      </c>
      <c r="E9300" s="733"/>
    </row>
    <row r="9301" spans="2:5">
      <c r="B9301" s="121">
        <v>799</v>
      </c>
      <c r="C9301" s="121">
        <v>11</v>
      </c>
      <c r="D9301" s="734">
        <v>136.76510560500591</v>
      </c>
      <c r="E9301" s="733"/>
    </row>
    <row r="9302" spans="2:5">
      <c r="B9302" s="121">
        <v>799</v>
      </c>
      <c r="C9302" s="121">
        <v>12</v>
      </c>
      <c r="D9302" s="734">
        <v>135.23225078855651</v>
      </c>
      <c r="E9302" s="733"/>
    </row>
    <row r="9303" spans="2:5">
      <c r="B9303" s="121">
        <v>799</v>
      </c>
      <c r="C9303" s="121">
        <v>13</v>
      </c>
      <c r="D9303" s="734">
        <v>145.6414257939943</v>
      </c>
      <c r="E9303" s="733"/>
    </row>
    <row r="9304" spans="2:5">
      <c r="B9304" s="121">
        <v>799</v>
      </c>
      <c r="C9304" s="121">
        <v>14</v>
      </c>
      <c r="D9304" s="734">
        <v>136.99727237345152</v>
      </c>
      <c r="E9304" s="733"/>
    </row>
    <row r="9305" spans="2:5">
      <c r="B9305" s="121">
        <v>799</v>
      </c>
      <c r="C9305" s="121">
        <v>15</v>
      </c>
      <c r="D9305" s="734">
        <v>146.4291045965679</v>
      </c>
      <c r="E9305" s="733"/>
    </row>
    <row r="9306" spans="2:5">
      <c r="B9306" s="121">
        <v>799</v>
      </c>
      <c r="C9306" s="121">
        <v>16</v>
      </c>
      <c r="D9306" s="734">
        <v>136.45101141318474</v>
      </c>
      <c r="E9306" s="733"/>
    </row>
    <row r="9307" spans="2:5">
      <c r="B9307" s="121">
        <v>799</v>
      </c>
      <c r="C9307" s="121">
        <v>17</v>
      </c>
      <c r="D9307" s="734">
        <v>145.74244415718334</v>
      </c>
      <c r="E9307" s="733"/>
    </row>
    <row r="9308" spans="2:5">
      <c r="B9308" s="121">
        <v>799</v>
      </c>
      <c r="C9308" s="121">
        <v>18</v>
      </c>
      <c r="D9308" s="734">
        <v>140.47104103693363</v>
      </c>
      <c r="E9308" s="733"/>
    </row>
    <row r="9309" spans="2:5">
      <c r="B9309" s="121">
        <v>799</v>
      </c>
      <c r="C9309" s="121">
        <v>19</v>
      </c>
      <c r="D9309" s="734">
        <v>144.76099825113397</v>
      </c>
      <c r="E9309" s="733"/>
    </row>
    <row r="9310" spans="2:5">
      <c r="B9310" s="121">
        <v>799</v>
      </c>
      <c r="C9310" s="121">
        <v>20</v>
      </c>
      <c r="D9310" s="734">
        <v>145.8353982447845</v>
      </c>
      <c r="E9310" s="733"/>
    </row>
    <row r="9311" spans="2:5">
      <c r="B9311" s="121">
        <v>799</v>
      </c>
      <c r="C9311" s="121">
        <v>21</v>
      </c>
      <c r="D9311" s="734">
        <v>141.72248601054707</v>
      </c>
      <c r="E9311" s="733"/>
    </row>
    <row r="9312" spans="2:5">
      <c r="B9312" s="121">
        <v>799</v>
      </c>
      <c r="C9312" s="121">
        <v>22</v>
      </c>
      <c r="D9312" s="734">
        <v>141.48275386278095</v>
      </c>
      <c r="E9312" s="733"/>
    </row>
    <row r="9313" spans="2:5">
      <c r="B9313" s="121">
        <v>800</v>
      </c>
      <c r="C9313" s="121">
        <v>1</v>
      </c>
      <c r="D9313" s="734">
        <v>5</v>
      </c>
      <c r="E9313" s="733"/>
    </row>
    <row r="9314" spans="2:5">
      <c r="B9314" s="121">
        <v>800</v>
      </c>
      <c r="C9314" s="121">
        <v>2</v>
      </c>
      <c r="D9314" s="734">
        <v>99.155574862104103</v>
      </c>
      <c r="E9314" s="733"/>
    </row>
    <row r="9315" spans="2:5">
      <c r="B9315" s="121">
        <v>800</v>
      </c>
      <c r="C9315" s="121">
        <v>3</v>
      </c>
      <c r="D9315" s="734">
        <v>121.76040200869689</v>
      </c>
      <c r="E9315" s="733"/>
    </row>
    <row r="9316" spans="2:5">
      <c r="B9316" s="121">
        <v>800</v>
      </c>
      <c r="C9316" s="121">
        <v>4</v>
      </c>
      <c r="D9316" s="734">
        <v>136.61680741481987</v>
      </c>
      <c r="E9316" s="733"/>
    </row>
    <row r="9317" spans="2:5">
      <c r="B9317" s="121">
        <v>800</v>
      </c>
      <c r="C9317" s="121">
        <v>5</v>
      </c>
      <c r="D9317" s="734">
        <v>141.28506850694384</v>
      </c>
      <c r="E9317" s="733"/>
    </row>
    <row r="9318" spans="2:5">
      <c r="B9318" s="121">
        <v>800</v>
      </c>
      <c r="C9318" s="121">
        <v>6</v>
      </c>
      <c r="D9318" s="734">
        <v>135.94427216221288</v>
      </c>
      <c r="E9318" s="733"/>
    </row>
    <row r="9319" spans="2:5">
      <c r="B9319" s="121">
        <v>800</v>
      </c>
      <c r="C9319" s="121">
        <v>7</v>
      </c>
      <c r="D9319" s="734">
        <v>145.66474012214854</v>
      </c>
      <c r="E9319" s="733"/>
    </row>
    <row r="9320" spans="2:5">
      <c r="B9320" s="121">
        <v>800</v>
      </c>
      <c r="C9320" s="121">
        <v>8</v>
      </c>
      <c r="D9320" s="734">
        <v>147.24301333818352</v>
      </c>
      <c r="E9320" s="733"/>
    </row>
    <row r="9321" spans="2:5">
      <c r="B9321" s="121">
        <v>800</v>
      </c>
      <c r="C9321" s="121">
        <v>9</v>
      </c>
      <c r="D9321" s="734">
        <v>135.69248913040803</v>
      </c>
      <c r="E9321" s="733"/>
    </row>
    <row r="9322" spans="2:5">
      <c r="B9322" s="121">
        <v>800</v>
      </c>
      <c r="C9322" s="121">
        <v>10</v>
      </c>
      <c r="D9322" s="734">
        <v>143.88388442206914</v>
      </c>
      <c r="E9322" s="733"/>
    </row>
    <row r="9323" spans="2:5">
      <c r="B9323" s="121">
        <v>800</v>
      </c>
      <c r="C9323" s="121">
        <v>11</v>
      </c>
      <c r="D9323" s="734">
        <v>137.32311760321159</v>
      </c>
      <c r="E9323" s="733"/>
    </row>
    <row r="9324" spans="2:5">
      <c r="B9324" s="121">
        <v>800</v>
      </c>
      <c r="C9324" s="121">
        <v>12</v>
      </c>
      <c r="D9324" s="734">
        <v>137.51112049902272</v>
      </c>
      <c r="E9324" s="733"/>
    </row>
    <row r="9325" spans="2:5">
      <c r="B9325" s="121">
        <v>800</v>
      </c>
      <c r="C9325" s="121">
        <v>13</v>
      </c>
      <c r="D9325" s="734">
        <v>137.04737479467602</v>
      </c>
      <c r="E9325" s="733"/>
    </row>
    <row r="9326" spans="2:5">
      <c r="B9326" s="121">
        <v>800</v>
      </c>
      <c r="C9326" s="121">
        <v>14</v>
      </c>
      <c r="D9326" s="734">
        <v>140.84569602862726</v>
      </c>
      <c r="E9326" s="733"/>
    </row>
    <row r="9327" spans="2:5">
      <c r="B9327" s="121">
        <v>800</v>
      </c>
      <c r="C9327" s="121">
        <v>15</v>
      </c>
      <c r="D9327" s="734">
        <v>135.04634556978999</v>
      </c>
      <c r="E9327" s="733"/>
    </row>
    <row r="9328" spans="2:5">
      <c r="B9328" s="121">
        <v>800</v>
      </c>
      <c r="C9328" s="121">
        <v>16</v>
      </c>
      <c r="D9328" s="734">
        <v>143.64679536953136</v>
      </c>
      <c r="E9328" s="733"/>
    </row>
    <row r="9329" spans="2:5">
      <c r="B9329" s="121">
        <v>800</v>
      </c>
      <c r="C9329" s="121">
        <v>17</v>
      </c>
      <c r="D9329" s="734">
        <v>135.69905967731157</v>
      </c>
      <c r="E9329" s="733"/>
    </row>
    <row r="9330" spans="2:5">
      <c r="B9330" s="121">
        <v>800</v>
      </c>
      <c r="C9330" s="121">
        <v>18</v>
      </c>
      <c r="D9330" s="734">
        <v>133.96203038647127</v>
      </c>
      <c r="E9330" s="733"/>
    </row>
    <row r="9331" spans="2:5">
      <c r="B9331" s="121">
        <v>800</v>
      </c>
      <c r="C9331" s="121">
        <v>19</v>
      </c>
      <c r="D9331" s="734">
        <v>141.85783862972067</v>
      </c>
      <c r="E9331" s="733"/>
    </row>
    <row r="9332" spans="2:5">
      <c r="B9332" s="121">
        <v>801</v>
      </c>
      <c r="C9332" s="121">
        <v>1</v>
      </c>
      <c r="D9332" s="734">
        <v>5</v>
      </c>
      <c r="E9332" s="733"/>
    </row>
    <row r="9333" spans="2:5">
      <c r="B9333" s="121">
        <v>801</v>
      </c>
      <c r="C9333" s="121">
        <v>2</v>
      </c>
      <c r="D9333" s="734">
        <v>94.398808680123494</v>
      </c>
      <c r="E9333" s="733"/>
    </row>
    <row r="9334" spans="2:5">
      <c r="B9334" s="121">
        <v>801</v>
      </c>
      <c r="C9334" s="121">
        <v>3</v>
      </c>
      <c r="D9334" s="734">
        <v>117.05139180392662</v>
      </c>
      <c r="E9334" s="733"/>
    </row>
    <row r="9335" spans="2:5">
      <c r="B9335" s="121">
        <v>801</v>
      </c>
      <c r="C9335" s="121">
        <v>4</v>
      </c>
      <c r="D9335" s="734">
        <v>136.55983784634671</v>
      </c>
      <c r="E9335" s="733"/>
    </row>
    <row r="9336" spans="2:5">
      <c r="B9336" s="121">
        <v>801</v>
      </c>
      <c r="C9336" s="121">
        <v>5</v>
      </c>
      <c r="D9336" s="734">
        <v>143.32803630124954</v>
      </c>
      <c r="E9336" s="733"/>
    </row>
    <row r="9337" spans="2:5">
      <c r="B9337" s="121">
        <v>801</v>
      </c>
      <c r="C9337" s="121">
        <v>6</v>
      </c>
      <c r="D9337" s="734">
        <v>139.71834503329225</v>
      </c>
      <c r="E9337" s="733"/>
    </row>
    <row r="9338" spans="2:5">
      <c r="B9338" s="121">
        <v>801</v>
      </c>
      <c r="C9338" s="121">
        <v>7</v>
      </c>
      <c r="D9338" s="734">
        <v>139.40413719459306</v>
      </c>
      <c r="E9338" s="733"/>
    </row>
    <row r="9339" spans="2:5">
      <c r="B9339" s="121">
        <v>801</v>
      </c>
      <c r="C9339" s="121">
        <v>8</v>
      </c>
      <c r="D9339" s="734">
        <v>141.70982119952146</v>
      </c>
      <c r="E9339" s="733"/>
    </row>
    <row r="9340" spans="2:5">
      <c r="B9340" s="121">
        <v>801</v>
      </c>
      <c r="C9340" s="121">
        <v>9</v>
      </c>
      <c r="D9340" s="734">
        <v>143.67884074977184</v>
      </c>
      <c r="E9340" s="733"/>
    </row>
    <row r="9341" spans="2:5">
      <c r="B9341" s="121">
        <v>801</v>
      </c>
      <c r="C9341" s="121">
        <v>10</v>
      </c>
      <c r="D9341" s="734">
        <v>144.01260395260871</v>
      </c>
      <c r="E9341" s="733"/>
    </row>
    <row r="9342" spans="2:5">
      <c r="B9342" s="121">
        <v>801</v>
      </c>
      <c r="C9342" s="121">
        <v>11</v>
      </c>
      <c r="D9342" s="734">
        <v>145.76015208658356</v>
      </c>
      <c r="E9342" s="733"/>
    </row>
    <row r="9343" spans="2:5">
      <c r="B9343" s="121">
        <v>801</v>
      </c>
      <c r="C9343" s="121">
        <v>12</v>
      </c>
      <c r="D9343" s="734">
        <v>140.23186353164854</v>
      </c>
      <c r="E9343" s="733"/>
    </row>
    <row r="9344" spans="2:5">
      <c r="B9344" s="121">
        <v>801</v>
      </c>
      <c r="C9344" s="121">
        <v>13</v>
      </c>
      <c r="D9344" s="734">
        <v>141.02940066943822</v>
      </c>
      <c r="E9344" s="733"/>
    </row>
    <row r="9345" spans="2:5">
      <c r="B9345" s="121">
        <v>801</v>
      </c>
      <c r="C9345" s="121">
        <v>14</v>
      </c>
      <c r="D9345" s="734">
        <v>140.59374179747365</v>
      </c>
      <c r="E9345" s="733"/>
    </row>
    <row r="9346" spans="2:5">
      <c r="B9346" s="121">
        <v>801</v>
      </c>
      <c r="C9346" s="121">
        <v>15</v>
      </c>
      <c r="D9346" s="734">
        <v>143.57017000115681</v>
      </c>
      <c r="E9346" s="733"/>
    </row>
    <row r="9347" spans="2:5">
      <c r="B9347" s="121">
        <v>801</v>
      </c>
      <c r="C9347" s="121">
        <v>16</v>
      </c>
      <c r="D9347" s="734">
        <v>144.73928158024532</v>
      </c>
      <c r="E9347" s="733"/>
    </row>
    <row r="9348" spans="2:5">
      <c r="B9348" s="121">
        <v>801</v>
      </c>
      <c r="C9348" s="121">
        <v>17</v>
      </c>
      <c r="D9348" s="734">
        <v>144.02697298883331</v>
      </c>
      <c r="E9348" s="733"/>
    </row>
    <row r="9349" spans="2:5">
      <c r="B9349" s="121">
        <v>801</v>
      </c>
      <c r="C9349" s="121">
        <v>18</v>
      </c>
      <c r="D9349" s="734">
        <v>143.53726858287007</v>
      </c>
      <c r="E9349" s="733"/>
    </row>
    <row r="9350" spans="2:5">
      <c r="B9350" s="121">
        <v>801</v>
      </c>
      <c r="C9350" s="121">
        <v>19</v>
      </c>
      <c r="D9350" s="734">
        <v>138.93827767120473</v>
      </c>
      <c r="E9350" s="733"/>
    </row>
    <row r="9351" spans="2:5">
      <c r="B9351" s="121">
        <v>801</v>
      </c>
      <c r="C9351" s="121">
        <v>20</v>
      </c>
      <c r="D9351" s="734">
        <v>140.39440572458636</v>
      </c>
      <c r="E9351" s="733"/>
    </row>
    <row r="9352" spans="2:5">
      <c r="B9352" s="121">
        <v>801</v>
      </c>
      <c r="C9352" s="121">
        <v>21</v>
      </c>
      <c r="D9352" s="734">
        <v>144.49921373991566</v>
      </c>
      <c r="E9352" s="733"/>
    </row>
    <row r="9353" spans="2:5">
      <c r="B9353" s="121">
        <v>801</v>
      </c>
      <c r="C9353" s="121">
        <v>22</v>
      </c>
      <c r="D9353" s="734">
        <v>145.7790658898474</v>
      </c>
      <c r="E9353" s="733"/>
    </row>
    <row r="9354" spans="2:5">
      <c r="B9354" s="121">
        <v>801</v>
      </c>
      <c r="C9354" s="121">
        <v>23</v>
      </c>
      <c r="D9354" s="734">
        <v>134.48263206139552</v>
      </c>
      <c r="E9354" s="733"/>
    </row>
    <row r="9355" spans="2:5">
      <c r="B9355" s="121">
        <v>801</v>
      </c>
      <c r="C9355" s="121">
        <v>24</v>
      </c>
      <c r="D9355" s="734">
        <v>139.22852628249228</v>
      </c>
      <c r="E9355" s="733"/>
    </row>
    <row r="9356" spans="2:5">
      <c r="B9356" s="121">
        <v>801</v>
      </c>
      <c r="C9356" s="121">
        <v>25</v>
      </c>
      <c r="D9356" s="734">
        <v>143.21568903148861</v>
      </c>
      <c r="E9356" s="733"/>
    </row>
    <row r="9357" spans="2:5">
      <c r="B9357" s="121">
        <v>801</v>
      </c>
      <c r="C9357" s="121">
        <v>26</v>
      </c>
      <c r="D9357" s="734">
        <v>134.26174018030818</v>
      </c>
      <c r="E9357" s="733"/>
    </row>
    <row r="9358" spans="2:5">
      <c r="B9358" s="121">
        <v>801</v>
      </c>
      <c r="C9358" s="121">
        <v>27</v>
      </c>
      <c r="D9358" s="734">
        <v>135.57360164178593</v>
      </c>
      <c r="E9358" s="733"/>
    </row>
    <row r="9359" spans="2:5">
      <c r="B9359" s="121">
        <v>801</v>
      </c>
      <c r="C9359" s="121">
        <v>28</v>
      </c>
      <c r="D9359" s="734">
        <v>143.0702003124124</v>
      </c>
      <c r="E9359" s="733"/>
    </row>
    <row r="9360" spans="2:5">
      <c r="B9360" s="121">
        <v>802</v>
      </c>
      <c r="C9360" s="121">
        <v>1</v>
      </c>
      <c r="D9360" s="734">
        <v>5</v>
      </c>
      <c r="E9360" s="733"/>
    </row>
    <row r="9361" spans="2:5">
      <c r="B9361" s="121">
        <v>803</v>
      </c>
      <c r="C9361" s="121">
        <v>1</v>
      </c>
      <c r="D9361" s="734">
        <v>5</v>
      </c>
      <c r="E9361" s="733"/>
    </row>
    <row r="9362" spans="2:5">
      <c r="B9362" s="121">
        <v>803</v>
      </c>
      <c r="C9362" s="121">
        <v>2</v>
      </c>
      <c r="D9362" s="734">
        <v>96.713939173246871</v>
      </c>
      <c r="E9362" s="733"/>
    </row>
    <row r="9363" spans="2:5">
      <c r="B9363" s="121">
        <v>803</v>
      </c>
      <c r="C9363" s="121">
        <v>3</v>
      </c>
      <c r="D9363" s="734">
        <v>118.14087115435274</v>
      </c>
      <c r="E9363" s="733"/>
    </row>
    <row r="9364" spans="2:5">
      <c r="B9364" s="121">
        <v>803</v>
      </c>
      <c r="C9364" s="121">
        <v>4</v>
      </c>
      <c r="D9364" s="734">
        <v>139.77690349590188</v>
      </c>
      <c r="E9364" s="733"/>
    </row>
    <row r="9365" spans="2:5">
      <c r="B9365" s="121">
        <v>803</v>
      </c>
      <c r="C9365" s="121">
        <v>5</v>
      </c>
      <c r="D9365" s="734">
        <v>144.90770674071436</v>
      </c>
      <c r="E9365" s="733"/>
    </row>
    <row r="9366" spans="2:5">
      <c r="B9366" s="121">
        <v>803</v>
      </c>
      <c r="C9366" s="121">
        <v>6</v>
      </c>
      <c r="D9366" s="734">
        <v>136.42790222624913</v>
      </c>
      <c r="E9366" s="733"/>
    </row>
    <row r="9367" spans="2:5">
      <c r="B9367" s="121">
        <v>803</v>
      </c>
      <c r="C9367" s="121">
        <v>7</v>
      </c>
      <c r="D9367" s="734">
        <v>138.74316141937544</v>
      </c>
      <c r="E9367" s="733"/>
    </row>
    <row r="9368" spans="2:5">
      <c r="B9368" s="121">
        <v>803</v>
      </c>
      <c r="C9368" s="121">
        <v>8</v>
      </c>
      <c r="D9368" s="734">
        <v>134.20284874929291</v>
      </c>
      <c r="E9368" s="733"/>
    </row>
    <row r="9369" spans="2:5">
      <c r="B9369" s="121">
        <v>803</v>
      </c>
      <c r="C9369" s="121">
        <v>9</v>
      </c>
      <c r="D9369" s="734">
        <v>141.29021288466043</v>
      </c>
      <c r="E9369" s="733"/>
    </row>
    <row r="9370" spans="2:5">
      <c r="B9370" s="121">
        <v>803</v>
      </c>
      <c r="C9370" s="121">
        <v>10</v>
      </c>
      <c r="D9370" s="734">
        <v>144.36263502602483</v>
      </c>
      <c r="E9370" s="733"/>
    </row>
    <row r="9371" spans="2:5">
      <c r="B9371" s="121">
        <v>803</v>
      </c>
      <c r="C9371" s="121">
        <v>11</v>
      </c>
      <c r="D9371" s="734">
        <v>144.80637287733441</v>
      </c>
      <c r="E9371" s="733"/>
    </row>
    <row r="9372" spans="2:5">
      <c r="B9372" s="121">
        <v>803</v>
      </c>
      <c r="C9372" s="121">
        <v>12</v>
      </c>
      <c r="D9372" s="734">
        <v>137.78490146168869</v>
      </c>
      <c r="E9372" s="733"/>
    </row>
    <row r="9373" spans="2:5">
      <c r="B9373" s="121">
        <v>803</v>
      </c>
      <c r="C9373" s="121">
        <v>13</v>
      </c>
      <c r="D9373" s="734">
        <v>135.72396863051836</v>
      </c>
      <c r="E9373" s="733"/>
    </row>
    <row r="9374" spans="2:5">
      <c r="B9374" s="121">
        <v>803</v>
      </c>
      <c r="C9374" s="121">
        <v>14</v>
      </c>
      <c r="D9374" s="734">
        <v>136.33730752282312</v>
      </c>
      <c r="E9374" s="733"/>
    </row>
    <row r="9375" spans="2:5">
      <c r="B9375" s="121">
        <v>803</v>
      </c>
      <c r="C9375" s="121">
        <v>15</v>
      </c>
      <c r="D9375" s="734">
        <v>139.59233633575207</v>
      </c>
      <c r="E9375" s="733"/>
    </row>
    <row r="9376" spans="2:5">
      <c r="B9376" s="121">
        <v>803</v>
      </c>
      <c r="C9376" s="121">
        <v>16</v>
      </c>
      <c r="D9376" s="734">
        <v>137.34380598669367</v>
      </c>
      <c r="E9376" s="733"/>
    </row>
    <row r="9377" spans="2:5">
      <c r="B9377" s="121">
        <v>803</v>
      </c>
      <c r="C9377" s="121">
        <v>17</v>
      </c>
      <c r="D9377" s="734">
        <v>135.823419152344</v>
      </c>
      <c r="E9377" s="733"/>
    </row>
    <row r="9378" spans="2:5">
      <c r="B9378" s="121">
        <v>803</v>
      </c>
      <c r="C9378" s="121">
        <v>18</v>
      </c>
      <c r="D9378" s="734">
        <v>136.76894979667131</v>
      </c>
      <c r="E9378" s="733"/>
    </row>
    <row r="9379" spans="2:5">
      <c r="B9379" s="121">
        <v>803</v>
      </c>
      <c r="C9379" s="121">
        <v>19</v>
      </c>
      <c r="D9379" s="734">
        <v>135.9961508276958</v>
      </c>
      <c r="E9379" s="733"/>
    </row>
    <row r="9380" spans="2:5">
      <c r="B9380" s="121">
        <v>803</v>
      </c>
      <c r="C9380" s="121">
        <v>20</v>
      </c>
      <c r="D9380" s="734">
        <v>142.62816202500917</v>
      </c>
      <c r="E9380" s="733"/>
    </row>
    <row r="9381" spans="2:5">
      <c r="B9381" s="121">
        <v>803</v>
      </c>
      <c r="C9381" s="121">
        <v>21</v>
      </c>
      <c r="D9381" s="734">
        <v>146.53874351649421</v>
      </c>
      <c r="E9381" s="733"/>
    </row>
    <row r="9382" spans="2:5">
      <c r="B9382" s="121">
        <v>803</v>
      </c>
      <c r="C9382" s="121">
        <v>22</v>
      </c>
      <c r="D9382" s="734">
        <v>140.69040278797871</v>
      </c>
      <c r="E9382" s="733"/>
    </row>
    <row r="9383" spans="2:5">
      <c r="B9383" s="121">
        <v>803</v>
      </c>
      <c r="C9383" s="121">
        <v>23</v>
      </c>
      <c r="D9383" s="734">
        <v>135.70975060806771</v>
      </c>
      <c r="E9383" s="733"/>
    </row>
    <row r="9384" spans="2:5">
      <c r="B9384" s="121">
        <v>803</v>
      </c>
      <c r="C9384" s="121">
        <v>24</v>
      </c>
      <c r="D9384" s="734">
        <v>145.93375935990252</v>
      </c>
      <c r="E9384" s="733"/>
    </row>
    <row r="9385" spans="2:5">
      <c r="B9385" s="121">
        <v>803</v>
      </c>
      <c r="C9385" s="121">
        <v>25</v>
      </c>
      <c r="D9385" s="734">
        <v>134.30392617277653</v>
      </c>
      <c r="E9385" s="733"/>
    </row>
    <row r="9386" spans="2:5">
      <c r="B9386" s="121">
        <v>803</v>
      </c>
      <c r="C9386" s="121">
        <v>26</v>
      </c>
      <c r="D9386" s="734">
        <v>139.6031450652693</v>
      </c>
      <c r="E9386" s="733"/>
    </row>
    <row r="9387" spans="2:5">
      <c r="B9387" s="121">
        <v>803</v>
      </c>
      <c r="C9387" s="121">
        <v>27</v>
      </c>
      <c r="D9387" s="734">
        <v>139.7817768046321</v>
      </c>
      <c r="E9387" s="733"/>
    </row>
    <row r="9388" spans="2:5">
      <c r="B9388" s="121">
        <v>803</v>
      </c>
      <c r="C9388" s="121">
        <v>28</v>
      </c>
      <c r="D9388" s="734">
        <v>142.78420704876331</v>
      </c>
      <c r="E9388" s="733"/>
    </row>
    <row r="9389" spans="2:5">
      <c r="B9389" s="121">
        <v>803</v>
      </c>
      <c r="C9389" s="121">
        <v>29</v>
      </c>
      <c r="D9389" s="734">
        <v>138.40450856523492</v>
      </c>
      <c r="E9389" s="733"/>
    </row>
    <row r="9390" spans="2:5">
      <c r="B9390" s="121">
        <v>804</v>
      </c>
      <c r="C9390" s="121">
        <v>1</v>
      </c>
      <c r="D9390" s="734">
        <v>5</v>
      </c>
      <c r="E9390" s="733"/>
    </row>
    <row r="9391" spans="2:5">
      <c r="B9391" s="121">
        <v>804</v>
      </c>
      <c r="C9391" s="121">
        <v>2</v>
      </c>
      <c r="D9391" s="734">
        <v>101.86507305589909</v>
      </c>
      <c r="E9391" s="733"/>
    </row>
    <row r="9392" spans="2:5">
      <c r="B9392" s="121">
        <v>804</v>
      </c>
      <c r="C9392" s="121">
        <v>3</v>
      </c>
      <c r="D9392" s="734">
        <v>120.03835228718444</v>
      </c>
      <c r="E9392" s="733"/>
    </row>
    <row r="9393" spans="2:5">
      <c r="B9393" s="121">
        <v>804</v>
      </c>
      <c r="C9393" s="121">
        <v>4</v>
      </c>
      <c r="D9393" s="734">
        <v>142.57528668963022</v>
      </c>
      <c r="E9393" s="733"/>
    </row>
    <row r="9394" spans="2:5">
      <c r="B9394" s="121">
        <v>804</v>
      </c>
      <c r="C9394" s="121">
        <v>5</v>
      </c>
      <c r="D9394" s="734">
        <v>140.49175447188011</v>
      </c>
      <c r="E9394" s="733"/>
    </row>
    <row r="9395" spans="2:5">
      <c r="B9395" s="121">
        <v>804</v>
      </c>
      <c r="C9395" s="121">
        <v>6</v>
      </c>
      <c r="D9395" s="734">
        <v>136.99893595030485</v>
      </c>
      <c r="E9395" s="733"/>
    </row>
    <row r="9396" spans="2:5">
      <c r="B9396" s="121">
        <v>804</v>
      </c>
      <c r="C9396" s="121">
        <v>7</v>
      </c>
      <c r="D9396" s="734">
        <v>136.05724079231169</v>
      </c>
      <c r="E9396" s="733"/>
    </row>
    <row r="9397" spans="2:5">
      <c r="B9397" s="121">
        <v>804</v>
      </c>
      <c r="C9397" s="121">
        <v>8</v>
      </c>
      <c r="D9397" s="734">
        <v>145.9284436843416</v>
      </c>
      <c r="E9397" s="733"/>
    </row>
    <row r="9398" spans="2:5">
      <c r="B9398" s="121">
        <v>804</v>
      </c>
      <c r="C9398" s="121">
        <v>9</v>
      </c>
      <c r="D9398" s="734">
        <v>138.78015362768156</v>
      </c>
      <c r="E9398" s="733"/>
    </row>
    <row r="9399" spans="2:5">
      <c r="B9399" s="121">
        <v>804</v>
      </c>
      <c r="C9399" s="121">
        <v>10</v>
      </c>
      <c r="D9399" s="734">
        <v>135.34419901774962</v>
      </c>
      <c r="E9399" s="733"/>
    </row>
    <row r="9400" spans="2:5">
      <c r="B9400" s="121">
        <v>804</v>
      </c>
      <c r="C9400" s="121">
        <v>11</v>
      </c>
      <c r="D9400" s="734">
        <v>143.77373713550438</v>
      </c>
      <c r="E9400" s="733"/>
    </row>
    <row r="9401" spans="2:5">
      <c r="B9401" s="121">
        <v>804</v>
      </c>
      <c r="C9401" s="121">
        <v>12</v>
      </c>
      <c r="D9401" s="734">
        <v>146.00799574649173</v>
      </c>
      <c r="E9401" s="733"/>
    </row>
    <row r="9402" spans="2:5">
      <c r="B9402" s="121">
        <v>804</v>
      </c>
      <c r="C9402" s="121">
        <v>13</v>
      </c>
      <c r="D9402" s="734">
        <v>134.2204275712613</v>
      </c>
      <c r="E9402" s="733"/>
    </row>
    <row r="9403" spans="2:5">
      <c r="B9403" s="121">
        <v>805</v>
      </c>
      <c r="C9403" s="121">
        <v>1</v>
      </c>
      <c r="D9403" s="734">
        <v>5</v>
      </c>
      <c r="E9403" s="733"/>
    </row>
    <row r="9404" spans="2:5">
      <c r="B9404" s="121">
        <v>805</v>
      </c>
      <c r="C9404" s="121">
        <v>2</v>
      </c>
      <c r="D9404" s="734">
        <v>100.04155602954428</v>
      </c>
      <c r="E9404" s="733"/>
    </row>
    <row r="9405" spans="2:5">
      <c r="B9405" s="121">
        <v>805</v>
      </c>
      <c r="C9405" s="121">
        <v>3</v>
      </c>
      <c r="D9405" s="734">
        <v>124.96818640823032</v>
      </c>
      <c r="E9405" s="733"/>
    </row>
    <row r="9406" spans="2:5">
      <c r="B9406" s="121">
        <v>805</v>
      </c>
      <c r="C9406" s="121">
        <v>4</v>
      </c>
      <c r="D9406" s="734">
        <v>140.57734083606496</v>
      </c>
      <c r="E9406" s="733"/>
    </row>
    <row r="9407" spans="2:5">
      <c r="B9407" s="121">
        <v>805</v>
      </c>
      <c r="C9407" s="121">
        <v>5</v>
      </c>
      <c r="D9407" s="734">
        <v>140.92094546201542</v>
      </c>
      <c r="E9407" s="733"/>
    </row>
    <row r="9408" spans="2:5">
      <c r="B9408" s="121">
        <v>805</v>
      </c>
      <c r="C9408" s="121">
        <v>6</v>
      </c>
      <c r="D9408" s="734">
        <v>138.39629941269649</v>
      </c>
      <c r="E9408" s="733"/>
    </row>
    <row r="9409" spans="2:5">
      <c r="B9409" s="121">
        <v>805</v>
      </c>
      <c r="C9409" s="121">
        <v>7</v>
      </c>
      <c r="D9409" s="734">
        <v>136.83856240416446</v>
      </c>
      <c r="E9409" s="733"/>
    </row>
    <row r="9410" spans="2:5">
      <c r="B9410" s="121">
        <v>805</v>
      </c>
      <c r="C9410" s="121">
        <v>8</v>
      </c>
      <c r="D9410" s="734">
        <v>139.75447703268594</v>
      </c>
      <c r="E9410" s="733"/>
    </row>
    <row r="9411" spans="2:5">
      <c r="B9411" s="121">
        <v>805</v>
      </c>
      <c r="C9411" s="121">
        <v>9</v>
      </c>
      <c r="D9411" s="734">
        <v>140.24855288938764</v>
      </c>
      <c r="E9411" s="733"/>
    </row>
    <row r="9412" spans="2:5">
      <c r="B9412" s="121">
        <v>805</v>
      </c>
      <c r="C9412" s="121">
        <v>10</v>
      </c>
      <c r="D9412" s="734">
        <v>138.32320685233861</v>
      </c>
      <c r="E9412" s="733"/>
    </row>
    <row r="9413" spans="2:5">
      <c r="B9413" s="121">
        <v>805</v>
      </c>
      <c r="C9413" s="121">
        <v>11</v>
      </c>
      <c r="D9413" s="734">
        <v>136.7176676254351</v>
      </c>
      <c r="E9413" s="733"/>
    </row>
    <row r="9414" spans="2:5">
      <c r="B9414" s="121">
        <v>805</v>
      </c>
      <c r="C9414" s="121">
        <v>12</v>
      </c>
      <c r="D9414" s="734">
        <v>143.51846260192667</v>
      </c>
      <c r="E9414" s="733"/>
    </row>
    <row r="9415" spans="2:5">
      <c r="B9415" s="121">
        <v>805</v>
      </c>
      <c r="C9415" s="121">
        <v>13</v>
      </c>
      <c r="D9415" s="734">
        <v>136.91724187953946</v>
      </c>
      <c r="E9415" s="733"/>
    </row>
    <row r="9416" spans="2:5">
      <c r="B9416" s="121">
        <v>805</v>
      </c>
      <c r="C9416" s="121">
        <v>14</v>
      </c>
      <c r="D9416" s="734">
        <v>134.21602942489505</v>
      </c>
      <c r="E9416" s="733"/>
    </row>
    <row r="9417" spans="2:5">
      <c r="B9417" s="121">
        <v>805</v>
      </c>
      <c r="C9417" s="121">
        <v>15</v>
      </c>
      <c r="D9417" s="734">
        <v>136.70007315059033</v>
      </c>
      <c r="E9417" s="733"/>
    </row>
    <row r="9418" spans="2:5">
      <c r="B9418" s="121">
        <v>805</v>
      </c>
      <c r="C9418" s="121">
        <v>16</v>
      </c>
      <c r="D9418" s="734">
        <v>137.70257200198154</v>
      </c>
      <c r="E9418" s="733"/>
    </row>
    <row r="9419" spans="2:5">
      <c r="B9419" s="121">
        <v>805</v>
      </c>
      <c r="C9419" s="121">
        <v>17</v>
      </c>
      <c r="D9419" s="734">
        <v>139.02824544385811</v>
      </c>
      <c r="E9419" s="733"/>
    </row>
    <row r="9420" spans="2:5">
      <c r="B9420" s="121">
        <v>805</v>
      </c>
      <c r="C9420" s="121">
        <v>18</v>
      </c>
      <c r="D9420" s="734">
        <v>134.04681390318092</v>
      </c>
      <c r="E9420" s="733"/>
    </row>
    <row r="9421" spans="2:5">
      <c r="B9421" s="121">
        <v>805</v>
      </c>
      <c r="C9421" s="121">
        <v>19</v>
      </c>
      <c r="D9421" s="734">
        <v>141.40356250649273</v>
      </c>
      <c r="E9421" s="733"/>
    </row>
    <row r="9422" spans="2:5">
      <c r="B9422" s="121">
        <v>805</v>
      </c>
      <c r="C9422" s="121">
        <v>20</v>
      </c>
      <c r="D9422" s="734">
        <v>138.52460786989167</v>
      </c>
      <c r="E9422" s="733"/>
    </row>
    <row r="9423" spans="2:5">
      <c r="B9423" s="121">
        <v>805</v>
      </c>
      <c r="C9423" s="121">
        <v>21</v>
      </c>
      <c r="D9423" s="734">
        <v>140.51690806106808</v>
      </c>
      <c r="E9423" s="733"/>
    </row>
    <row r="9424" spans="2:5">
      <c r="B9424" s="121">
        <v>805</v>
      </c>
      <c r="C9424" s="121">
        <v>22</v>
      </c>
      <c r="D9424" s="734">
        <v>141.46086346641098</v>
      </c>
      <c r="E9424" s="733"/>
    </row>
    <row r="9425" spans="2:5">
      <c r="B9425" s="121">
        <v>805</v>
      </c>
      <c r="C9425" s="121">
        <v>23</v>
      </c>
      <c r="D9425" s="734">
        <v>140.41643453604689</v>
      </c>
      <c r="E9425" s="733"/>
    </row>
    <row r="9426" spans="2:5">
      <c r="B9426" s="121">
        <v>806</v>
      </c>
      <c r="C9426" s="121">
        <v>1</v>
      </c>
      <c r="D9426" s="734">
        <v>5</v>
      </c>
      <c r="E9426" s="733"/>
    </row>
    <row r="9427" spans="2:5">
      <c r="B9427" s="121">
        <v>806</v>
      </c>
      <c r="C9427" s="121">
        <v>2</v>
      </c>
      <c r="D9427" s="734">
        <v>97.022980095236562</v>
      </c>
      <c r="E9427" s="733"/>
    </row>
    <row r="9428" spans="2:5">
      <c r="B9428" s="121">
        <v>806</v>
      </c>
      <c r="C9428" s="121">
        <v>3</v>
      </c>
      <c r="D9428" s="734">
        <v>122.65812572769005</v>
      </c>
      <c r="E9428" s="733"/>
    </row>
    <row r="9429" spans="2:5">
      <c r="B9429" s="121">
        <v>806</v>
      </c>
      <c r="C9429" s="121">
        <v>4</v>
      </c>
      <c r="D9429" s="734">
        <v>141.7072172012025</v>
      </c>
      <c r="E9429" s="733"/>
    </row>
    <row r="9430" spans="2:5">
      <c r="B9430" s="121">
        <v>806</v>
      </c>
      <c r="C9430" s="121">
        <v>5</v>
      </c>
      <c r="D9430" s="734">
        <v>144.84175865141938</v>
      </c>
      <c r="E9430" s="733"/>
    </row>
    <row r="9431" spans="2:5">
      <c r="B9431" s="121">
        <v>806</v>
      </c>
      <c r="C9431" s="121">
        <v>6</v>
      </c>
      <c r="D9431" s="734">
        <v>140.75591867618789</v>
      </c>
      <c r="E9431" s="733"/>
    </row>
    <row r="9432" spans="2:5">
      <c r="B9432" s="121">
        <v>806</v>
      </c>
      <c r="C9432" s="121">
        <v>7</v>
      </c>
      <c r="D9432" s="734">
        <v>138.96429728288274</v>
      </c>
      <c r="E9432" s="733"/>
    </row>
    <row r="9433" spans="2:5">
      <c r="B9433" s="121">
        <v>806</v>
      </c>
      <c r="C9433" s="121">
        <v>8</v>
      </c>
      <c r="D9433" s="734">
        <v>134.37673956160344</v>
      </c>
      <c r="E9433" s="733"/>
    </row>
    <row r="9434" spans="2:5">
      <c r="B9434" s="121">
        <v>806</v>
      </c>
      <c r="C9434" s="121">
        <v>9</v>
      </c>
      <c r="D9434" s="734">
        <v>144.04136747041372</v>
      </c>
      <c r="E9434" s="733"/>
    </row>
    <row r="9435" spans="2:5">
      <c r="B9435" s="121">
        <v>806</v>
      </c>
      <c r="C9435" s="121">
        <v>10</v>
      </c>
      <c r="D9435" s="734">
        <v>133.68887434257812</v>
      </c>
      <c r="E9435" s="733"/>
    </row>
    <row r="9436" spans="2:5">
      <c r="B9436" s="121">
        <v>806</v>
      </c>
      <c r="C9436" s="121">
        <v>11</v>
      </c>
      <c r="D9436" s="734">
        <v>141.7651697353221</v>
      </c>
      <c r="E9436" s="733"/>
    </row>
    <row r="9437" spans="2:5">
      <c r="B9437" s="121">
        <v>806</v>
      </c>
      <c r="C9437" s="121">
        <v>12</v>
      </c>
      <c r="D9437" s="734">
        <v>141.78321130718942</v>
      </c>
      <c r="E9437" s="733"/>
    </row>
    <row r="9438" spans="2:5">
      <c r="B9438" s="121">
        <v>806</v>
      </c>
      <c r="C9438" s="121">
        <v>13</v>
      </c>
      <c r="D9438" s="734">
        <v>136.17510989021213</v>
      </c>
      <c r="E9438" s="733"/>
    </row>
    <row r="9439" spans="2:5">
      <c r="B9439" s="121">
        <v>806</v>
      </c>
      <c r="C9439" s="121">
        <v>14</v>
      </c>
      <c r="D9439" s="734">
        <v>139.21479812215321</v>
      </c>
      <c r="E9439" s="733"/>
    </row>
    <row r="9440" spans="2:5">
      <c r="B9440" s="121">
        <v>806</v>
      </c>
      <c r="C9440" s="121">
        <v>15</v>
      </c>
      <c r="D9440" s="734">
        <v>137.85324236912265</v>
      </c>
      <c r="E9440" s="733"/>
    </row>
    <row r="9441" spans="2:5">
      <c r="B9441" s="121">
        <v>806</v>
      </c>
      <c r="C9441" s="121">
        <v>16</v>
      </c>
      <c r="D9441" s="734">
        <v>143.79368481689531</v>
      </c>
      <c r="E9441" s="733"/>
    </row>
    <row r="9442" spans="2:5">
      <c r="B9442" s="121">
        <v>806</v>
      </c>
      <c r="C9442" s="121">
        <v>17</v>
      </c>
      <c r="D9442" s="734">
        <v>137.90117033829682</v>
      </c>
      <c r="E9442" s="733"/>
    </row>
    <row r="9443" spans="2:5">
      <c r="B9443" s="121">
        <v>806</v>
      </c>
      <c r="C9443" s="121">
        <v>18</v>
      </c>
      <c r="D9443" s="734">
        <v>134.88519443666334</v>
      </c>
      <c r="E9443" s="733"/>
    </row>
    <row r="9444" spans="2:5">
      <c r="B9444" s="121">
        <v>806</v>
      </c>
      <c r="C9444" s="121">
        <v>19</v>
      </c>
      <c r="D9444" s="734">
        <v>135.40247980145483</v>
      </c>
      <c r="E9444" s="733"/>
    </row>
    <row r="9445" spans="2:5">
      <c r="B9445" s="121">
        <v>806</v>
      </c>
      <c r="C9445" s="121">
        <v>20</v>
      </c>
      <c r="D9445" s="734">
        <v>138.58329462834359</v>
      </c>
      <c r="E9445" s="733"/>
    </row>
    <row r="9446" spans="2:5">
      <c r="B9446" s="121">
        <v>806</v>
      </c>
      <c r="C9446" s="121">
        <v>21</v>
      </c>
      <c r="D9446" s="734">
        <v>137.36473217842689</v>
      </c>
      <c r="E9446" s="733"/>
    </row>
    <row r="9447" spans="2:5">
      <c r="B9447" s="121">
        <v>806</v>
      </c>
      <c r="C9447" s="121">
        <v>22</v>
      </c>
      <c r="D9447" s="734">
        <v>144.45916140871486</v>
      </c>
      <c r="E9447" s="733"/>
    </row>
    <row r="9448" spans="2:5">
      <c r="B9448" s="121">
        <v>806</v>
      </c>
      <c r="C9448" s="121">
        <v>23</v>
      </c>
      <c r="D9448" s="734">
        <v>133.91986468768906</v>
      </c>
      <c r="E9448" s="733"/>
    </row>
    <row r="9449" spans="2:5">
      <c r="B9449" s="121">
        <v>806</v>
      </c>
      <c r="C9449" s="121">
        <v>24</v>
      </c>
      <c r="D9449" s="734">
        <v>139.38738840021296</v>
      </c>
      <c r="E9449" s="733"/>
    </row>
    <row r="9450" spans="2:5">
      <c r="B9450" s="121">
        <v>806</v>
      </c>
      <c r="C9450" s="121">
        <v>25</v>
      </c>
      <c r="D9450" s="734">
        <v>138.4400021277533</v>
      </c>
      <c r="E9450" s="733"/>
    </row>
    <row r="9451" spans="2:5">
      <c r="B9451" s="121">
        <v>806</v>
      </c>
      <c r="C9451" s="121">
        <v>26</v>
      </c>
      <c r="D9451" s="734">
        <v>139.38517833325062</v>
      </c>
      <c r="E9451" s="733"/>
    </row>
    <row r="9452" spans="2:5">
      <c r="B9452" s="121">
        <v>806</v>
      </c>
      <c r="C9452" s="121">
        <v>27</v>
      </c>
      <c r="D9452" s="734">
        <v>133.71958288140974</v>
      </c>
      <c r="E9452" s="733"/>
    </row>
    <row r="9453" spans="2:5">
      <c r="B9453" s="121">
        <v>806</v>
      </c>
      <c r="C9453" s="121">
        <v>28</v>
      </c>
      <c r="D9453" s="734">
        <v>134.60602418090622</v>
      </c>
      <c r="E9453" s="733"/>
    </row>
    <row r="9454" spans="2:5">
      <c r="B9454" s="121">
        <v>806</v>
      </c>
      <c r="C9454" s="121">
        <v>29</v>
      </c>
      <c r="D9454" s="734">
        <v>140.66090637290392</v>
      </c>
      <c r="E9454" s="733"/>
    </row>
    <row r="9455" spans="2:5">
      <c r="B9455" s="121">
        <v>806</v>
      </c>
      <c r="C9455" s="121">
        <v>30</v>
      </c>
      <c r="D9455" s="734">
        <v>134.68127618868175</v>
      </c>
      <c r="E9455" s="733"/>
    </row>
    <row r="9456" spans="2:5">
      <c r="B9456" s="121">
        <v>806</v>
      </c>
      <c r="C9456" s="121">
        <v>31</v>
      </c>
      <c r="D9456" s="734">
        <v>141.25611949389014</v>
      </c>
      <c r="E9456" s="733"/>
    </row>
    <row r="9457" spans="2:5">
      <c r="B9457" s="121">
        <v>806</v>
      </c>
      <c r="C9457" s="121">
        <v>32</v>
      </c>
      <c r="D9457" s="734">
        <v>136.96494483254264</v>
      </c>
      <c r="E9457" s="733"/>
    </row>
    <row r="9458" spans="2:5">
      <c r="B9458" s="121">
        <v>806</v>
      </c>
      <c r="C9458" s="121">
        <v>33</v>
      </c>
      <c r="D9458" s="734">
        <v>134.51868532472326</v>
      </c>
      <c r="E9458" s="733"/>
    </row>
    <row r="9459" spans="2:5">
      <c r="B9459" s="121">
        <v>806</v>
      </c>
      <c r="C9459" s="121">
        <v>34</v>
      </c>
      <c r="D9459" s="734">
        <v>142.00197466282995</v>
      </c>
      <c r="E9459" s="733"/>
    </row>
    <row r="9460" spans="2:5">
      <c r="B9460" s="121">
        <v>806</v>
      </c>
      <c r="C9460" s="121">
        <v>35</v>
      </c>
      <c r="D9460" s="734">
        <v>147.10100377232064</v>
      </c>
      <c r="E9460" s="733"/>
    </row>
    <row r="9461" spans="2:5">
      <c r="B9461" s="121">
        <v>807</v>
      </c>
      <c r="C9461" s="121">
        <v>1</v>
      </c>
      <c r="D9461" s="734">
        <v>5</v>
      </c>
      <c r="E9461" s="733"/>
    </row>
    <row r="9462" spans="2:5">
      <c r="B9462" s="121">
        <v>807</v>
      </c>
      <c r="C9462" s="121">
        <v>2</v>
      </c>
      <c r="D9462" s="734">
        <v>98.167168681667548</v>
      </c>
      <c r="E9462" s="733"/>
    </row>
    <row r="9463" spans="2:5">
      <c r="B9463" s="121">
        <v>807</v>
      </c>
      <c r="C9463" s="121">
        <v>3</v>
      </c>
      <c r="D9463" s="734">
        <v>122.51253515461588</v>
      </c>
      <c r="E9463" s="733"/>
    </row>
    <row r="9464" spans="2:5">
      <c r="B9464" s="121">
        <v>807</v>
      </c>
      <c r="C9464" s="121">
        <v>4</v>
      </c>
      <c r="D9464" s="734">
        <v>143.76760379334814</v>
      </c>
      <c r="E9464" s="733"/>
    </row>
    <row r="9465" spans="2:5">
      <c r="B9465" s="121">
        <v>807</v>
      </c>
      <c r="C9465" s="121">
        <v>5</v>
      </c>
      <c r="D9465" s="734">
        <v>144.55019330302628</v>
      </c>
      <c r="E9465" s="733"/>
    </row>
    <row r="9466" spans="2:5">
      <c r="B9466" s="121">
        <v>807</v>
      </c>
      <c r="C9466" s="121">
        <v>6</v>
      </c>
      <c r="D9466" s="734">
        <v>139.92658991920635</v>
      </c>
      <c r="E9466" s="733"/>
    </row>
    <row r="9467" spans="2:5">
      <c r="B9467" s="121">
        <v>807</v>
      </c>
      <c r="C9467" s="121">
        <v>7</v>
      </c>
      <c r="D9467" s="734">
        <v>146.74074648999854</v>
      </c>
      <c r="E9467" s="733"/>
    </row>
    <row r="9468" spans="2:5">
      <c r="B9468" s="121">
        <v>807</v>
      </c>
      <c r="C9468" s="121">
        <v>8</v>
      </c>
      <c r="D9468" s="734">
        <v>138.24524519302975</v>
      </c>
      <c r="E9468" s="733"/>
    </row>
    <row r="9469" spans="2:5">
      <c r="B9469" s="121">
        <v>807</v>
      </c>
      <c r="C9469" s="121">
        <v>9</v>
      </c>
      <c r="D9469" s="734">
        <v>141.0866662810684</v>
      </c>
      <c r="E9469" s="733"/>
    </row>
    <row r="9470" spans="2:5">
      <c r="B9470" s="121">
        <v>807</v>
      </c>
      <c r="C9470" s="121">
        <v>10</v>
      </c>
      <c r="D9470" s="734">
        <v>146.6326010464073</v>
      </c>
      <c r="E9470" s="733"/>
    </row>
    <row r="9471" spans="2:5">
      <c r="B9471" s="121">
        <v>807</v>
      </c>
      <c r="C9471" s="121">
        <v>11</v>
      </c>
      <c r="D9471" s="734">
        <v>140.02051764830776</v>
      </c>
      <c r="E9471" s="733"/>
    </row>
    <row r="9472" spans="2:5">
      <c r="B9472" s="121">
        <v>807</v>
      </c>
      <c r="C9472" s="121">
        <v>12</v>
      </c>
      <c r="D9472" s="734">
        <v>137.35292938345381</v>
      </c>
      <c r="E9472" s="733"/>
    </row>
    <row r="9473" spans="2:5">
      <c r="B9473" s="121">
        <v>807</v>
      </c>
      <c r="C9473" s="121">
        <v>13</v>
      </c>
      <c r="D9473" s="734">
        <v>137.99078322652579</v>
      </c>
      <c r="E9473" s="733"/>
    </row>
    <row r="9474" spans="2:5">
      <c r="B9474" s="121">
        <v>807</v>
      </c>
      <c r="C9474" s="121">
        <v>14</v>
      </c>
      <c r="D9474" s="734">
        <v>145.09783181214112</v>
      </c>
      <c r="E9474" s="733"/>
    </row>
    <row r="9475" spans="2:5">
      <c r="B9475" s="121">
        <v>807</v>
      </c>
      <c r="C9475" s="121">
        <v>15</v>
      </c>
      <c r="D9475" s="734">
        <v>138.78038491568765</v>
      </c>
      <c r="E9475" s="733"/>
    </row>
    <row r="9476" spans="2:5">
      <c r="B9476" s="121">
        <v>807</v>
      </c>
      <c r="C9476" s="121">
        <v>16</v>
      </c>
      <c r="D9476" s="734">
        <v>138.21252386921344</v>
      </c>
      <c r="E9476" s="733"/>
    </row>
    <row r="9477" spans="2:5">
      <c r="B9477" s="121">
        <v>807</v>
      </c>
      <c r="C9477" s="121">
        <v>17</v>
      </c>
      <c r="D9477" s="734">
        <v>143.65899408020982</v>
      </c>
      <c r="E9477" s="733"/>
    </row>
    <row r="9478" spans="2:5">
      <c r="B9478" s="121">
        <v>807</v>
      </c>
      <c r="C9478" s="121">
        <v>18</v>
      </c>
      <c r="D9478" s="734">
        <v>146.39457627324614</v>
      </c>
      <c r="E9478" s="733"/>
    </row>
    <row r="9479" spans="2:5">
      <c r="B9479" s="121">
        <v>807</v>
      </c>
      <c r="C9479" s="121">
        <v>19</v>
      </c>
      <c r="D9479" s="734">
        <v>140.77142746437008</v>
      </c>
      <c r="E9479" s="733"/>
    </row>
    <row r="9480" spans="2:5">
      <c r="B9480" s="121">
        <v>807</v>
      </c>
      <c r="C9480" s="121">
        <v>20</v>
      </c>
      <c r="D9480" s="734">
        <v>141.42738756266078</v>
      </c>
      <c r="E9480" s="733"/>
    </row>
    <row r="9481" spans="2:5">
      <c r="B9481" s="121">
        <v>807</v>
      </c>
      <c r="C9481" s="121">
        <v>21</v>
      </c>
      <c r="D9481" s="734">
        <v>146.02460918642055</v>
      </c>
      <c r="E9481" s="733"/>
    </row>
    <row r="9482" spans="2:5">
      <c r="B9482" s="121">
        <v>807</v>
      </c>
      <c r="C9482" s="121">
        <v>22</v>
      </c>
      <c r="D9482" s="734">
        <v>138.90359537499074</v>
      </c>
      <c r="E9482" s="733"/>
    </row>
    <row r="9483" spans="2:5">
      <c r="B9483" s="121">
        <v>807</v>
      </c>
      <c r="C9483" s="121">
        <v>23</v>
      </c>
      <c r="D9483" s="734">
        <v>146.78458080730871</v>
      </c>
      <c r="E9483" s="733"/>
    </row>
    <row r="9484" spans="2:5">
      <c r="B9484" s="121">
        <v>807</v>
      </c>
      <c r="C9484" s="121">
        <v>24</v>
      </c>
      <c r="D9484" s="734">
        <v>138.73786099135739</v>
      </c>
      <c r="E9484" s="733"/>
    </row>
    <row r="9485" spans="2:5">
      <c r="B9485" s="121">
        <v>807</v>
      </c>
      <c r="C9485" s="121">
        <v>25</v>
      </c>
      <c r="D9485" s="734">
        <v>143.21068569880998</v>
      </c>
      <c r="E9485" s="733"/>
    </row>
    <row r="9486" spans="2:5">
      <c r="B9486" s="121">
        <v>807</v>
      </c>
      <c r="C9486" s="121">
        <v>26</v>
      </c>
      <c r="D9486" s="734">
        <v>144.0864371238994</v>
      </c>
      <c r="E9486" s="733"/>
    </row>
    <row r="9487" spans="2:5">
      <c r="B9487" s="121">
        <v>807</v>
      </c>
      <c r="C9487" s="121">
        <v>27</v>
      </c>
      <c r="D9487" s="734">
        <v>140.84849504415365</v>
      </c>
      <c r="E9487" s="733"/>
    </row>
    <row r="9488" spans="2:5">
      <c r="B9488" s="121">
        <v>807</v>
      </c>
      <c r="C9488" s="121">
        <v>28</v>
      </c>
      <c r="D9488" s="734">
        <v>135.83951535324655</v>
      </c>
      <c r="E9488" s="733"/>
    </row>
    <row r="9489" spans="2:5">
      <c r="B9489" s="121">
        <v>807</v>
      </c>
      <c r="C9489" s="121">
        <v>29</v>
      </c>
      <c r="D9489" s="734">
        <v>147.05777476041743</v>
      </c>
      <c r="E9489" s="733"/>
    </row>
    <row r="9490" spans="2:5">
      <c r="B9490" s="121">
        <v>807</v>
      </c>
      <c r="C9490" s="121">
        <v>30</v>
      </c>
      <c r="D9490" s="734">
        <v>144.88713865779795</v>
      </c>
      <c r="E9490" s="733"/>
    </row>
    <row r="9491" spans="2:5">
      <c r="B9491" s="121">
        <v>807</v>
      </c>
      <c r="C9491" s="121">
        <v>31</v>
      </c>
      <c r="D9491" s="734">
        <v>142.2896286090581</v>
      </c>
      <c r="E9491" s="733"/>
    </row>
    <row r="9492" spans="2:5">
      <c r="B9492" s="121">
        <v>807</v>
      </c>
      <c r="C9492" s="121">
        <v>32</v>
      </c>
      <c r="D9492" s="734">
        <v>140.88086720916451</v>
      </c>
      <c r="E9492" s="733"/>
    </row>
    <row r="9493" spans="2:5">
      <c r="B9493" s="121">
        <v>808</v>
      </c>
      <c r="C9493" s="121">
        <v>1</v>
      </c>
      <c r="D9493" s="734">
        <v>5</v>
      </c>
      <c r="E9493" s="733"/>
    </row>
    <row r="9494" spans="2:5">
      <c r="B9494" s="121">
        <v>808</v>
      </c>
      <c r="C9494" s="121">
        <v>2</v>
      </c>
      <c r="D9494" s="734">
        <v>102.01223156586727</v>
      </c>
      <c r="E9494" s="733"/>
    </row>
    <row r="9495" spans="2:5">
      <c r="B9495" s="121">
        <v>808</v>
      </c>
      <c r="C9495" s="121">
        <v>3</v>
      </c>
      <c r="D9495" s="734">
        <v>120.66770905136691</v>
      </c>
      <c r="E9495" s="733"/>
    </row>
    <row r="9496" spans="2:5">
      <c r="B9496" s="121">
        <v>808</v>
      </c>
      <c r="C9496" s="121">
        <v>4</v>
      </c>
      <c r="D9496" s="734">
        <v>138.7865137419881</v>
      </c>
      <c r="E9496" s="733"/>
    </row>
    <row r="9497" spans="2:5">
      <c r="B9497" s="121">
        <v>808</v>
      </c>
      <c r="C9497" s="121">
        <v>5</v>
      </c>
      <c r="D9497" s="734">
        <v>146.63100469175274</v>
      </c>
      <c r="E9497" s="733"/>
    </row>
    <row r="9498" spans="2:5">
      <c r="B9498" s="121">
        <v>808</v>
      </c>
      <c r="C9498" s="121">
        <v>6</v>
      </c>
      <c r="D9498" s="734">
        <v>137.26857306053066</v>
      </c>
      <c r="E9498" s="733"/>
    </row>
    <row r="9499" spans="2:5">
      <c r="B9499" s="121">
        <v>808</v>
      </c>
      <c r="C9499" s="121">
        <v>7</v>
      </c>
      <c r="D9499" s="734">
        <v>141.50894769048566</v>
      </c>
      <c r="E9499" s="733"/>
    </row>
    <row r="9500" spans="2:5">
      <c r="B9500" s="121">
        <v>808</v>
      </c>
      <c r="C9500" s="121">
        <v>8</v>
      </c>
      <c r="D9500" s="734">
        <v>143.91352337840254</v>
      </c>
      <c r="E9500" s="733"/>
    </row>
    <row r="9501" spans="2:5">
      <c r="B9501" s="121">
        <v>809</v>
      </c>
      <c r="C9501" s="121">
        <v>1</v>
      </c>
      <c r="D9501" s="734">
        <v>5</v>
      </c>
      <c r="E9501" s="733"/>
    </row>
    <row r="9502" spans="2:5">
      <c r="B9502" s="121">
        <v>809</v>
      </c>
      <c r="C9502" s="121">
        <v>2</v>
      </c>
      <c r="D9502" s="734">
        <v>102.62307279061477</v>
      </c>
      <c r="E9502" s="733"/>
    </row>
    <row r="9503" spans="2:5">
      <c r="B9503" s="121">
        <v>810</v>
      </c>
      <c r="C9503" s="121">
        <v>1</v>
      </c>
      <c r="D9503" s="734">
        <v>5</v>
      </c>
      <c r="E9503" s="733"/>
    </row>
    <row r="9504" spans="2:5">
      <c r="B9504" s="121">
        <v>810</v>
      </c>
      <c r="C9504" s="121">
        <v>2</v>
      </c>
      <c r="D9504" s="734">
        <v>95.096390586684606</v>
      </c>
      <c r="E9504" s="733"/>
    </row>
    <row r="9505" spans="2:5">
      <c r="B9505" s="121">
        <v>810</v>
      </c>
      <c r="C9505" s="121">
        <v>3</v>
      </c>
      <c r="D9505" s="734">
        <v>121.66019267886998</v>
      </c>
      <c r="E9505" s="733"/>
    </row>
    <row r="9506" spans="2:5">
      <c r="B9506" s="121">
        <v>810</v>
      </c>
      <c r="C9506" s="121">
        <v>4</v>
      </c>
      <c r="D9506" s="734">
        <v>139.96962207401754</v>
      </c>
      <c r="E9506" s="733"/>
    </row>
    <row r="9507" spans="2:5">
      <c r="B9507" s="121">
        <v>810</v>
      </c>
      <c r="C9507" s="121">
        <v>5</v>
      </c>
      <c r="D9507" s="734">
        <v>143.34204028728465</v>
      </c>
      <c r="E9507" s="733"/>
    </row>
    <row r="9508" spans="2:5">
      <c r="B9508" s="121">
        <v>810</v>
      </c>
      <c r="C9508" s="121">
        <v>6</v>
      </c>
      <c r="D9508" s="734">
        <v>135.5902257924331</v>
      </c>
      <c r="E9508" s="733"/>
    </row>
    <row r="9509" spans="2:5">
      <c r="B9509" s="121">
        <v>810</v>
      </c>
      <c r="C9509" s="121">
        <v>7</v>
      </c>
      <c r="D9509" s="734">
        <v>146.48915337892927</v>
      </c>
      <c r="E9509" s="733"/>
    </row>
    <row r="9510" spans="2:5">
      <c r="B9510" s="121">
        <v>810</v>
      </c>
      <c r="C9510" s="121">
        <v>8</v>
      </c>
      <c r="D9510" s="734">
        <v>139.70645842864801</v>
      </c>
      <c r="E9510" s="733"/>
    </row>
    <row r="9511" spans="2:5">
      <c r="B9511" s="121">
        <v>810</v>
      </c>
      <c r="C9511" s="121">
        <v>9</v>
      </c>
      <c r="D9511" s="734">
        <v>139.79450934195089</v>
      </c>
      <c r="E9511" s="733"/>
    </row>
    <row r="9512" spans="2:5">
      <c r="B9512" s="121">
        <v>810</v>
      </c>
      <c r="C9512" s="121">
        <v>10</v>
      </c>
      <c r="D9512" s="734">
        <v>141.8506595282914</v>
      </c>
      <c r="E9512" s="733"/>
    </row>
    <row r="9513" spans="2:5">
      <c r="B9513" s="121">
        <v>810</v>
      </c>
      <c r="C9513" s="121">
        <v>11</v>
      </c>
      <c r="D9513" s="734">
        <v>144.73529665689742</v>
      </c>
      <c r="E9513" s="733"/>
    </row>
    <row r="9514" spans="2:5">
      <c r="B9514" s="121">
        <v>810</v>
      </c>
      <c r="C9514" s="121">
        <v>12</v>
      </c>
      <c r="D9514" s="734">
        <v>137.67088631700898</v>
      </c>
      <c r="E9514" s="733"/>
    </row>
    <row r="9515" spans="2:5">
      <c r="B9515" s="121">
        <v>810</v>
      </c>
      <c r="C9515" s="121">
        <v>13</v>
      </c>
      <c r="D9515" s="734">
        <v>139.20386046215725</v>
      </c>
      <c r="E9515" s="733"/>
    </row>
    <row r="9516" spans="2:5">
      <c r="B9516" s="121">
        <v>810</v>
      </c>
      <c r="C9516" s="121">
        <v>14</v>
      </c>
      <c r="D9516" s="734">
        <v>142.79604773652886</v>
      </c>
      <c r="E9516" s="733"/>
    </row>
    <row r="9517" spans="2:5">
      <c r="B9517" s="121">
        <v>810</v>
      </c>
      <c r="C9517" s="121">
        <v>15</v>
      </c>
      <c r="D9517" s="734">
        <v>136.32237228508336</v>
      </c>
      <c r="E9517" s="733"/>
    </row>
    <row r="9518" spans="2:5">
      <c r="B9518" s="121">
        <v>810</v>
      </c>
      <c r="C9518" s="121">
        <v>16</v>
      </c>
      <c r="D9518" s="734">
        <v>136.34611592613857</v>
      </c>
      <c r="E9518" s="733"/>
    </row>
    <row r="9519" spans="2:5">
      <c r="B9519" s="121">
        <v>810</v>
      </c>
      <c r="C9519" s="121">
        <v>17</v>
      </c>
      <c r="D9519" s="734">
        <v>134.89219175133837</v>
      </c>
      <c r="E9519" s="733"/>
    </row>
    <row r="9520" spans="2:5">
      <c r="B9520" s="121">
        <v>810</v>
      </c>
      <c r="C9520" s="121">
        <v>18</v>
      </c>
      <c r="D9520" s="734">
        <v>141.33689279994721</v>
      </c>
      <c r="E9520" s="733"/>
    </row>
    <row r="9521" spans="2:5">
      <c r="B9521" s="121">
        <v>810</v>
      </c>
      <c r="C9521" s="121">
        <v>19</v>
      </c>
      <c r="D9521" s="734">
        <v>134.43210427923862</v>
      </c>
      <c r="E9521" s="733"/>
    </row>
    <row r="9522" spans="2:5">
      <c r="B9522" s="121">
        <v>810</v>
      </c>
      <c r="C9522" s="121">
        <v>20</v>
      </c>
      <c r="D9522" s="734">
        <v>136.85340137247485</v>
      </c>
      <c r="E9522" s="733"/>
    </row>
    <row r="9523" spans="2:5">
      <c r="B9523" s="121">
        <v>810</v>
      </c>
      <c r="C9523" s="121">
        <v>21</v>
      </c>
      <c r="D9523" s="734">
        <v>137.85172486321412</v>
      </c>
      <c r="E9523" s="733"/>
    </row>
    <row r="9524" spans="2:5">
      <c r="B9524" s="121">
        <v>810</v>
      </c>
      <c r="C9524" s="121">
        <v>22</v>
      </c>
      <c r="D9524" s="734">
        <v>136.88295495621671</v>
      </c>
      <c r="E9524" s="733"/>
    </row>
    <row r="9525" spans="2:5">
      <c r="B9525" s="121">
        <v>810</v>
      </c>
      <c r="C9525" s="121">
        <v>23</v>
      </c>
      <c r="D9525" s="734">
        <v>137.41085098507966</v>
      </c>
      <c r="E9525" s="733"/>
    </row>
    <row r="9526" spans="2:5">
      <c r="B9526" s="121">
        <v>810</v>
      </c>
      <c r="C9526" s="121">
        <v>24</v>
      </c>
      <c r="D9526" s="734">
        <v>138.31127789190404</v>
      </c>
      <c r="E9526" s="733"/>
    </row>
    <row r="9527" spans="2:5">
      <c r="B9527" s="121">
        <v>810</v>
      </c>
      <c r="C9527" s="121">
        <v>25</v>
      </c>
      <c r="D9527" s="734">
        <v>135.52266251235827</v>
      </c>
      <c r="E9527" s="733"/>
    </row>
    <row r="9528" spans="2:5">
      <c r="B9528" s="121">
        <v>810</v>
      </c>
      <c r="C9528" s="121">
        <v>26</v>
      </c>
      <c r="D9528" s="734">
        <v>143.5920407375807</v>
      </c>
      <c r="E9528" s="733"/>
    </row>
    <row r="9529" spans="2:5">
      <c r="B9529" s="121">
        <v>810</v>
      </c>
      <c r="C9529" s="121">
        <v>27</v>
      </c>
      <c r="D9529" s="734">
        <v>144.28059396733647</v>
      </c>
      <c r="E9529" s="733"/>
    </row>
    <row r="9530" spans="2:5">
      <c r="B9530" s="121">
        <v>810</v>
      </c>
      <c r="C9530" s="121">
        <v>28</v>
      </c>
      <c r="D9530" s="734">
        <v>139.50203386740532</v>
      </c>
      <c r="E9530" s="733"/>
    </row>
    <row r="9531" spans="2:5">
      <c r="B9531" s="121">
        <v>810</v>
      </c>
      <c r="C9531" s="121">
        <v>29</v>
      </c>
      <c r="D9531" s="734">
        <v>146.50222158425646</v>
      </c>
      <c r="E9531" s="733"/>
    </row>
    <row r="9532" spans="2:5">
      <c r="B9532" s="121">
        <v>810</v>
      </c>
      <c r="C9532" s="121">
        <v>30</v>
      </c>
      <c r="D9532" s="734">
        <v>139.98394126344115</v>
      </c>
      <c r="E9532" s="733"/>
    </row>
    <row r="9533" spans="2:5">
      <c r="B9533" s="121">
        <v>810</v>
      </c>
      <c r="C9533" s="121">
        <v>31</v>
      </c>
      <c r="D9533" s="734">
        <v>144.25332538103382</v>
      </c>
      <c r="E9533" s="733"/>
    </row>
    <row r="9534" spans="2:5">
      <c r="B9534" s="121">
        <v>810</v>
      </c>
      <c r="C9534" s="121">
        <v>32</v>
      </c>
      <c r="D9534" s="734">
        <v>137.43344538254928</v>
      </c>
      <c r="E9534" s="733"/>
    </row>
    <row r="9535" spans="2:5">
      <c r="B9535" s="121">
        <v>810</v>
      </c>
      <c r="C9535" s="121">
        <v>33</v>
      </c>
      <c r="D9535" s="734">
        <v>141.27445922790656</v>
      </c>
      <c r="E9535" s="733"/>
    </row>
    <row r="9536" spans="2:5">
      <c r="B9536" s="121">
        <v>810</v>
      </c>
      <c r="C9536" s="121">
        <v>34</v>
      </c>
      <c r="D9536" s="734">
        <v>140.36852936318158</v>
      </c>
      <c r="E9536" s="733"/>
    </row>
    <row r="9537" spans="2:5">
      <c r="B9537" s="121">
        <v>810</v>
      </c>
      <c r="C9537" s="121">
        <v>35</v>
      </c>
      <c r="D9537" s="734">
        <v>143.57039155302598</v>
      </c>
      <c r="E9537" s="733"/>
    </row>
    <row r="9538" spans="2:5">
      <c r="B9538" s="121">
        <v>810</v>
      </c>
      <c r="C9538" s="121">
        <v>36</v>
      </c>
      <c r="D9538" s="734">
        <v>139.56888253415508</v>
      </c>
      <c r="E9538" s="733"/>
    </row>
    <row r="9539" spans="2:5">
      <c r="B9539" s="121">
        <v>811</v>
      </c>
      <c r="C9539" s="121">
        <v>1</v>
      </c>
      <c r="D9539" s="734">
        <v>5</v>
      </c>
      <c r="E9539" s="733"/>
    </row>
    <row r="9540" spans="2:5">
      <c r="B9540" s="121">
        <v>811</v>
      </c>
      <c r="C9540" s="121">
        <v>2</v>
      </c>
      <c r="D9540" s="734">
        <v>102.6359649304969</v>
      </c>
      <c r="E9540" s="733"/>
    </row>
    <row r="9541" spans="2:5">
      <c r="B9541" s="121">
        <v>811</v>
      </c>
      <c r="C9541" s="121">
        <v>3</v>
      </c>
      <c r="D9541" s="734">
        <v>120.1561822626157</v>
      </c>
      <c r="E9541" s="733"/>
    </row>
    <row r="9542" spans="2:5">
      <c r="B9542" s="121">
        <v>811</v>
      </c>
      <c r="C9542" s="121">
        <v>4</v>
      </c>
      <c r="D9542" s="734">
        <v>141.4426957796633</v>
      </c>
      <c r="E9542" s="733"/>
    </row>
    <row r="9543" spans="2:5">
      <c r="B9543" s="121">
        <v>811</v>
      </c>
      <c r="C9543" s="121">
        <v>5</v>
      </c>
      <c r="D9543" s="734">
        <v>136.83228803065185</v>
      </c>
      <c r="E9543" s="733"/>
    </row>
    <row r="9544" spans="2:5">
      <c r="B9544" s="121">
        <v>811</v>
      </c>
      <c r="C9544" s="121">
        <v>6</v>
      </c>
      <c r="D9544" s="734">
        <v>140.526290528</v>
      </c>
      <c r="E9544" s="733"/>
    </row>
    <row r="9545" spans="2:5">
      <c r="B9545" s="121">
        <v>811</v>
      </c>
      <c r="C9545" s="121">
        <v>7</v>
      </c>
      <c r="D9545" s="734">
        <v>145.77323879010709</v>
      </c>
      <c r="E9545" s="733"/>
    </row>
    <row r="9546" spans="2:5">
      <c r="B9546" s="121">
        <v>811</v>
      </c>
      <c r="C9546" s="121">
        <v>8</v>
      </c>
      <c r="D9546" s="734">
        <v>134.67246356038646</v>
      </c>
      <c r="E9546" s="733"/>
    </row>
    <row r="9547" spans="2:5">
      <c r="B9547" s="121">
        <v>811</v>
      </c>
      <c r="C9547" s="121">
        <v>9</v>
      </c>
      <c r="D9547" s="734">
        <v>145.32789142136684</v>
      </c>
      <c r="E9547" s="733"/>
    </row>
    <row r="9548" spans="2:5">
      <c r="B9548" s="121">
        <v>811</v>
      </c>
      <c r="C9548" s="121">
        <v>10</v>
      </c>
      <c r="D9548" s="734">
        <v>137.01722102041791</v>
      </c>
      <c r="E9548" s="733"/>
    </row>
    <row r="9549" spans="2:5">
      <c r="B9549" s="121">
        <v>811</v>
      </c>
      <c r="C9549" s="121">
        <v>11</v>
      </c>
      <c r="D9549" s="734">
        <v>143.21588735647376</v>
      </c>
      <c r="E9549" s="733"/>
    </row>
    <row r="9550" spans="2:5">
      <c r="B9550" s="121">
        <v>811</v>
      </c>
      <c r="C9550" s="121">
        <v>12</v>
      </c>
      <c r="D9550" s="734">
        <v>143.79804908022697</v>
      </c>
      <c r="E9550" s="733"/>
    </row>
    <row r="9551" spans="2:5">
      <c r="B9551" s="121">
        <v>811</v>
      </c>
      <c r="C9551" s="121">
        <v>13</v>
      </c>
      <c r="D9551" s="734">
        <v>134.46509145666161</v>
      </c>
      <c r="E9551" s="733"/>
    </row>
    <row r="9552" spans="2:5">
      <c r="B9552" s="121">
        <v>811</v>
      </c>
      <c r="C9552" s="121">
        <v>14</v>
      </c>
      <c r="D9552" s="734">
        <v>141.07214929752951</v>
      </c>
      <c r="E9552" s="733"/>
    </row>
    <row r="9553" spans="2:5">
      <c r="B9553" s="121">
        <v>811</v>
      </c>
      <c r="C9553" s="121">
        <v>15</v>
      </c>
      <c r="D9553" s="734">
        <v>134.86500816316914</v>
      </c>
      <c r="E9553" s="733"/>
    </row>
    <row r="9554" spans="2:5">
      <c r="B9554" s="121">
        <v>811</v>
      </c>
      <c r="C9554" s="121">
        <v>16</v>
      </c>
      <c r="D9554" s="734">
        <v>136.46630746166031</v>
      </c>
      <c r="E9554" s="733"/>
    </row>
    <row r="9555" spans="2:5">
      <c r="B9555" s="121">
        <v>811</v>
      </c>
      <c r="C9555" s="121">
        <v>17</v>
      </c>
      <c r="D9555" s="734">
        <v>134.89408381100429</v>
      </c>
      <c r="E9555" s="733"/>
    </row>
    <row r="9556" spans="2:5">
      <c r="B9556" s="121">
        <v>812</v>
      </c>
      <c r="C9556" s="121">
        <v>1</v>
      </c>
      <c r="D9556" s="734">
        <v>5</v>
      </c>
      <c r="E9556" s="733"/>
    </row>
    <row r="9557" spans="2:5">
      <c r="B9557" s="121">
        <v>812</v>
      </c>
      <c r="C9557" s="121">
        <v>2</v>
      </c>
      <c r="D9557" s="734">
        <v>100.62800275215038</v>
      </c>
      <c r="E9557" s="733"/>
    </row>
    <row r="9558" spans="2:5">
      <c r="B9558" s="121">
        <v>812</v>
      </c>
      <c r="C9558" s="121">
        <v>3</v>
      </c>
      <c r="D9558" s="734">
        <v>121.76351970168656</v>
      </c>
      <c r="E9558" s="733"/>
    </row>
    <row r="9559" spans="2:5">
      <c r="B9559" s="121">
        <v>812</v>
      </c>
      <c r="C9559" s="121">
        <v>4</v>
      </c>
      <c r="D9559" s="734">
        <v>141.53960500471172</v>
      </c>
      <c r="E9559" s="733"/>
    </row>
    <row r="9560" spans="2:5">
      <c r="B9560" s="121">
        <v>812</v>
      </c>
      <c r="C9560" s="121">
        <v>5</v>
      </c>
      <c r="D9560" s="734">
        <v>141.75918194738045</v>
      </c>
      <c r="E9560" s="733"/>
    </row>
    <row r="9561" spans="2:5">
      <c r="B9561" s="121">
        <v>812</v>
      </c>
      <c r="C9561" s="121">
        <v>6</v>
      </c>
      <c r="D9561" s="734">
        <v>144.43874046929548</v>
      </c>
      <c r="E9561" s="733"/>
    </row>
    <row r="9562" spans="2:5">
      <c r="B9562" s="121">
        <v>812</v>
      </c>
      <c r="C9562" s="121">
        <v>7</v>
      </c>
      <c r="D9562" s="734">
        <v>138.79907835547374</v>
      </c>
      <c r="E9562" s="733"/>
    </row>
    <row r="9563" spans="2:5">
      <c r="B9563" s="121">
        <v>812</v>
      </c>
      <c r="C9563" s="121">
        <v>8</v>
      </c>
      <c r="D9563" s="734">
        <v>145.3002830441522</v>
      </c>
      <c r="E9563" s="733"/>
    </row>
    <row r="9564" spans="2:5">
      <c r="B9564" s="121">
        <v>813</v>
      </c>
      <c r="C9564" s="121">
        <v>1</v>
      </c>
      <c r="D9564" s="734">
        <v>5</v>
      </c>
      <c r="E9564" s="733"/>
    </row>
    <row r="9565" spans="2:5">
      <c r="B9565" s="121">
        <v>813</v>
      </c>
      <c r="C9565" s="121">
        <v>2</v>
      </c>
      <c r="D9565" s="734">
        <v>96.815393076397612</v>
      </c>
      <c r="E9565" s="733"/>
    </row>
    <row r="9566" spans="2:5">
      <c r="B9566" s="121">
        <v>813</v>
      </c>
      <c r="C9566" s="121">
        <v>3</v>
      </c>
      <c r="D9566" s="734">
        <v>119.52548858045989</v>
      </c>
      <c r="E9566" s="733"/>
    </row>
    <row r="9567" spans="2:5">
      <c r="B9567" s="121">
        <v>813</v>
      </c>
      <c r="C9567" s="121">
        <v>4</v>
      </c>
      <c r="D9567" s="734">
        <v>145.63620617939065</v>
      </c>
      <c r="E9567" s="733"/>
    </row>
    <row r="9568" spans="2:5">
      <c r="B9568" s="121">
        <v>813</v>
      </c>
      <c r="C9568" s="121">
        <v>5</v>
      </c>
      <c r="D9568" s="734">
        <v>137.32974434812601</v>
      </c>
      <c r="E9568" s="733"/>
    </row>
    <row r="9569" spans="2:5">
      <c r="B9569" s="121">
        <v>813</v>
      </c>
      <c r="C9569" s="121">
        <v>6</v>
      </c>
      <c r="D9569" s="734">
        <v>139.38584663688636</v>
      </c>
      <c r="E9569" s="733"/>
    </row>
    <row r="9570" spans="2:5">
      <c r="B9570" s="121">
        <v>814</v>
      </c>
      <c r="C9570" s="121">
        <v>1</v>
      </c>
      <c r="D9570" s="734">
        <v>5</v>
      </c>
      <c r="E9570" s="733"/>
    </row>
    <row r="9571" spans="2:5">
      <c r="B9571" s="121">
        <v>814</v>
      </c>
      <c r="C9571" s="121">
        <v>2</v>
      </c>
      <c r="D9571" s="734">
        <v>99.225521788746448</v>
      </c>
      <c r="E9571" s="733"/>
    </row>
    <row r="9572" spans="2:5">
      <c r="B9572" s="121">
        <v>814</v>
      </c>
      <c r="C9572" s="121">
        <v>3</v>
      </c>
      <c r="D9572" s="734">
        <v>115.30442296826935</v>
      </c>
      <c r="E9572" s="733"/>
    </row>
    <row r="9573" spans="2:5">
      <c r="B9573" s="121">
        <v>814</v>
      </c>
      <c r="C9573" s="121">
        <v>4</v>
      </c>
      <c r="D9573" s="734">
        <v>136.04749277388368</v>
      </c>
      <c r="E9573" s="733"/>
    </row>
    <row r="9574" spans="2:5">
      <c r="B9574" s="121">
        <v>814</v>
      </c>
      <c r="C9574" s="121">
        <v>5</v>
      </c>
      <c r="D9574" s="734">
        <v>136.83755778786164</v>
      </c>
      <c r="E9574" s="733"/>
    </row>
    <row r="9575" spans="2:5">
      <c r="B9575" s="121">
        <v>814</v>
      </c>
      <c r="C9575" s="121">
        <v>6</v>
      </c>
      <c r="D9575" s="734">
        <v>143.07945817087213</v>
      </c>
      <c r="E9575" s="733"/>
    </row>
    <row r="9576" spans="2:5">
      <c r="B9576" s="121">
        <v>814</v>
      </c>
      <c r="C9576" s="121">
        <v>7</v>
      </c>
      <c r="D9576" s="734">
        <v>133.96155965454048</v>
      </c>
      <c r="E9576" s="733"/>
    </row>
    <row r="9577" spans="2:5">
      <c r="B9577" s="121">
        <v>814</v>
      </c>
      <c r="C9577" s="121">
        <v>8</v>
      </c>
      <c r="D9577" s="734">
        <v>142.45458816883232</v>
      </c>
      <c r="E9577" s="733"/>
    </row>
    <row r="9578" spans="2:5">
      <c r="B9578" s="121">
        <v>815</v>
      </c>
      <c r="C9578" s="121">
        <v>1</v>
      </c>
      <c r="D9578" s="734">
        <v>5</v>
      </c>
      <c r="E9578" s="733"/>
    </row>
    <row r="9579" spans="2:5">
      <c r="B9579" s="121">
        <v>815</v>
      </c>
      <c r="C9579" s="121">
        <v>2</v>
      </c>
      <c r="D9579" s="734">
        <v>96.26797145807474</v>
      </c>
      <c r="E9579" s="733"/>
    </row>
    <row r="9580" spans="2:5">
      <c r="B9580" s="121">
        <v>815</v>
      </c>
      <c r="C9580" s="121">
        <v>3</v>
      </c>
      <c r="D9580" s="734">
        <v>124.11758125964225</v>
      </c>
      <c r="E9580" s="733"/>
    </row>
    <row r="9581" spans="2:5">
      <c r="B9581" s="121">
        <v>815</v>
      </c>
      <c r="C9581" s="121">
        <v>4</v>
      </c>
      <c r="D9581" s="734">
        <v>142.82432621514315</v>
      </c>
      <c r="E9581" s="733"/>
    </row>
    <row r="9582" spans="2:5">
      <c r="B9582" s="121">
        <v>815</v>
      </c>
      <c r="C9582" s="121">
        <v>5</v>
      </c>
      <c r="D9582" s="734">
        <v>135.64851163033518</v>
      </c>
      <c r="E9582" s="733"/>
    </row>
    <row r="9583" spans="2:5">
      <c r="B9583" s="121">
        <v>815</v>
      </c>
      <c r="C9583" s="121">
        <v>6</v>
      </c>
      <c r="D9583" s="734">
        <v>144.97932093742187</v>
      </c>
      <c r="E9583" s="733"/>
    </row>
    <row r="9584" spans="2:5">
      <c r="B9584" s="121">
        <v>815</v>
      </c>
      <c r="C9584" s="121">
        <v>7</v>
      </c>
      <c r="D9584" s="734">
        <v>136.96464603410942</v>
      </c>
      <c r="E9584" s="733"/>
    </row>
    <row r="9585" spans="2:5">
      <c r="B9585" s="121">
        <v>815</v>
      </c>
      <c r="C9585" s="121">
        <v>8</v>
      </c>
      <c r="D9585" s="734">
        <v>138.50347525871436</v>
      </c>
      <c r="E9585" s="733"/>
    </row>
    <row r="9586" spans="2:5">
      <c r="B9586" s="121">
        <v>815</v>
      </c>
      <c r="C9586" s="121">
        <v>9</v>
      </c>
      <c r="D9586" s="734">
        <v>146.96578434911518</v>
      </c>
      <c r="E9586" s="733"/>
    </row>
    <row r="9587" spans="2:5">
      <c r="B9587" s="121">
        <v>816</v>
      </c>
      <c r="C9587" s="121">
        <v>1</v>
      </c>
      <c r="D9587" s="734">
        <v>5</v>
      </c>
      <c r="E9587" s="733"/>
    </row>
    <row r="9588" spans="2:5">
      <c r="B9588" s="121">
        <v>817</v>
      </c>
      <c r="C9588" s="121">
        <v>1</v>
      </c>
      <c r="D9588" s="734">
        <v>5</v>
      </c>
      <c r="E9588" s="733"/>
    </row>
    <row r="9589" spans="2:5">
      <c r="B9589" s="121">
        <v>817</v>
      </c>
      <c r="C9589" s="121">
        <v>2</v>
      </c>
      <c r="D9589" s="734">
        <v>100.22106701141271</v>
      </c>
      <c r="E9589" s="733"/>
    </row>
    <row r="9590" spans="2:5">
      <c r="B9590" s="121">
        <v>817</v>
      </c>
      <c r="C9590" s="121">
        <v>3</v>
      </c>
      <c r="D9590" s="734">
        <v>114.87673482789478</v>
      </c>
      <c r="E9590" s="733"/>
    </row>
    <row r="9591" spans="2:5">
      <c r="B9591" s="121">
        <v>817</v>
      </c>
      <c r="C9591" s="121">
        <v>4</v>
      </c>
      <c r="D9591" s="734">
        <v>137.80726472515892</v>
      </c>
      <c r="E9591" s="733"/>
    </row>
    <row r="9592" spans="2:5">
      <c r="B9592" s="121">
        <v>817</v>
      </c>
      <c r="C9592" s="121">
        <v>5</v>
      </c>
      <c r="D9592" s="734">
        <v>142.36026701899317</v>
      </c>
      <c r="E9592" s="733"/>
    </row>
    <row r="9593" spans="2:5">
      <c r="B9593" s="121">
        <v>817</v>
      </c>
      <c r="C9593" s="121">
        <v>6</v>
      </c>
      <c r="D9593" s="734">
        <v>135.89082034269737</v>
      </c>
      <c r="E9593" s="733"/>
    </row>
    <row r="9594" spans="2:5">
      <c r="B9594" s="121">
        <v>817</v>
      </c>
      <c r="C9594" s="121">
        <v>7</v>
      </c>
      <c r="D9594" s="734">
        <v>138.64537258157881</v>
      </c>
      <c r="E9594" s="733"/>
    </row>
    <row r="9595" spans="2:5">
      <c r="B9595" s="121">
        <v>817</v>
      </c>
      <c r="C9595" s="121">
        <v>8</v>
      </c>
      <c r="D9595" s="734">
        <v>137.59156889819008</v>
      </c>
      <c r="E9595" s="733"/>
    </row>
    <row r="9596" spans="2:5">
      <c r="B9596" s="121">
        <v>817</v>
      </c>
      <c r="C9596" s="121">
        <v>9</v>
      </c>
      <c r="D9596" s="734">
        <v>135.75633802376746</v>
      </c>
      <c r="E9596" s="733"/>
    </row>
    <row r="9597" spans="2:5">
      <c r="B9597" s="121">
        <v>817</v>
      </c>
      <c r="C9597" s="121">
        <v>10</v>
      </c>
      <c r="D9597" s="734">
        <v>139.71331551831142</v>
      </c>
      <c r="E9597" s="733"/>
    </row>
    <row r="9598" spans="2:5">
      <c r="B9598" s="121">
        <v>817</v>
      </c>
      <c r="C9598" s="121">
        <v>11</v>
      </c>
      <c r="D9598" s="734">
        <v>135.58949507702206</v>
      </c>
      <c r="E9598" s="733"/>
    </row>
    <row r="9599" spans="2:5">
      <c r="B9599" s="121">
        <v>817</v>
      </c>
      <c r="C9599" s="121">
        <v>12</v>
      </c>
      <c r="D9599" s="734">
        <v>143.26357647400695</v>
      </c>
      <c r="E9599" s="733"/>
    </row>
    <row r="9600" spans="2:5">
      <c r="B9600" s="121">
        <v>817</v>
      </c>
      <c r="C9600" s="121">
        <v>13</v>
      </c>
      <c r="D9600" s="734">
        <v>139.26626025518695</v>
      </c>
      <c r="E9600" s="733"/>
    </row>
    <row r="9601" spans="2:5">
      <c r="B9601" s="121">
        <v>817</v>
      </c>
      <c r="C9601" s="121">
        <v>14</v>
      </c>
      <c r="D9601" s="734">
        <v>139.28128051863391</v>
      </c>
      <c r="E9601" s="733"/>
    </row>
    <row r="9602" spans="2:5">
      <c r="B9602" s="121">
        <v>817</v>
      </c>
      <c r="C9602" s="121">
        <v>15</v>
      </c>
      <c r="D9602" s="734">
        <v>134.43625310791595</v>
      </c>
      <c r="E9602" s="733"/>
    </row>
    <row r="9603" spans="2:5">
      <c r="B9603" s="121">
        <v>817</v>
      </c>
      <c r="C9603" s="121">
        <v>16</v>
      </c>
      <c r="D9603" s="734">
        <v>139.75259227512407</v>
      </c>
      <c r="E9603" s="733"/>
    </row>
    <row r="9604" spans="2:5">
      <c r="B9604" s="121">
        <v>817</v>
      </c>
      <c r="C9604" s="121">
        <v>17</v>
      </c>
      <c r="D9604" s="734">
        <v>140.35912244515166</v>
      </c>
      <c r="E9604" s="733"/>
    </row>
    <row r="9605" spans="2:5">
      <c r="B9605" s="121">
        <v>817</v>
      </c>
      <c r="C9605" s="121">
        <v>18</v>
      </c>
      <c r="D9605" s="734">
        <v>137.55431686979932</v>
      </c>
      <c r="E9605" s="733"/>
    </row>
    <row r="9606" spans="2:5">
      <c r="B9606" s="121">
        <v>817</v>
      </c>
      <c r="C9606" s="121">
        <v>19</v>
      </c>
      <c r="D9606" s="734">
        <v>139.01000935685602</v>
      </c>
      <c r="E9606" s="733"/>
    </row>
    <row r="9607" spans="2:5">
      <c r="B9607" s="121">
        <v>817</v>
      </c>
      <c r="C9607" s="121">
        <v>20</v>
      </c>
      <c r="D9607" s="734">
        <v>146.46874844535634</v>
      </c>
      <c r="E9607" s="733"/>
    </row>
    <row r="9608" spans="2:5">
      <c r="B9608" s="121">
        <v>817</v>
      </c>
      <c r="C9608" s="121">
        <v>21</v>
      </c>
      <c r="D9608" s="734">
        <v>134.0443459920975</v>
      </c>
      <c r="E9608" s="733"/>
    </row>
    <row r="9609" spans="2:5">
      <c r="B9609" s="121">
        <v>817</v>
      </c>
      <c r="C9609" s="121">
        <v>22</v>
      </c>
      <c r="D9609" s="734">
        <v>142.60598947772482</v>
      </c>
      <c r="E9609" s="733"/>
    </row>
    <row r="9610" spans="2:5">
      <c r="B9610" s="121">
        <v>817</v>
      </c>
      <c r="C9610" s="121">
        <v>23</v>
      </c>
      <c r="D9610" s="734">
        <v>138.19546875193805</v>
      </c>
      <c r="E9610" s="733"/>
    </row>
    <row r="9611" spans="2:5">
      <c r="B9611" s="121">
        <v>817</v>
      </c>
      <c r="C9611" s="121">
        <v>24</v>
      </c>
      <c r="D9611" s="734">
        <v>135.8100642825402</v>
      </c>
      <c r="E9611" s="733"/>
    </row>
    <row r="9612" spans="2:5">
      <c r="B9612" s="121">
        <v>817</v>
      </c>
      <c r="C9612" s="121">
        <v>25</v>
      </c>
      <c r="D9612" s="734">
        <v>137.42629907343996</v>
      </c>
      <c r="E9612" s="733"/>
    </row>
    <row r="9613" spans="2:5">
      <c r="B9613" s="121">
        <v>817</v>
      </c>
      <c r="C9613" s="121">
        <v>26</v>
      </c>
      <c r="D9613" s="734">
        <v>143.90760317441138</v>
      </c>
      <c r="E9613" s="733"/>
    </row>
    <row r="9614" spans="2:5">
      <c r="B9614" s="121">
        <v>817</v>
      </c>
      <c r="C9614" s="121">
        <v>27</v>
      </c>
      <c r="D9614" s="734">
        <v>142.73826382700008</v>
      </c>
      <c r="E9614" s="733"/>
    </row>
    <row r="9615" spans="2:5">
      <c r="B9615" s="121">
        <v>817</v>
      </c>
      <c r="C9615" s="121">
        <v>28</v>
      </c>
      <c r="D9615" s="734">
        <v>135.72167292124766</v>
      </c>
      <c r="E9615" s="733"/>
    </row>
    <row r="9616" spans="2:5">
      <c r="B9616" s="121">
        <v>817</v>
      </c>
      <c r="C9616" s="121">
        <v>29</v>
      </c>
      <c r="D9616" s="734">
        <v>136.54445223273493</v>
      </c>
      <c r="E9616" s="733"/>
    </row>
    <row r="9617" spans="2:5">
      <c r="B9617" s="121">
        <v>817</v>
      </c>
      <c r="C9617" s="121">
        <v>30</v>
      </c>
      <c r="D9617" s="734">
        <v>143.22812464686683</v>
      </c>
      <c r="E9617" s="733"/>
    </row>
    <row r="9618" spans="2:5">
      <c r="B9618" s="121">
        <v>817</v>
      </c>
      <c r="C9618" s="121">
        <v>31</v>
      </c>
      <c r="D9618" s="734">
        <v>140.43195671975826</v>
      </c>
      <c r="E9618" s="733"/>
    </row>
    <row r="9619" spans="2:5">
      <c r="B9619" s="121">
        <v>817</v>
      </c>
      <c r="C9619" s="121">
        <v>32</v>
      </c>
      <c r="D9619" s="734">
        <v>135.57752173881428</v>
      </c>
      <c r="E9619" s="733"/>
    </row>
    <row r="9620" spans="2:5">
      <c r="B9620" s="121">
        <v>817</v>
      </c>
      <c r="C9620" s="121">
        <v>33</v>
      </c>
      <c r="D9620" s="734">
        <v>136.89205658294355</v>
      </c>
      <c r="E9620" s="733"/>
    </row>
    <row r="9621" spans="2:5">
      <c r="B9621" s="121">
        <v>817</v>
      </c>
      <c r="C9621" s="121">
        <v>34</v>
      </c>
      <c r="D9621" s="734">
        <v>134.36496016229614</v>
      </c>
      <c r="E9621" s="733"/>
    </row>
    <row r="9622" spans="2:5">
      <c r="B9622" s="121">
        <v>817</v>
      </c>
      <c r="C9622" s="121">
        <v>35</v>
      </c>
      <c r="D9622" s="734">
        <v>144.27940988558566</v>
      </c>
      <c r="E9622" s="733"/>
    </row>
    <row r="9623" spans="2:5">
      <c r="B9623" s="121">
        <v>817</v>
      </c>
      <c r="C9623" s="121">
        <v>36</v>
      </c>
      <c r="D9623" s="734">
        <v>143.98839280446614</v>
      </c>
      <c r="E9623" s="733"/>
    </row>
    <row r="9624" spans="2:5">
      <c r="B9624" s="121">
        <v>818</v>
      </c>
      <c r="C9624" s="121">
        <v>1</v>
      </c>
      <c r="D9624" s="734">
        <v>5</v>
      </c>
      <c r="E9624" s="733"/>
    </row>
    <row r="9625" spans="2:5">
      <c r="B9625" s="121">
        <v>819</v>
      </c>
      <c r="C9625" s="121">
        <v>1</v>
      </c>
      <c r="D9625" s="734">
        <v>5</v>
      </c>
      <c r="E9625" s="733"/>
    </row>
    <row r="9626" spans="2:5">
      <c r="B9626" s="121">
        <v>819</v>
      </c>
      <c r="C9626" s="121">
        <v>2</v>
      </c>
      <c r="D9626" s="734">
        <v>97.727861670984637</v>
      </c>
      <c r="E9626" s="733"/>
    </row>
    <row r="9627" spans="2:5">
      <c r="B9627" s="121">
        <v>819</v>
      </c>
      <c r="C9627" s="121">
        <v>3</v>
      </c>
      <c r="D9627" s="734">
        <v>114.16334014062086</v>
      </c>
      <c r="E9627" s="733"/>
    </row>
    <row r="9628" spans="2:5">
      <c r="B9628" s="121">
        <v>819</v>
      </c>
      <c r="C9628" s="121">
        <v>4</v>
      </c>
      <c r="D9628" s="734">
        <v>143.78993023910033</v>
      </c>
      <c r="E9628" s="733"/>
    </row>
    <row r="9629" spans="2:5">
      <c r="B9629" s="121">
        <v>819</v>
      </c>
      <c r="C9629" s="121">
        <v>5</v>
      </c>
      <c r="D9629" s="734">
        <v>141.81193454723513</v>
      </c>
      <c r="E9629" s="733"/>
    </row>
    <row r="9630" spans="2:5">
      <c r="B9630" s="121">
        <v>819</v>
      </c>
      <c r="C9630" s="121">
        <v>6</v>
      </c>
      <c r="D9630" s="734">
        <v>144.36410359309352</v>
      </c>
      <c r="E9630" s="733"/>
    </row>
    <row r="9631" spans="2:5">
      <c r="B9631" s="121">
        <v>819</v>
      </c>
      <c r="C9631" s="121">
        <v>7</v>
      </c>
      <c r="D9631" s="734">
        <v>140.87139667872151</v>
      </c>
      <c r="E9631" s="733"/>
    </row>
    <row r="9632" spans="2:5">
      <c r="B9632" s="121">
        <v>819</v>
      </c>
      <c r="C9632" s="121">
        <v>8</v>
      </c>
      <c r="D9632" s="734">
        <v>145.52778941079691</v>
      </c>
      <c r="E9632" s="733"/>
    </row>
    <row r="9633" spans="2:5">
      <c r="B9633" s="121">
        <v>820</v>
      </c>
      <c r="C9633" s="121">
        <v>1</v>
      </c>
      <c r="D9633" s="734">
        <v>5</v>
      </c>
      <c r="E9633" s="733"/>
    </row>
    <row r="9634" spans="2:5">
      <c r="B9634" s="121">
        <v>821</v>
      </c>
      <c r="C9634" s="121">
        <v>1</v>
      </c>
      <c r="D9634" s="734">
        <v>5</v>
      </c>
      <c r="E9634" s="733"/>
    </row>
    <row r="9635" spans="2:5">
      <c r="B9635" s="121">
        <v>821</v>
      </c>
      <c r="C9635" s="121">
        <v>2</v>
      </c>
      <c r="D9635" s="734">
        <v>98.885879907101497</v>
      </c>
      <c r="E9635" s="733"/>
    </row>
    <row r="9636" spans="2:5">
      <c r="B9636" s="121">
        <v>821</v>
      </c>
      <c r="C9636" s="121">
        <v>3</v>
      </c>
      <c r="D9636" s="734">
        <v>119.04672557455815</v>
      </c>
      <c r="E9636" s="733"/>
    </row>
    <row r="9637" spans="2:5">
      <c r="B9637" s="121">
        <v>821</v>
      </c>
      <c r="C9637" s="121">
        <v>4</v>
      </c>
      <c r="D9637" s="734">
        <v>141.92608837012818</v>
      </c>
      <c r="E9637" s="733"/>
    </row>
    <row r="9638" spans="2:5">
      <c r="B9638" s="121">
        <v>821</v>
      </c>
      <c r="C9638" s="121">
        <v>5</v>
      </c>
      <c r="D9638" s="734">
        <v>141.7737366251578</v>
      </c>
      <c r="E9638" s="733"/>
    </row>
    <row r="9639" spans="2:5">
      <c r="B9639" s="121">
        <v>821</v>
      </c>
      <c r="C9639" s="121">
        <v>6</v>
      </c>
      <c r="D9639" s="734">
        <v>136.69862909801964</v>
      </c>
      <c r="E9639" s="733"/>
    </row>
    <row r="9640" spans="2:5">
      <c r="B9640" s="121">
        <v>821</v>
      </c>
      <c r="C9640" s="121">
        <v>7</v>
      </c>
      <c r="D9640" s="734">
        <v>141.73970065424379</v>
      </c>
      <c r="E9640" s="733"/>
    </row>
    <row r="9641" spans="2:5">
      <c r="B9641" s="121">
        <v>821</v>
      </c>
      <c r="C9641" s="121">
        <v>8</v>
      </c>
      <c r="D9641" s="734">
        <v>142.54699967656143</v>
      </c>
      <c r="E9641" s="733"/>
    </row>
    <row r="9642" spans="2:5">
      <c r="B9642" s="121">
        <v>821</v>
      </c>
      <c r="C9642" s="121">
        <v>9</v>
      </c>
      <c r="D9642" s="734">
        <v>138.67858169123275</v>
      </c>
      <c r="E9642" s="733"/>
    </row>
    <row r="9643" spans="2:5">
      <c r="B9643" s="121">
        <v>821</v>
      </c>
      <c r="C9643" s="121">
        <v>10</v>
      </c>
      <c r="D9643" s="734">
        <v>144.77862088886056</v>
      </c>
      <c r="E9643" s="733"/>
    </row>
    <row r="9644" spans="2:5">
      <c r="B9644" s="121">
        <v>821</v>
      </c>
      <c r="C9644" s="121">
        <v>11</v>
      </c>
      <c r="D9644" s="734">
        <v>138.70042459480362</v>
      </c>
      <c r="E9644" s="733"/>
    </row>
    <row r="9645" spans="2:5">
      <c r="B9645" s="121">
        <v>821</v>
      </c>
      <c r="C9645" s="121">
        <v>12</v>
      </c>
      <c r="D9645" s="734">
        <v>137.39264918340473</v>
      </c>
      <c r="E9645" s="733"/>
    </row>
    <row r="9646" spans="2:5">
      <c r="B9646" s="121">
        <v>821</v>
      </c>
      <c r="C9646" s="121">
        <v>13</v>
      </c>
      <c r="D9646" s="734">
        <v>146.75817111227462</v>
      </c>
      <c r="E9646" s="733"/>
    </row>
    <row r="9647" spans="2:5">
      <c r="B9647" s="121">
        <v>821</v>
      </c>
      <c r="C9647" s="121">
        <v>14</v>
      </c>
      <c r="D9647" s="734">
        <v>136.26731278068408</v>
      </c>
      <c r="E9647" s="733"/>
    </row>
    <row r="9648" spans="2:5">
      <c r="B9648" s="121">
        <v>821</v>
      </c>
      <c r="C9648" s="121">
        <v>15</v>
      </c>
      <c r="D9648" s="734">
        <v>143.62053526499309</v>
      </c>
      <c r="E9648" s="733"/>
    </row>
    <row r="9649" spans="2:5">
      <c r="B9649" s="121">
        <v>821</v>
      </c>
      <c r="C9649" s="121">
        <v>16</v>
      </c>
      <c r="D9649" s="734">
        <v>144.74014370039771</v>
      </c>
      <c r="E9649" s="733"/>
    </row>
    <row r="9650" spans="2:5">
      <c r="B9650" s="121">
        <v>821</v>
      </c>
      <c r="C9650" s="121">
        <v>17</v>
      </c>
      <c r="D9650" s="734">
        <v>145.47647581582035</v>
      </c>
      <c r="E9650" s="733"/>
    </row>
    <row r="9651" spans="2:5">
      <c r="B9651" s="121">
        <v>821</v>
      </c>
      <c r="C9651" s="121">
        <v>18</v>
      </c>
      <c r="D9651" s="734">
        <v>140.52162059023445</v>
      </c>
      <c r="E9651" s="733"/>
    </row>
    <row r="9652" spans="2:5">
      <c r="B9652" s="121">
        <v>821</v>
      </c>
      <c r="C9652" s="121">
        <v>19</v>
      </c>
      <c r="D9652" s="734">
        <v>140.07527333641573</v>
      </c>
      <c r="E9652" s="733"/>
    </row>
    <row r="9653" spans="2:5">
      <c r="B9653" s="121">
        <v>821</v>
      </c>
      <c r="C9653" s="121">
        <v>20</v>
      </c>
      <c r="D9653" s="734">
        <v>140.73421356826799</v>
      </c>
      <c r="E9653" s="733"/>
    </row>
    <row r="9654" spans="2:5">
      <c r="B9654" s="121">
        <v>821</v>
      </c>
      <c r="C9654" s="121">
        <v>21</v>
      </c>
      <c r="D9654" s="734">
        <v>142.04004917336357</v>
      </c>
      <c r="E9654" s="733"/>
    </row>
    <row r="9655" spans="2:5">
      <c r="B9655" s="121">
        <v>822</v>
      </c>
      <c r="C9655" s="121">
        <v>1</v>
      </c>
      <c r="D9655" s="734">
        <v>5</v>
      </c>
      <c r="E9655" s="733"/>
    </row>
    <row r="9656" spans="2:5">
      <c r="B9656" s="121">
        <v>822</v>
      </c>
      <c r="C9656" s="121">
        <v>2</v>
      </c>
      <c r="D9656" s="734">
        <v>98.894706106595237</v>
      </c>
      <c r="E9656" s="733"/>
    </row>
    <row r="9657" spans="2:5">
      <c r="B9657" s="121">
        <v>822</v>
      </c>
      <c r="C9657" s="121">
        <v>3</v>
      </c>
      <c r="D9657" s="734">
        <v>114.19771279007355</v>
      </c>
      <c r="E9657" s="733"/>
    </row>
    <row r="9658" spans="2:5">
      <c r="B9658" s="121">
        <v>822</v>
      </c>
      <c r="C9658" s="121">
        <v>4</v>
      </c>
      <c r="D9658" s="734">
        <v>139.89765657997864</v>
      </c>
      <c r="E9658" s="733"/>
    </row>
    <row r="9659" spans="2:5">
      <c r="B9659" s="121">
        <v>822</v>
      </c>
      <c r="C9659" s="121">
        <v>5</v>
      </c>
      <c r="D9659" s="734">
        <v>141.69384347272353</v>
      </c>
      <c r="E9659" s="733"/>
    </row>
    <row r="9660" spans="2:5">
      <c r="B9660" s="121">
        <v>822</v>
      </c>
      <c r="C9660" s="121">
        <v>6</v>
      </c>
      <c r="D9660" s="734">
        <v>145.32096965713717</v>
      </c>
      <c r="E9660" s="733"/>
    </row>
    <row r="9661" spans="2:5">
      <c r="B9661" s="121">
        <v>822</v>
      </c>
      <c r="C9661" s="121">
        <v>7</v>
      </c>
      <c r="D9661" s="734">
        <v>136.69851242035494</v>
      </c>
      <c r="E9661" s="733"/>
    </row>
    <row r="9662" spans="2:5">
      <c r="B9662" s="121">
        <v>822</v>
      </c>
      <c r="C9662" s="121">
        <v>8</v>
      </c>
      <c r="D9662" s="734">
        <v>144.75111887311058</v>
      </c>
      <c r="E9662" s="733"/>
    </row>
    <row r="9663" spans="2:5">
      <c r="B9663" s="121">
        <v>822</v>
      </c>
      <c r="C9663" s="121">
        <v>9</v>
      </c>
      <c r="D9663" s="734">
        <v>135.36144797056832</v>
      </c>
      <c r="E9663" s="733"/>
    </row>
    <row r="9664" spans="2:5">
      <c r="B9664" s="121">
        <v>822</v>
      </c>
      <c r="C9664" s="121">
        <v>10</v>
      </c>
      <c r="D9664" s="734">
        <v>135.47114375039919</v>
      </c>
      <c r="E9664" s="733"/>
    </row>
    <row r="9665" spans="2:5">
      <c r="B9665" s="121">
        <v>822</v>
      </c>
      <c r="C9665" s="121">
        <v>11</v>
      </c>
      <c r="D9665" s="734">
        <v>140.43427308836016</v>
      </c>
      <c r="E9665" s="733"/>
    </row>
    <row r="9666" spans="2:5">
      <c r="B9666" s="121">
        <v>822</v>
      </c>
      <c r="C9666" s="121">
        <v>12</v>
      </c>
      <c r="D9666" s="734">
        <v>134.21562895301841</v>
      </c>
      <c r="E9666" s="733"/>
    </row>
    <row r="9667" spans="2:5">
      <c r="B9667" s="121">
        <v>822</v>
      </c>
      <c r="C9667" s="121">
        <v>13</v>
      </c>
      <c r="D9667" s="734">
        <v>136.87037924437357</v>
      </c>
      <c r="E9667" s="733"/>
    </row>
    <row r="9668" spans="2:5">
      <c r="B9668" s="121">
        <v>822</v>
      </c>
      <c r="C9668" s="121">
        <v>14</v>
      </c>
      <c r="D9668" s="734">
        <v>143.69659616462886</v>
      </c>
      <c r="E9668" s="733"/>
    </row>
    <row r="9669" spans="2:5">
      <c r="B9669" s="121">
        <v>822</v>
      </c>
      <c r="C9669" s="121">
        <v>15</v>
      </c>
      <c r="D9669" s="734">
        <v>135.73856990218121</v>
      </c>
      <c r="E9669" s="733"/>
    </row>
    <row r="9670" spans="2:5">
      <c r="B9670" s="121">
        <v>822</v>
      </c>
      <c r="C9670" s="121">
        <v>16</v>
      </c>
      <c r="D9670" s="734">
        <v>139.84440721644597</v>
      </c>
      <c r="E9670" s="733"/>
    </row>
    <row r="9671" spans="2:5">
      <c r="B9671" s="121">
        <v>822</v>
      </c>
      <c r="C9671" s="121">
        <v>17</v>
      </c>
      <c r="D9671" s="734">
        <v>133.96786282909599</v>
      </c>
      <c r="E9671" s="733"/>
    </row>
    <row r="9672" spans="2:5">
      <c r="B9672" s="121">
        <v>822</v>
      </c>
      <c r="C9672" s="121">
        <v>18</v>
      </c>
      <c r="D9672" s="734">
        <v>134.86498838415051</v>
      </c>
      <c r="E9672" s="733"/>
    </row>
    <row r="9673" spans="2:5">
      <c r="B9673" s="121">
        <v>822</v>
      </c>
      <c r="C9673" s="121">
        <v>19</v>
      </c>
      <c r="D9673" s="734">
        <v>138.86501707049754</v>
      </c>
      <c r="E9673" s="733"/>
    </row>
    <row r="9674" spans="2:5">
      <c r="B9674" s="121">
        <v>822</v>
      </c>
      <c r="C9674" s="121">
        <v>20</v>
      </c>
      <c r="D9674" s="734">
        <v>140.34195115136586</v>
      </c>
      <c r="E9674" s="733"/>
    </row>
    <row r="9675" spans="2:5">
      <c r="B9675" s="121">
        <v>822</v>
      </c>
      <c r="C9675" s="121">
        <v>21</v>
      </c>
      <c r="D9675" s="734">
        <v>135.76106314159199</v>
      </c>
      <c r="E9675" s="733"/>
    </row>
    <row r="9676" spans="2:5">
      <c r="B9676" s="121">
        <v>822</v>
      </c>
      <c r="C9676" s="121">
        <v>22</v>
      </c>
      <c r="D9676" s="734">
        <v>146.47994366758803</v>
      </c>
      <c r="E9676" s="733"/>
    </row>
    <row r="9677" spans="2:5">
      <c r="B9677" s="121">
        <v>822</v>
      </c>
      <c r="C9677" s="121">
        <v>23</v>
      </c>
      <c r="D9677" s="734">
        <v>144.84967465808612</v>
      </c>
      <c r="E9677" s="733"/>
    </row>
    <row r="9678" spans="2:5">
      <c r="B9678" s="121">
        <v>822</v>
      </c>
      <c r="C9678" s="121">
        <v>24</v>
      </c>
      <c r="D9678" s="734">
        <v>145.58888415400199</v>
      </c>
      <c r="E9678" s="733"/>
    </row>
    <row r="9679" spans="2:5">
      <c r="B9679" s="121">
        <v>822</v>
      </c>
      <c r="C9679" s="121">
        <v>25</v>
      </c>
      <c r="D9679" s="734">
        <v>139.59042540662708</v>
      </c>
      <c r="E9679" s="733"/>
    </row>
    <row r="9680" spans="2:5">
      <c r="B9680" s="121">
        <v>822</v>
      </c>
      <c r="C9680" s="121">
        <v>26</v>
      </c>
      <c r="D9680" s="734">
        <v>145.38705351517595</v>
      </c>
      <c r="E9680" s="733"/>
    </row>
    <row r="9681" spans="2:5">
      <c r="B9681" s="121">
        <v>822</v>
      </c>
      <c r="C9681" s="121">
        <v>27</v>
      </c>
      <c r="D9681" s="734">
        <v>141.33661552410763</v>
      </c>
      <c r="E9681" s="733"/>
    </row>
    <row r="9682" spans="2:5">
      <c r="B9682" s="121">
        <v>822</v>
      </c>
      <c r="C9682" s="121">
        <v>28</v>
      </c>
      <c r="D9682" s="734">
        <v>145.75861845374953</v>
      </c>
      <c r="E9682" s="733"/>
    </row>
    <row r="9683" spans="2:5">
      <c r="B9683" s="121">
        <v>822</v>
      </c>
      <c r="C9683" s="121">
        <v>29</v>
      </c>
      <c r="D9683" s="734">
        <v>145.85388934097358</v>
      </c>
      <c r="E9683" s="733"/>
    </row>
    <row r="9684" spans="2:5">
      <c r="B9684" s="121">
        <v>822</v>
      </c>
      <c r="C9684" s="121">
        <v>30</v>
      </c>
      <c r="D9684" s="734">
        <v>145.5717320481904</v>
      </c>
      <c r="E9684" s="733"/>
    </row>
    <row r="9685" spans="2:5">
      <c r="B9685" s="121">
        <v>822</v>
      </c>
      <c r="C9685" s="121">
        <v>31</v>
      </c>
      <c r="D9685" s="734">
        <v>134.81042336118591</v>
      </c>
      <c r="E9685" s="733"/>
    </row>
    <row r="9686" spans="2:5">
      <c r="B9686" s="121">
        <v>822</v>
      </c>
      <c r="C9686" s="121">
        <v>32</v>
      </c>
      <c r="D9686" s="734">
        <v>139.87550450686771</v>
      </c>
      <c r="E9686" s="733"/>
    </row>
    <row r="9687" spans="2:5">
      <c r="B9687" s="121">
        <v>822</v>
      </c>
      <c r="C9687" s="121">
        <v>33</v>
      </c>
      <c r="D9687" s="734">
        <v>142.54318320861259</v>
      </c>
      <c r="E9687" s="733"/>
    </row>
    <row r="9688" spans="2:5">
      <c r="B9688" s="121">
        <v>822</v>
      </c>
      <c r="C9688" s="121">
        <v>34</v>
      </c>
      <c r="D9688" s="734">
        <v>141.77949771990518</v>
      </c>
      <c r="E9688" s="733"/>
    </row>
    <row r="9689" spans="2:5">
      <c r="B9689" s="121">
        <v>822</v>
      </c>
      <c r="C9689" s="121">
        <v>35</v>
      </c>
      <c r="D9689" s="734">
        <v>135.95456846188316</v>
      </c>
      <c r="E9689" s="733"/>
    </row>
    <row r="9690" spans="2:5">
      <c r="B9690" s="121">
        <v>822</v>
      </c>
      <c r="C9690" s="121">
        <v>36</v>
      </c>
      <c r="D9690" s="734">
        <v>142.02226426870109</v>
      </c>
      <c r="E9690" s="733"/>
    </row>
    <row r="9691" spans="2:5">
      <c r="B9691" s="121">
        <v>823</v>
      </c>
      <c r="C9691" s="121">
        <v>1</v>
      </c>
      <c r="D9691" s="734">
        <v>5</v>
      </c>
      <c r="E9691" s="733"/>
    </row>
    <row r="9692" spans="2:5">
      <c r="B9692" s="121">
        <v>824</v>
      </c>
      <c r="C9692" s="121">
        <v>1</v>
      </c>
      <c r="D9692" s="734">
        <v>5</v>
      </c>
      <c r="E9692" s="733"/>
    </row>
    <row r="9693" spans="2:5">
      <c r="B9693" s="121">
        <v>824</v>
      </c>
      <c r="C9693" s="121">
        <v>2</v>
      </c>
      <c r="D9693" s="734">
        <v>100.64480860226787</v>
      </c>
      <c r="E9693" s="733"/>
    </row>
    <row r="9694" spans="2:5">
      <c r="B9694" s="121">
        <v>824</v>
      </c>
      <c r="C9694" s="121">
        <v>3</v>
      </c>
      <c r="D9694" s="734">
        <v>123.94737913432516</v>
      </c>
      <c r="E9694" s="733"/>
    </row>
    <row r="9695" spans="2:5">
      <c r="B9695" s="121">
        <v>824</v>
      </c>
      <c r="C9695" s="121">
        <v>4</v>
      </c>
      <c r="D9695" s="734">
        <v>141.75666322557413</v>
      </c>
      <c r="E9695" s="733"/>
    </row>
    <row r="9696" spans="2:5">
      <c r="B9696" s="121">
        <v>824</v>
      </c>
      <c r="C9696" s="121">
        <v>5</v>
      </c>
      <c r="D9696" s="734">
        <v>135.33094788898475</v>
      </c>
      <c r="E9696" s="733"/>
    </row>
    <row r="9697" spans="2:5">
      <c r="B9697" s="121">
        <v>824</v>
      </c>
      <c r="C9697" s="121">
        <v>6</v>
      </c>
      <c r="D9697" s="734">
        <v>140.06154146536295</v>
      </c>
      <c r="E9697" s="733"/>
    </row>
    <row r="9698" spans="2:5">
      <c r="B9698" s="121">
        <v>824</v>
      </c>
      <c r="C9698" s="121">
        <v>7</v>
      </c>
      <c r="D9698" s="734">
        <v>133.90115246766302</v>
      </c>
      <c r="E9698" s="733"/>
    </row>
    <row r="9699" spans="2:5">
      <c r="B9699" s="121">
        <v>824</v>
      </c>
      <c r="C9699" s="121">
        <v>8</v>
      </c>
      <c r="D9699" s="734">
        <v>139.43934433308931</v>
      </c>
      <c r="E9699" s="733"/>
    </row>
    <row r="9700" spans="2:5">
      <c r="B9700" s="121">
        <v>825</v>
      </c>
      <c r="C9700" s="121">
        <v>1</v>
      </c>
      <c r="D9700" s="734">
        <v>5</v>
      </c>
      <c r="E9700" s="733"/>
    </row>
    <row r="9701" spans="2:5">
      <c r="B9701" s="121">
        <v>825</v>
      </c>
      <c r="C9701" s="121">
        <v>2</v>
      </c>
      <c r="D9701" s="734">
        <v>95.033184075821211</v>
      </c>
      <c r="E9701" s="733"/>
    </row>
    <row r="9702" spans="2:5">
      <c r="B9702" s="121">
        <v>825</v>
      </c>
      <c r="C9702" s="121">
        <v>3</v>
      </c>
      <c r="D9702" s="734">
        <v>123.00274330931138</v>
      </c>
      <c r="E9702" s="733"/>
    </row>
    <row r="9703" spans="2:5">
      <c r="B9703" s="121">
        <v>825</v>
      </c>
      <c r="C9703" s="121">
        <v>4</v>
      </c>
      <c r="D9703" s="734">
        <v>140.766665295461</v>
      </c>
      <c r="E9703" s="733"/>
    </row>
    <row r="9704" spans="2:5">
      <c r="B9704" s="121">
        <v>825</v>
      </c>
      <c r="C9704" s="121">
        <v>5</v>
      </c>
      <c r="D9704" s="734">
        <v>142.06739654987422</v>
      </c>
      <c r="E9704" s="733"/>
    </row>
    <row r="9705" spans="2:5">
      <c r="B9705" s="121">
        <v>825</v>
      </c>
      <c r="C9705" s="121">
        <v>6</v>
      </c>
      <c r="D9705" s="734">
        <v>143.76779725693254</v>
      </c>
      <c r="E9705" s="733"/>
    </row>
    <row r="9706" spans="2:5">
      <c r="B9706" s="121">
        <v>825</v>
      </c>
      <c r="C9706" s="121">
        <v>7</v>
      </c>
      <c r="D9706" s="734">
        <v>134.96131567325455</v>
      </c>
      <c r="E9706" s="733"/>
    </row>
    <row r="9707" spans="2:5">
      <c r="B9707" s="121">
        <v>825</v>
      </c>
      <c r="C9707" s="121">
        <v>8</v>
      </c>
      <c r="D9707" s="734">
        <v>137.63646602596847</v>
      </c>
      <c r="E9707" s="733"/>
    </row>
    <row r="9708" spans="2:5">
      <c r="B9708" s="121">
        <v>825</v>
      </c>
      <c r="C9708" s="121">
        <v>9</v>
      </c>
      <c r="D9708" s="734">
        <v>137.6730708418965</v>
      </c>
      <c r="E9708" s="733"/>
    </row>
    <row r="9709" spans="2:5">
      <c r="B9709" s="121">
        <v>825</v>
      </c>
      <c r="C9709" s="121">
        <v>10</v>
      </c>
      <c r="D9709" s="734">
        <v>140.79227264991886</v>
      </c>
      <c r="E9709" s="733"/>
    </row>
    <row r="9710" spans="2:5">
      <c r="B9710" s="121">
        <v>825</v>
      </c>
      <c r="C9710" s="121">
        <v>11</v>
      </c>
      <c r="D9710" s="734">
        <v>135.74962337992594</v>
      </c>
      <c r="E9710" s="733"/>
    </row>
    <row r="9711" spans="2:5">
      <c r="B9711" s="121">
        <v>825</v>
      </c>
      <c r="C9711" s="121">
        <v>12</v>
      </c>
      <c r="D9711" s="734">
        <v>146.36160550187395</v>
      </c>
      <c r="E9711" s="733"/>
    </row>
    <row r="9712" spans="2:5">
      <c r="B9712" s="121">
        <v>825</v>
      </c>
      <c r="C9712" s="121">
        <v>13</v>
      </c>
      <c r="D9712" s="734">
        <v>143.83661078782632</v>
      </c>
      <c r="E9712" s="733"/>
    </row>
    <row r="9713" spans="2:5">
      <c r="B9713" s="121">
        <v>825</v>
      </c>
      <c r="C9713" s="121">
        <v>14</v>
      </c>
      <c r="D9713" s="734">
        <v>143.20986751741165</v>
      </c>
      <c r="E9713" s="733"/>
    </row>
    <row r="9714" spans="2:5">
      <c r="B9714" s="121">
        <v>825</v>
      </c>
      <c r="C9714" s="121">
        <v>15</v>
      </c>
      <c r="D9714" s="734">
        <v>144.31151682124803</v>
      </c>
      <c r="E9714" s="733"/>
    </row>
    <row r="9715" spans="2:5">
      <c r="B9715" s="121">
        <v>825</v>
      </c>
      <c r="C9715" s="121">
        <v>16</v>
      </c>
      <c r="D9715" s="734">
        <v>138.06836301283414</v>
      </c>
      <c r="E9715" s="733"/>
    </row>
    <row r="9716" spans="2:5">
      <c r="B9716" s="121">
        <v>825</v>
      </c>
      <c r="C9716" s="121">
        <v>17</v>
      </c>
      <c r="D9716" s="734">
        <v>134.67775931663601</v>
      </c>
      <c r="E9716" s="733"/>
    </row>
    <row r="9717" spans="2:5">
      <c r="B9717" s="121">
        <v>825</v>
      </c>
      <c r="C9717" s="121">
        <v>18</v>
      </c>
      <c r="D9717" s="734">
        <v>140.75341270756141</v>
      </c>
      <c r="E9717" s="733"/>
    </row>
    <row r="9718" spans="2:5">
      <c r="B9718" s="121">
        <v>825</v>
      </c>
      <c r="C9718" s="121">
        <v>19</v>
      </c>
      <c r="D9718" s="734">
        <v>145.07546195665117</v>
      </c>
      <c r="E9718" s="733"/>
    </row>
    <row r="9719" spans="2:5">
      <c r="B9719" s="121">
        <v>825</v>
      </c>
      <c r="C9719" s="121">
        <v>20</v>
      </c>
      <c r="D9719" s="734">
        <v>136.80080560191104</v>
      </c>
      <c r="E9719" s="733"/>
    </row>
    <row r="9720" spans="2:5">
      <c r="B9720" s="121">
        <v>825</v>
      </c>
      <c r="C9720" s="121">
        <v>21</v>
      </c>
      <c r="D9720" s="734">
        <v>139.28962326758796</v>
      </c>
      <c r="E9720" s="733"/>
    </row>
    <row r="9721" spans="2:5">
      <c r="B9721" s="121">
        <v>825</v>
      </c>
      <c r="C9721" s="121">
        <v>22</v>
      </c>
      <c r="D9721" s="734">
        <v>139.27871905766804</v>
      </c>
      <c r="E9721" s="733"/>
    </row>
    <row r="9722" spans="2:5">
      <c r="B9722" s="121">
        <v>825</v>
      </c>
      <c r="C9722" s="121">
        <v>23</v>
      </c>
      <c r="D9722" s="734">
        <v>144.88195021254077</v>
      </c>
      <c r="E9722" s="733"/>
    </row>
    <row r="9723" spans="2:5">
      <c r="B9723" s="121">
        <v>825</v>
      </c>
      <c r="C9723" s="121">
        <v>24</v>
      </c>
      <c r="D9723" s="734">
        <v>140.7588319012051</v>
      </c>
      <c r="E9723" s="733"/>
    </row>
    <row r="9724" spans="2:5">
      <c r="B9724" s="121">
        <v>825</v>
      </c>
      <c r="C9724" s="121">
        <v>25</v>
      </c>
      <c r="D9724" s="734">
        <v>140.71633842937942</v>
      </c>
      <c r="E9724" s="733"/>
    </row>
    <row r="9725" spans="2:5">
      <c r="B9725" s="121">
        <v>825</v>
      </c>
      <c r="C9725" s="121">
        <v>26</v>
      </c>
      <c r="D9725" s="734">
        <v>144.40388763222896</v>
      </c>
      <c r="E9725" s="733"/>
    </row>
    <row r="9726" spans="2:5">
      <c r="B9726" s="121">
        <v>825</v>
      </c>
      <c r="C9726" s="121">
        <v>27</v>
      </c>
      <c r="D9726" s="734">
        <v>139.78368457729559</v>
      </c>
      <c r="E9726" s="733"/>
    </row>
    <row r="9727" spans="2:5">
      <c r="B9727" s="121">
        <v>825</v>
      </c>
      <c r="C9727" s="121">
        <v>28</v>
      </c>
      <c r="D9727" s="734">
        <v>141.94734343452095</v>
      </c>
      <c r="E9727" s="733"/>
    </row>
    <row r="9728" spans="2:5">
      <c r="B9728" s="121">
        <v>825</v>
      </c>
      <c r="C9728" s="121">
        <v>29</v>
      </c>
      <c r="D9728" s="734">
        <v>140.76714661166449</v>
      </c>
      <c r="E9728" s="733"/>
    </row>
    <row r="9729" spans="2:5">
      <c r="B9729" s="121">
        <v>825</v>
      </c>
      <c r="C9729" s="121">
        <v>30</v>
      </c>
      <c r="D9729" s="734">
        <v>134.00983641138421</v>
      </c>
      <c r="E9729" s="733"/>
    </row>
    <row r="9730" spans="2:5">
      <c r="B9730" s="121">
        <v>825</v>
      </c>
      <c r="C9730" s="121">
        <v>31</v>
      </c>
      <c r="D9730" s="734">
        <v>144.77425894518794</v>
      </c>
      <c r="E9730" s="733"/>
    </row>
    <row r="9731" spans="2:5">
      <c r="B9731" s="121">
        <v>825</v>
      </c>
      <c r="C9731" s="121">
        <v>32</v>
      </c>
      <c r="D9731" s="734">
        <v>134.40195793215952</v>
      </c>
      <c r="E9731" s="733"/>
    </row>
    <row r="9732" spans="2:5">
      <c r="B9732" s="121">
        <v>825</v>
      </c>
      <c r="C9732" s="121">
        <v>33</v>
      </c>
      <c r="D9732" s="734">
        <v>134.27898440413395</v>
      </c>
      <c r="E9732" s="733"/>
    </row>
    <row r="9733" spans="2:5">
      <c r="B9733" s="121">
        <v>825</v>
      </c>
      <c r="C9733" s="121">
        <v>34</v>
      </c>
      <c r="D9733" s="734">
        <v>142.66196269717108</v>
      </c>
      <c r="E9733" s="733"/>
    </row>
    <row r="9734" spans="2:5">
      <c r="B9734" s="121">
        <v>825</v>
      </c>
      <c r="C9734" s="121">
        <v>35</v>
      </c>
      <c r="D9734" s="734">
        <v>144.68081246233945</v>
      </c>
      <c r="E9734" s="733"/>
    </row>
    <row r="9735" spans="2:5">
      <c r="B9735" s="121">
        <v>825</v>
      </c>
      <c r="C9735" s="121">
        <v>36</v>
      </c>
      <c r="D9735" s="734">
        <v>134.97364333780286</v>
      </c>
      <c r="E9735" s="733"/>
    </row>
    <row r="9736" spans="2:5">
      <c r="B9736" s="121">
        <v>826</v>
      </c>
      <c r="C9736" s="121">
        <v>1</v>
      </c>
      <c r="D9736" s="734">
        <v>5</v>
      </c>
      <c r="E9736" s="733"/>
    </row>
    <row r="9737" spans="2:5">
      <c r="B9737" s="121">
        <v>826</v>
      </c>
      <c r="C9737" s="121">
        <v>2</v>
      </c>
      <c r="D9737" s="734">
        <v>103.52487268669614</v>
      </c>
      <c r="E9737" s="733"/>
    </row>
    <row r="9738" spans="2:5">
      <c r="B9738" s="121">
        <v>826</v>
      </c>
      <c r="C9738" s="121">
        <v>3</v>
      </c>
      <c r="D9738" s="734">
        <v>116.90861424728577</v>
      </c>
      <c r="E9738" s="733"/>
    </row>
    <row r="9739" spans="2:5">
      <c r="B9739" s="121">
        <v>827</v>
      </c>
      <c r="C9739" s="121">
        <v>1</v>
      </c>
      <c r="D9739" s="734">
        <v>5</v>
      </c>
      <c r="E9739" s="733"/>
    </row>
    <row r="9740" spans="2:5">
      <c r="B9740" s="121">
        <v>827</v>
      </c>
      <c r="C9740" s="121">
        <v>2</v>
      </c>
      <c r="D9740" s="734">
        <v>100.3092811554628</v>
      </c>
      <c r="E9740" s="733"/>
    </row>
    <row r="9741" spans="2:5">
      <c r="B9741" s="121">
        <v>827</v>
      </c>
      <c r="C9741" s="121">
        <v>3</v>
      </c>
      <c r="D9741" s="734">
        <v>117.12246738531918</v>
      </c>
      <c r="E9741" s="733"/>
    </row>
    <row r="9742" spans="2:5">
      <c r="B9742" s="121">
        <v>827</v>
      </c>
      <c r="C9742" s="121">
        <v>4</v>
      </c>
      <c r="D9742" s="734">
        <v>144.76536925634849</v>
      </c>
      <c r="E9742" s="733"/>
    </row>
    <row r="9743" spans="2:5">
      <c r="B9743" s="121">
        <v>827</v>
      </c>
      <c r="C9743" s="121">
        <v>5</v>
      </c>
      <c r="D9743" s="734">
        <v>142.70442081776591</v>
      </c>
      <c r="E9743" s="733"/>
    </row>
    <row r="9744" spans="2:5">
      <c r="B9744" s="121">
        <v>827</v>
      </c>
      <c r="C9744" s="121">
        <v>6</v>
      </c>
      <c r="D9744" s="734">
        <v>137.76502583266091</v>
      </c>
      <c r="E9744" s="733"/>
    </row>
    <row r="9745" spans="2:5">
      <c r="B9745" s="121">
        <v>827</v>
      </c>
      <c r="C9745" s="121">
        <v>7</v>
      </c>
      <c r="D9745" s="734">
        <v>139.99188234912867</v>
      </c>
      <c r="E9745" s="733"/>
    </row>
    <row r="9746" spans="2:5">
      <c r="B9746" s="121">
        <v>827</v>
      </c>
      <c r="C9746" s="121">
        <v>8</v>
      </c>
      <c r="D9746" s="734">
        <v>138.82303012641654</v>
      </c>
      <c r="E9746" s="733"/>
    </row>
    <row r="9747" spans="2:5">
      <c r="B9747" s="121">
        <v>828</v>
      </c>
      <c r="C9747" s="121">
        <v>1</v>
      </c>
      <c r="D9747" s="734">
        <v>5</v>
      </c>
      <c r="E9747" s="733"/>
    </row>
    <row r="9748" spans="2:5">
      <c r="B9748" s="121">
        <v>828</v>
      </c>
      <c r="C9748" s="121">
        <v>2</v>
      </c>
      <c r="D9748" s="734">
        <v>94.59445661507651</v>
      </c>
      <c r="E9748" s="733"/>
    </row>
    <row r="9749" spans="2:5">
      <c r="B9749" s="121">
        <v>829</v>
      </c>
      <c r="C9749" s="121">
        <v>1</v>
      </c>
      <c r="D9749" s="734">
        <v>5</v>
      </c>
      <c r="E9749" s="733"/>
    </row>
    <row r="9750" spans="2:5">
      <c r="B9750" s="121">
        <v>830</v>
      </c>
      <c r="C9750" s="121">
        <v>1</v>
      </c>
      <c r="D9750" s="734">
        <v>5</v>
      </c>
      <c r="E9750" s="733"/>
    </row>
    <row r="9751" spans="2:5">
      <c r="B9751" s="121">
        <v>830</v>
      </c>
      <c r="C9751" s="121">
        <v>2</v>
      </c>
      <c r="D9751" s="734">
        <v>102.02369023144757</v>
      </c>
      <c r="E9751" s="733"/>
    </row>
    <row r="9752" spans="2:5">
      <c r="B9752" s="121">
        <v>830</v>
      </c>
      <c r="C9752" s="121">
        <v>3</v>
      </c>
      <c r="D9752" s="734">
        <v>118.98999369165115</v>
      </c>
      <c r="E9752" s="733"/>
    </row>
    <row r="9753" spans="2:5">
      <c r="B9753" s="121">
        <v>830</v>
      </c>
      <c r="C9753" s="121">
        <v>4</v>
      </c>
      <c r="D9753" s="734">
        <v>135.77341969721934</v>
      </c>
      <c r="E9753" s="733"/>
    </row>
    <row r="9754" spans="2:5">
      <c r="B9754" s="121">
        <v>830</v>
      </c>
      <c r="C9754" s="121">
        <v>5</v>
      </c>
      <c r="D9754" s="734">
        <v>140.06283411842702</v>
      </c>
      <c r="E9754" s="733"/>
    </row>
    <row r="9755" spans="2:5">
      <c r="B9755" s="121">
        <v>831</v>
      </c>
      <c r="C9755" s="121">
        <v>1</v>
      </c>
      <c r="D9755" s="734">
        <v>5</v>
      </c>
      <c r="E9755" s="733"/>
    </row>
    <row r="9756" spans="2:5">
      <c r="B9756" s="121">
        <v>832</v>
      </c>
      <c r="C9756" s="121">
        <v>1</v>
      </c>
      <c r="D9756" s="734">
        <v>5</v>
      </c>
      <c r="E9756" s="733"/>
    </row>
    <row r="9757" spans="2:5">
      <c r="B9757" s="121">
        <v>832</v>
      </c>
      <c r="C9757" s="121">
        <v>2</v>
      </c>
      <c r="D9757" s="734">
        <v>100.00156735547661</v>
      </c>
      <c r="E9757" s="733"/>
    </row>
    <row r="9758" spans="2:5">
      <c r="B9758" s="121">
        <v>832</v>
      </c>
      <c r="C9758" s="121">
        <v>3</v>
      </c>
      <c r="D9758" s="734">
        <v>114.96498066247607</v>
      </c>
      <c r="E9758" s="733"/>
    </row>
    <row r="9759" spans="2:5">
      <c r="B9759" s="121">
        <v>832</v>
      </c>
      <c r="C9759" s="121">
        <v>4</v>
      </c>
      <c r="D9759" s="734">
        <v>139.63888146468713</v>
      </c>
      <c r="E9759" s="733"/>
    </row>
    <row r="9760" spans="2:5">
      <c r="B9760" s="121">
        <v>832</v>
      </c>
      <c r="C9760" s="121">
        <v>5</v>
      </c>
      <c r="D9760" s="734">
        <v>144.72016994327473</v>
      </c>
      <c r="E9760" s="733"/>
    </row>
    <row r="9761" spans="2:5">
      <c r="B9761" s="121">
        <v>832</v>
      </c>
      <c r="C9761" s="121">
        <v>6</v>
      </c>
      <c r="D9761" s="734">
        <v>144.52126435194356</v>
      </c>
      <c r="E9761" s="733"/>
    </row>
    <row r="9762" spans="2:5">
      <c r="B9762" s="121">
        <v>832</v>
      </c>
      <c r="C9762" s="121">
        <v>7</v>
      </c>
      <c r="D9762" s="734">
        <v>144.2340740172009</v>
      </c>
      <c r="E9762" s="733"/>
    </row>
    <row r="9763" spans="2:5">
      <c r="B9763" s="121">
        <v>832</v>
      </c>
      <c r="C9763" s="121">
        <v>8</v>
      </c>
      <c r="D9763" s="734">
        <v>135.34827030149719</v>
      </c>
      <c r="E9763" s="733"/>
    </row>
    <row r="9764" spans="2:5">
      <c r="B9764" s="121">
        <v>832</v>
      </c>
      <c r="C9764" s="121">
        <v>9</v>
      </c>
      <c r="D9764" s="734">
        <v>144.95402721266439</v>
      </c>
      <c r="E9764" s="733"/>
    </row>
    <row r="9765" spans="2:5">
      <c r="B9765" s="121">
        <v>832</v>
      </c>
      <c r="C9765" s="121">
        <v>10</v>
      </c>
      <c r="D9765" s="734">
        <v>146.22735763427562</v>
      </c>
      <c r="E9765" s="733"/>
    </row>
    <row r="9766" spans="2:5">
      <c r="B9766" s="121">
        <v>832</v>
      </c>
      <c r="C9766" s="121">
        <v>11</v>
      </c>
      <c r="D9766" s="734">
        <v>140.23818502935868</v>
      </c>
      <c r="E9766" s="733"/>
    </row>
    <row r="9767" spans="2:5">
      <c r="B9767" s="121">
        <v>833</v>
      </c>
      <c r="C9767" s="121">
        <v>1</v>
      </c>
      <c r="D9767" s="734">
        <v>5</v>
      </c>
      <c r="E9767" s="733"/>
    </row>
    <row r="9768" spans="2:5">
      <c r="B9768" s="121">
        <v>833</v>
      </c>
      <c r="C9768" s="121">
        <v>2</v>
      </c>
      <c r="D9768" s="734">
        <v>95.777764779796939</v>
      </c>
      <c r="E9768" s="733"/>
    </row>
    <row r="9769" spans="2:5">
      <c r="B9769" s="121">
        <v>833</v>
      </c>
      <c r="C9769" s="121">
        <v>3</v>
      </c>
      <c r="D9769" s="734">
        <v>117.54092646873335</v>
      </c>
      <c r="E9769" s="733"/>
    </row>
    <row r="9770" spans="2:5">
      <c r="B9770" s="121">
        <v>833</v>
      </c>
      <c r="C9770" s="121">
        <v>4</v>
      </c>
      <c r="D9770" s="734">
        <v>140.68618957112315</v>
      </c>
      <c r="E9770" s="733"/>
    </row>
    <row r="9771" spans="2:5">
      <c r="B9771" s="121">
        <v>833</v>
      </c>
      <c r="C9771" s="121">
        <v>5</v>
      </c>
      <c r="D9771" s="734">
        <v>134.68125257178735</v>
      </c>
      <c r="E9771" s="733"/>
    </row>
    <row r="9772" spans="2:5">
      <c r="B9772" s="121">
        <v>834</v>
      </c>
      <c r="C9772" s="121">
        <v>1</v>
      </c>
      <c r="D9772" s="734">
        <v>5</v>
      </c>
      <c r="E9772" s="733"/>
    </row>
    <row r="9773" spans="2:5">
      <c r="B9773" s="121">
        <v>835</v>
      </c>
      <c r="C9773" s="121">
        <v>1</v>
      </c>
      <c r="D9773" s="734">
        <v>5</v>
      </c>
      <c r="E9773" s="733"/>
    </row>
    <row r="9774" spans="2:5">
      <c r="B9774" s="121">
        <v>835</v>
      </c>
      <c r="C9774" s="121">
        <v>2</v>
      </c>
      <c r="D9774" s="734">
        <v>97.945667287824961</v>
      </c>
      <c r="E9774" s="733"/>
    </row>
    <row r="9775" spans="2:5">
      <c r="B9775" s="121">
        <v>835</v>
      </c>
      <c r="C9775" s="121">
        <v>3</v>
      </c>
      <c r="D9775" s="734">
        <v>119.71240557617904</v>
      </c>
      <c r="E9775" s="733"/>
    </row>
    <row r="9776" spans="2:5">
      <c r="B9776" s="121">
        <v>835</v>
      </c>
      <c r="C9776" s="121">
        <v>4</v>
      </c>
      <c r="D9776" s="734">
        <v>145.0790367365037</v>
      </c>
      <c r="E9776" s="733"/>
    </row>
    <row r="9777" spans="2:5">
      <c r="B9777" s="121">
        <v>835</v>
      </c>
      <c r="C9777" s="121">
        <v>5</v>
      </c>
      <c r="D9777" s="734">
        <v>146.54744769658134</v>
      </c>
      <c r="E9777" s="733"/>
    </row>
    <row r="9778" spans="2:5">
      <c r="B9778" s="121">
        <v>835</v>
      </c>
      <c r="C9778" s="121">
        <v>6</v>
      </c>
      <c r="D9778" s="734">
        <v>135.47980443753983</v>
      </c>
      <c r="E9778" s="733"/>
    </row>
    <row r="9779" spans="2:5">
      <c r="B9779" s="121">
        <v>836</v>
      </c>
      <c r="C9779" s="121">
        <v>1</v>
      </c>
      <c r="D9779" s="734">
        <v>5</v>
      </c>
      <c r="E9779" s="733"/>
    </row>
    <row r="9780" spans="2:5">
      <c r="B9780" s="121">
        <v>837</v>
      </c>
      <c r="C9780" s="121">
        <v>1</v>
      </c>
      <c r="D9780" s="734">
        <v>5</v>
      </c>
      <c r="E9780" s="733"/>
    </row>
    <row r="9781" spans="2:5">
      <c r="B9781" s="121">
        <v>838</v>
      </c>
      <c r="C9781" s="121">
        <v>1</v>
      </c>
      <c r="D9781" s="734">
        <v>5</v>
      </c>
      <c r="E9781" s="733"/>
    </row>
    <row r="9782" spans="2:5">
      <c r="B9782" s="121">
        <v>838</v>
      </c>
      <c r="C9782" s="121">
        <v>2</v>
      </c>
      <c r="D9782" s="734">
        <v>101.84200153124306</v>
      </c>
      <c r="E9782" s="733"/>
    </row>
    <row r="9783" spans="2:5">
      <c r="B9783" s="121">
        <v>838</v>
      </c>
      <c r="C9783" s="121">
        <v>3</v>
      </c>
      <c r="D9783" s="734">
        <v>121.50955457616892</v>
      </c>
      <c r="E9783" s="733"/>
    </row>
    <row r="9784" spans="2:5">
      <c r="B9784" s="121">
        <v>838</v>
      </c>
      <c r="C9784" s="121">
        <v>4</v>
      </c>
      <c r="D9784" s="734">
        <v>145.96438051144514</v>
      </c>
      <c r="E9784" s="733"/>
    </row>
    <row r="9785" spans="2:5">
      <c r="B9785" s="121">
        <v>838</v>
      </c>
      <c r="C9785" s="121">
        <v>5</v>
      </c>
      <c r="D9785" s="734">
        <v>136.29835271716888</v>
      </c>
      <c r="E9785" s="733"/>
    </row>
    <row r="9786" spans="2:5">
      <c r="B9786" s="121">
        <v>838</v>
      </c>
      <c r="C9786" s="121">
        <v>6</v>
      </c>
      <c r="D9786" s="734">
        <v>143.81096120972794</v>
      </c>
      <c r="E9786" s="733"/>
    </row>
    <row r="9787" spans="2:5">
      <c r="B9787" s="121">
        <v>838</v>
      </c>
      <c r="C9787" s="121">
        <v>7</v>
      </c>
      <c r="D9787" s="734">
        <v>142.79601332903763</v>
      </c>
      <c r="E9787" s="733"/>
    </row>
    <row r="9788" spans="2:5">
      <c r="B9788" s="121">
        <v>838</v>
      </c>
      <c r="C9788" s="121">
        <v>8</v>
      </c>
      <c r="D9788" s="734">
        <v>144.724974858715</v>
      </c>
      <c r="E9788" s="733"/>
    </row>
    <row r="9789" spans="2:5">
      <c r="B9789" s="121">
        <v>838</v>
      </c>
      <c r="C9789" s="121">
        <v>9</v>
      </c>
      <c r="D9789" s="734">
        <v>140.28177758570774</v>
      </c>
      <c r="E9789" s="733"/>
    </row>
    <row r="9790" spans="2:5">
      <c r="B9790" s="121">
        <v>838</v>
      </c>
      <c r="C9790" s="121">
        <v>10</v>
      </c>
      <c r="D9790" s="734">
        <v>144.50288715589213</v>
      </c>
      <c r="E9790" s="733"/>
    </row>
    <row r="9791" spans="2:5">
      <c r="B9791" s="121">
        <v>838</v>
      </c>
      <c r="C9791" s="121">
        <v>11</v>
      </c>
      <c r="D9791" s="734">
        <v>142.51508376951386</v>
      </c>
      <c r="E9791" s="733"/>
    </row>
    <row r="9792" spans="2:5">
      <c r="B9792" s="121">
        <v>838</v>
      </c>
      <c r="C9792" s="121">
        <v>12</v>
      </c>
      <c r="D9792" s="734">
        <v>138.37736325388437</v>
      </c>
      <c r="E9792" s="733"/>
    </row>
    <row r="9793" spans="2:5">
      <c r="B9793" s="121">
        <v>838</v>
      </c>
      <c r="C9793" s="121">
        <v>13</v>
      </c>
      <c r="D9793" s="734">
        <v>145.36130766536937</v>
      </c>
      <c r="E9793" s="733"/>
    </row>
    <row r="9794" spans="2:5">
      <c r="B9794" s="121">
        <v>838</v>
      </c>
      <c r="C9794" s="121">
        <v>14</v>
      </c>
      <c r="D9794" s="734">
        <v>134.50066304712595</v>
      </c>
      <c r="E9794" s="733"/>
    </row>
    <row r="9795" spans="2:5">
      <c r="B9795" s="121">
        <v>838</v>
      </c>
      <c r="C9795" s="121">
        <v>15</v>
      </c>
      <c r="D9795" s="734">
        <v>141.68916445773988</v>
      </c>
      <c r="E9795" s="733"/>
    </row>
    <row r="9796" spans="2:5">
      <c r="B9796" s="121">
        <v>838</v>
      </c>
      <c r="C9796" s="121">
        <v>16</v>
      </c>
      <c r="D9796" s="734">
        <v>145.74476754885922</v>
      </c>
      <c r="E9796" s="733"/>
    </row>
    <row r="9797" spans="2:5">
      <c r="B9797" s="121">
        <v>838</v>
      </c>
      <c r="C9797" s="121">
        <v>17</v>
      </c>
      <c r="D9797" s="734">
        <v>136.75461906913395</v>
      </c>
      <c r="E9797" s="733"/>
    </row>
    <row r="9798" spans="2:5">
      <c r="B9798" s="121">
        <v>838</v>
      </c>
      <c r="C9798" s="121">
        <v>18</v>
      </c>
      <c r="D9798" s="734">
        <v>142.69846289868656</v>
      </c>
      <c r="E9798" s="733"/>
    </row>
    <row r="9799" spans="2:5">
      <c r="B9799" s="121">
        <v>838</v>
      </c>
      <c r="C9799" s="121">
        <v>19</v>
      </c>
      <c r="D9799" s="734">
        <v>147.2451805802107</v>
      </c>
      <c r="E9799" s="733"/>
    </row>
    <row r="9800" spans="2:5">
      <c r="B9800" s="121">
        <v>838</v>
      </c>
      <c r="C9800" s="121">
        <v>20</v>
      </c>
      <c r="D9800" s="734">
        <v>143.47660821750728</v>
      </c>
      <c r="E9800" s="733"/>
    </row>
    <row r="9801" spans="2:5">
      <c r="B9801" s="121">
        <v>838</v>
      </c>
      <c r="C9801" s="121">
        <v>21</v>
      </c>
      <c r="D9801" s="734">
        <v>145.77664526545158</v>
      </c>
      <c r="E9801" s="733"/>
    </row>
    <row r="9802" spans="2:5">
      <c r="B9802" s="121">
        <v>838</v>
      </c>
      <c r="C9802" s="121">
        <v>22</v>
      </c>
      <c r="D9802" s="734">
        <v>133.6819146826605</v>
      </c>
      <c r="E9802" s="733"/>
    </row>
    <row r="9803" spans="2:5">
      <c r="B9803" s="121">
        <v>838</v>
      </c>
      <c r="C9803" s="121">
        <v>23</v>
      </c>
      <c r="D9803" s="734">
        <v>137.24364688078052</v>
      </c>
      <c r="E9803" s="733"/>
    </row>
    <row r="9804" spans="2:5">
      <c r="B9804" s="121">
        <v>838</v>
      </c>
      <c r="C9804" s="121">
        <v>24</v>
      </c>
      <c r="D9804" s="734">
        <v>134.17875337358294</v>
      </c>
      <c r="E9804" s="733"/>
    </row>
    <row r="9805" spans="2:5">
      <c r="B9805" s="121">
        <v>838</v>
      </c>
      <c r="C9805" s="121">
        <v>25</v>
      </c>
      <c r="D9805" s="734">
        <v>145.3447783264412</v>
      </c>
      <c r="E9805" s="733"/>
    </row>
    <row r="9806" spans="2:5">
      <c r="B9806" s="121">
        <v>838</v>
      </c>
      <c r="C9806" s="121">
        <v>26</v>
      </c>
      <c r="D9806" s="734">
        <v>137.74186324809799</v>
      </c>
      <c r="E9806" s="733"/>
    </row>
    <row r="9807" spans="2:5">
      <c r="B9807" s="121">
        <v>838</v>
      </c>
      <c r="C9807" s="121">
        <v>27</v>
      </c>
      <c r="D9807" s="734">
        <v>138.23651176662295</v>
      </c>
      <c r="E9807" s="733"/>
    </row>
    <row r="9808" spans="2:5">
      <c r="B9808" s="121">
        <v>839</v>
      </c>
      <c r="C9808" s="121">
        <v>1</v>
      </c>
      <c r="D9808" s="734">
        <v>5</v>
      </c>
      <c r="E9808" s="733"/>
    </row>
    <row r="9809" spans="2:5">
      <c r="B9809" s="121">
        <v>839</v>
      </c>
      <c r="C9809" s="121">
        <v>2</v>
      </c>
      <c r="D9809" s="734">
        <v>96.329659114599551</v>
      </c>
      <c r="E9809" s="733"/>
    </row>
    <row r="9810" spans="2:5">
      <c r="B9810" s="121">
        <v>839</v>
      </c>
      <c r="C9810" s="121">
        <v>3</v>
      </c>
      <c r="D9810" s="734">
        <v>116.58749627768543</v>
      </c>
      <c r="E9810" s="733"/>
    </row>
    <row r="9811" spans="2:5">
      <c r="B9811" s="121">
        <v>839</v>
      </c>
      <c r="C9811" s="121">
        <v>4</v>
      </c>
      <c r="D9811" s="734">
        <v>134.8653202130962</v>
      </c>
      <c r="E9811" s="733"/>
    </row>
    <row r="9812" spans="2:5">
      <c r="B9812" s="121">
        <v>840</v>
      </c>
      <c r="C9812" s="121">
        <v>1</v>
      </c>
      <c r="D9812" s="734">
        <v>5</v>
      </c>
      <c r="E9812" s="733"/>
    </row>
    <row r="9813" spans="2:5">
      <c r="B9813" s="121">
        <v>840</v>
      </c>
      <c r="C9813" s="121">
        <v>2</v>
      </c>
      <c r="D9813" s="734">
        <v>97.640494354410862</v>
      </c>
      <c r="E9813" s="733"/>
    </row>
    <row r="9814" spans="2:5">
      <c r="B9814" s="121">
        <v>840</v>
      </c>
      <c r="C9814" s="121">
        <v>3</v>
      </c>
      <c r="D9814" s="734">
        <v>118.99862139281002</v>
      </c>
      <c r="E9814" s="733"/>
    </row>
    <row r="9815" spans="2:5">
      <c r="B9815" s="121">
        <v>840</v>
      </c>
      <c r="C9815" s="121">
        <v>4</v>
      </c>
      <c r="D9815" s="734">
        <v>135.03569775747766</v>
      </c>
      <c r="E9815" s="733"/>
    </row>
    <row r="9816" spans="2:5">
      <c r="B9816" s="121">
        <v>840</v>
      </c>
      <c r="C9816" s="121">
        <v>5</v>
      </c>
      <c r="D9816" s="734">
        <v>136.57339412089513</v>
      </c>
      <c r="E9816" s="733"/>
    </row>
    <row r="9817" spans="2:5">
      <c r="B9817" s="121">
        <v>840</v>
      </c>
      <c r="C9817" s="121">
        <v>6</v>
      </c>
      <c r="D9817" s="734">
        <v>137.70803734042943</v>
      </c>
      <c r="E9817" s="733"/>
    </row>
    <row r="9818" spans="2:5">
      <c r="B9818" s="121">
        <v>840</v>
      </c>
      <c r="C9818" s="121">
        <v>7</v>
      </c>
      <c r="D9818" s="734">
        <v>143.74150877075334</v>
      </c>
      <c r="E9818" s="733"/>
    </row>
    <row r="9819" spans="2:5">
      <c r="B9819" s="121">
        <v>840</v>
      </c>
      <c r="C9819" s="121">
        <v>8</v>
      </c>
      <c r="D9819" s="734">
        <v>136.05765043282094</v>
      </c>
      <c r="E9819" s="733"/>
    </row>
    <row r="9820" spans="2:5">
      <c r="B9820" s="121">
        <v>840</v>
      </c>
      <c r="C9820" s="121">
        <v>9</v>
      </c>
      <c r="D9820" s="734">
        <v>139.86091935867697</v>
      </c>
      <c r="E9820" s="733"/>
    </row>
    <row r="9821" spans="2:5">
      <c r="B9821" s="121">
        <v>840</v>
      </c>
      <c r="C9821" s="121">
        <v>10</v>
      </c>
      <c r="D9821" s="734">
        <v>143.8342675372308</v>
      </c>
      <c r="E9821" s="733"/>
    </row>
    <row r="9822" spans="2:5">
      <c r="B9822" s="121">
        <v>840</v>
      </c>
      <c r="C9822" s="121">
        <v>11</v>
      </c>
      <c r="D9822" s="734">
        <v>138.0119398303184</v>
      </c>
      <c r="E9822" s="733"/>
    </row>
    <row r="9823" spans="2:5">
      <c r="B9823" s="121">
        <v>841</v>
      </c>
      <c r="C9823" s="121">
        <v>1</v>
      </c>
      <c r="D9823" s="734">
        <v>5</v>
      </c>
      <c r="E9823" s="733"/>
    </row>
    <row r="9824" spans="2:5">
      <c r="B9824" s="121">
        <v>842</v>
      </c>
      <c r="C9824" s="121">
        <v>1</v>
      </c>
      <c r="D9824" s="734">
        <v>5</v>
      </c>
      <c r="E9824" s="733"/>
    </row>
    <row r="9825" spans="2:5">
      <c r="B9825" s="121">
        <v>842</v>
      </c>
      <c r="C9825" s="121">
        <v>2</v>
      </c>
      <c r="D9825" s="734">
        <v>97.738613716026705</v>
      </c>
      <c r="E9825" s="733"/>
    </row>
    <row r="9826" spans="2:5">
      <c r="B9826" s="121">
        <v>842</v>
      </c>
      <c r="C9826" s="121">
        <v>3</v>
      </c>
      <c r="D9826" s="734">
        <v>114.46069487906807</v>
      </c>
      <c r="E9826" s="733"/>
    </row>
    <row r="9827" spans="2:5">
      <c r="B9827" s="121">
        <v>842</v>
      </c>
      <c r="C9827" s="121">
        <v>4</v>
      </c>
      <c r="D9827" s="734">
        <v>139.05995737033297</v>
      </c>
      <c r="E9827" s="733"/>
    </row>
    <row r="9828" spans="2:5">
      <c r="B9828" s="121">
        <v>842</v>
      </c>
      <c r="C9828" s="121">
        <v>5</v>
      </c>
      <c r="D9828" s="734">
        <v>144.78335513891466</v>
      </c>
      <c r="E9828" s="733"/>
    </row>
    <row r="9829" spans="2:5">
      <c r="B9829" s="121">
        <v>842</v>
      </c>
      <c r="C9829" s="121">
        <v>6</v>
      </c>
      <c r="D9829" s="734">
        <v>137.75416416967332</v>
      </c>
      <c r="E9829" s="733"/>
    </row>
    <row r="9830" spans="2:5">
      <c r="B9830" s="121">
        <v>842</v>
      </c>
      <c r="C9830" s="121">
        <v>7</v>
      </c>
      <c r="D9830" s="734">
        <v>144.74384590710281</v>
      </c>
      <c r="E9830" s="733"/>
    </row>
    <row r="9831" spans="2:5">
      <c r="B9831" s="121">
        <v>842</v>
      </c>
      <c r="C9831" s="121">
        <v>8</v>
      </c>
      <c r="D9831" s="734">
        <v>142.28362227719302</v>
      </c>
      <c r="E9831" s="733"/>
    </row>
    <row r="9832" spans="2:5">
      <c r="B9832" s="121">
        <v>842</v>
      </c>
      <c r="C9832" s="121">
        <v>9</v>
      </c>
      <c r="D9832" s="734">
        <v>138.69397230894037</v>
      </c>
      <c r="E9832" s="733"/>
    </row>
    <row r="9833" spans="2:5">
      <c r="B9833" s="121">
        <v>842</v>
      </c>
      <c r="C9833" s="121">
        <v>10</v>
      </c>
      <c r="D9833" s="734">
        <v>144.57363358813433</v>
      </c>
      <c r="E9833" s="733"/>
    </row>
    <row r="9834" spans="2:5">
      <c r="B9834" s="121">
        <v>842</v>
      </c>
      <c r="C9834" s="121">
        <v>11</v>
      </c>
      <c r="D9834" s="734">
        <v>137.38946098374922</v>
      </c>
      <c r="E9834" s="733"/>
    </row>
    <row r="9835" spans="2:5">
      <c r="B9835" s="121">
        <v>842</v>
      </c>
      <c r="C9835" s="121">
        <v>12</v>
      </c>
      <c r="D9835" s="734">
        <v>135.48155533646781</v>
      </c>
      <c r="E9835" s="733"/>
    </row>
    <row r="9836" spans="2:5">
      <c r="B9836" s="121">
        <v>842</v>
      </c>
      <c r="C9836" s="121">
        <v>13</v>
      </c>
      <c r="D9836" s="734">
        <v>146.32180792706367</v>
      </c>
      <c r="E9836" s="733"/>
    </row>
    <row r="9837" spans="2:5">
      <c r="B9837" s="121">
        <v>842</v>
      </c>
      <c r="C9837" s="121">
        <v>14</v>
      </c>
      <c r="D9837" s="734">
        <v>144.06486984837144</v>
      </c>
      <c r="E9837" s="733"/>
    </row>
    <row r="9838" spans="2:5">
      <c r="B9838" s="121">
        <v>843</v>
      </c>
      <c r="C9838" s="121">
        <v>1</v>
      </c>
      <c r="D9838" s="734">
        <v>5</v>
      </c>
      <c r="E9838" s="733"/>
    </row>
    <row r="9839" spans="2:5">
      <c r="B9839" s="121">
        <v>843</v>
      </c>
      <c r="C9839" s="121">
        <v>2</v>
      </c>
      <c r="D9839" s="734">
        <v>95.754083902025272</v>
      </c>
      <c r="E9839" s="733"/>
    </row>
    <row r="9840" spans="2:5">
      <c r="B9840" s="121">
        <v>843</v>
      </c>
      <c r="C9840" s="121">
        <v>3</v>
      </c>
      <c r="D9840" s="734">
        <v>123.1812155879974</v>
      </c>
      <c r="E9840" s="733"/>
    </row>
    <row r="9841" spans="2:5">
      <c r="B9841" s="121">
        <v>843</v>
      </c>
      <c r="C9841" s="121">
        <v>4</v>
      </c>
      <c r="D9841" s="734">
        <v>146.78218505260969</v>
      </c>
      <c r="E9841" s="733"/>
    </row>
    <row r="9842" spans="2:5">
      <c r="B9842" s="121">
        <v>843</v>
      </c>
      <c r="C9842" s="121">
        <v>5</v>
      </c>
      <c r="D9842" s="734">
        <v>139.39573419955002</v>
      </c>
      <c r="E9842" s="733"/>
    </row>
    <row r="9843" spans="2:5">
      <c r="B9843" s="121">
        <v>843</v>
      </c>
      <c r="C9843" s="121">
        <v>6</v>
      </c>
      <c r="D9843" s="734">
        <v>143.66265595892992</v>
      </c>
      <c r="E9843" s="733"/>
    </row>
    <row r="9844" spans="2:5">
      <c r="B9844" s="121">
        <v>843</v>
      </c>
      <c r="C9844" s="121">
        <v>7</v>
      </c>
      <c r="D9844" s="734">
        <v>138.05009690530187</v>
      </c>
      <c r="E9844" s="733"/>
    </row>
    <row r="9845" spans="2:5">
      <c r="B9845" s="121">
        <v>844</v>
      </c>
      <c r="C9845" s="121">
        <v>1</v>
      </c>
      <c r="D9845" s="734">
        <v>5</v>
      </c>
      <c r="E9845" s="733"/>
    </row>
    <row r="9846" spans="2:5">
      <c r="B9846" s="121">
        <v>844</v>
      </c>
      <c r="C9846" s="121">
        <v>2</v>
      </c>
      <c r="D9846" s="734">
        <v>99.7303568563879</v>
      </c>
      <c r="E9846" s="733"/>
    </row>
    <row r="9847" spans="2:5">
      <c r="B9847" s="121">
        <v>844</v>
      </c>
      <c r="C9847" s="121">
        <v>3</v>
      </c>
      <c r="D9847" s="734">
        <v>116.6077557239408</v>
      </c>
      <c r="E9847" s="733"/>
    </row>
    <row r="9848" spans="2:5">
      <c r="B9848" s="121">
        <v>844</v>
      </c>
      <c r="C9848" s="121">
        <v>4</v>
      </c>
      <c r="D9848" s="734">
        <v>141.29331053426216</v>
      </c>
      <c r="E9848" s="733"/>
    </row>
    <row r="9849" spans="2:5">
      <c r="B9849" s="121">
        <v>844</v>
      </c>
      <c r="C9849" s="121">
        <v>5</v>
      </c>
      <c r="D9849" s="734">
        <v>141.89995413007733</v>
      </c>
      <c r="E9849" s="733"/>
    </row>
    <row r="9850" spans="2:5">
      <c r="B9850" s="121">
        <v>844</v>
      </c>
      <c r="C9850" s="121">
        <v>6</v>
      </c>
      <c r="D9850" s="734">
        <v>136.20600390664995</v>
      </c>
      <c r="E9850" s="733"/>
    </row>
    <row r="9851" spans="2:5">
      <c r="B9851" s="121">
        <v>844</v>
      </c>
      <c r="C9851" s="121">
        <v>7</v>
      </c>
      <c r="D9851" s="734">
        <v>140.68901590171188</v>
      </c>
      <c r="E9851" s="733"/>
    </row>
    <row r="9852" spans="2:5">
      <c r="B9852" s="121">
        <v>844</v>
      </c>
      <c r="C9852" s="121">
        <v>8</v>
      </c>
      <c r="D9852" s="734">
        <v>138.41088691250457</v>
      </c>
      <c r="E9852" s="733"/>
    </row>
    <row r="9853" spans="2:5">
      <c r="B9853" s="121">
        <v>844</v>
      </c>
      <c r="C9853" s="121">
        <v>9</v>
      </c>
      <c r="D9853" s="734">
        <v>146.25460103444405</v>
      </c>
      <c r="E9853" s="733"/>
    </row>
    <row r="9854" spans="2:5">
      <c r="B9854" s="121">
        <v>844</v>
      </c>
      <c r="C9854" s="121">
        <v>10</v>
      </c>
      <c r="D9854" s="734">
        <v>144.95541361771117</v>
      </c>
      <c r="E9854" s="733"/>
    </row>
    <row r="9855" spans="2:5">
      <c r="B9855" s="121">
        <v>845</v>
      </c>
      <c r="C9855" s="121">
        <v>1</v>
      </c>
      <c r="D9855" s="734">
        <v>5</v>
      </c>
      <c r="E9855" s="733"/>
    </row>
    <row r="9856" spans="2:5">
      <c r="B9856" s="121">
        <v>845</v>
      </c>
      <c r="C9856" s="121">
        <v>2</v>
      </c>
      <c r="D9856" s="734">
        <v>103.15382993464598</v>
      </c>
      <c r="E9856" s="733"/>
    </row>
    <row r="9857" spans="2:5">
      <c r="B9857" s="121">
        <v>845</v>
      </c>
      <c r="C9857" s="121">
        <v>3</v>
      </c>
      <c r="D9857" s="734">
        <v>122.07568395951391</v>
      </c>
      <c r="E9857" s="733"/>
    </row>
    <row r="9858" spans="2:5">
      <c r="B9858" s="121">
        <v>845</v>
      </c>
      <c r="C9858" s="121">
        <v>4</v>
      </c>
      <c r="D9858" s="734">
        <v>139.75575778398471</v>
      </c>
      <c r="E9858" s="733"/>
    </row>
    <row r="9859" spans="2:5">
      <c r="B9859" s="121">
        <v>845</v>
      </c>
      <c r="C9859" s="121">
        <v>5</v>
      </c>
      <c r="D9859" s="734">
        <v>144.24043756266326</v>
      </c>
      <c r="E9859" s="733"/>
    </row>
    <row r="9860" spans="2:5">
      <c r="B9860" s="121">
        <v>845</v>
      </c>
      <c r="C9860" s="121">
        <v>6</v>
      </c>
      <c r="D9860" s="734">
        <v>144.83653917555694</v>
      </c>
      <c r="E9860" s="733"/>
    </row>
    <row r="9861" spans="2:5">
      <c r="B9861" s="121">
        <v>845</v>
      </c>
      <c r="C9861" s="121">
        <v>7</v>
      </c>
      <c r="D9861" s="734">
        <v>142.73223056044765</v>
      </c>
      <c r="E9861" s="733"/>
    </row>
    <row r="9862" spans="2:5">
      <c r="B9862" s="121">
        <v>845</v>
      </c>
      <c r="C9862" s="121">
        <v>8</v>
      </c>
      <c r="D9862" s="734">
        <v>142.00272312830182</v>
      </c>
      <c r="E9862" s="733"/>
    </row>
    <row r="9863" spans="2:5">
      <c r="B9863" s="121">
        <v>845</v>
      </c>
      <c r="C9863" s="121">
        <v>9</v>
      </c>
      <c r="D9863" s="734">
        <v>144.34117765817459</v>
      </c>
      <c r="E9863" s="733"/>
    </row>
    <row r="9864" spans="2:5">
      <c r="B9864" s="121">
        <v>845</v>
      </c>
      <c r="C9864" s="121">
        <v>10</v>
      </c>
      <c r="D9864" s="734">
        <v>137.28236577413381</v>
      </c>
      <c r="E9864" s="733"/>
    </row>
    <row r="9865" spans="2:5">
      <c r="B9865" s="121">
        <v>845</v>
      </c>
      <c r="C9865" s="121">
        <v>11</v>
      </c>
      <c r="D9865" s="734">
        <v>134.87949328149838</v>
      </c>
      <c r="E9865" s="733"/>
    </row>
    <row r="9866" spans="2:5">
      <c r="B9866" s="121">
        <v>845</v>
      </c>
      <c r="C9866" s="121">
        <v>12</v>
      </c>
      <c r="D9866" s="734">
        <v>139.38752955146904</v>
      </c>
      <c r="E9866" s="733"/>
    </row>
    <row r="9867" spans="2:5">
      <c r="B9867" s="121">
        <v>845</v>
      </c>
      <c r="C9867" s="121">
        <v>13</v>
      </c>
      <c r="D9867" s="734">
        <v>142.69119722927584</v>
      </c>
      <c r="E9867" s="733"/>
    </row>
    <row r="9868" spans="2:5">
      <c r="B9868" s="121">
        <v>845</v>
      </c>
      <c r="C9868" s="121">
        <v>14</v>
      </c>
      <c r="D9868" s="734">
        <v>145.75486502268984</v>
      </c>
      <c r="E9868" s="733"/>
    </row>
    <row r="9869" spans="2:5">
      <c r="B9869" s="121">
        <v>845</v>
      </c>
      <c r="C9869" s="121">
        <v>15</v>
      </c>
      <c r="D9869" s="734">
        <v>135.44173442668964</v>
      </c>
      <c r="E9869" s="733"/>
    </row>
    <row r="9870" spans="2:5">
      <c r="B9870" s="121">
        <v>845</v>
      </c>
      <c r="C9870" s="121">
        <v>16</v>
      </c>
      <c r="D9870" s="734">
        <v>144.66864063480543</v>
      </c>
      <c r="E9870" s="733"/>
    </row>
    <row r="9871" spans="2:5">
      <c r="B9871" s="121">
        <v>845</v>
      </c>
      <c r="C9871" s="121">
        <v>17</v>
      </c>
      <c r="D9871" s="734">
        <v>145.64708661857949</v>
      </c>
      <c r="E9871" s="733"/>
    </row>
    <row r="9872" spans="2:5">
      <c r="B9872" s="121">
        <v>845</v>
      </c>
      <c r="C9872" s="121">
        <v>18</v>
      </c>
      <c r="D9872" s="734">
        <v>138.2185758894899</v>
      </c>
      <c r="E9872" s="733"/>
    </row>
    <row r="9873" spans="2:5">
      <c r="B9873" s="121">
        <v>846</v>
      </c>
      <c r="C9873" s="121">
        <v>1</v>
      </c>
      <c r="D9873" s="734">
        <v>5</v>
      </c>
      <c r="E9873" s="733"/>
    </row>
    <row r="9874" spans="2:5">
      <c r="B9874" s="121">
        <v>846</v>
      </c>
      <c r="C9874" s="121">
        <v>2</v>
      </c>
      <c r="D9874" s="734">
        <v>96.908984031036056</v>
      </c>
      <c r="E9874" s="733"/>
    </row>
    <row r="9875" spans="2:5">
      <c r="B9875" s="121">
        <v>846</v>
      </c>
      <c r="C9875" s="121">
        <v>3</v>
      </c>
      <c r="D9875" s="734">
        <v>122.9851173030028</v>
      </c>
      <c r="E9875" s="733"/>
    </row>
    <row r="9876" spans="2:5">
      <c r="B9876" s="121">
        <v>846</v>
      </c>
      <c r="C9876" s="121">
        <v>4</v>
      </c>
      <c r="D9876" s="734">
        <v>145.20891166613649</v>
      </c>
      <c r="E9876" s="733"/>
    </row>
    <row r="9877" spans="2:5">
      <c r="B9877" s="121">
        <v>846</v>
      </c>
      <c r="C9877" s="121">
        <v>5</v>
      </c>
      <c r="D9877" s="734">
        <v>145.28216810762123</v>
      </c>
      <c r="E9877" s="733"/>
    </row>
    <row r="9878" spans="2:5">
      <c r="B9878" s="121">
        <v>846</v>
      </c>
      <c r="C9878" s="121">
        <v>6</v>
      </c>
      <c r="D9878" s="734">
        <v>145.84323497883528</v>
      </c>
      <c r="E9878" s="733"/>
    </row>
    <row r="9879" spans="2:5">
      <c r="B9879" s="121">
        <v>846</v>
      </c>
      <c r="C9879" s="121">
        <v>7</v>
      </c>
      <c r="D9879" s="734">
        <v>136.22877353102101</v>
      </c>
      <c r="E9879" s="733"/>
    </row>
    <row r="9880" spans="2:5">
      <c r="B9880" s="121">
        <v>846</v>
      </c>
      <c r="C9880" s="121">
        <v>8</v>
      </c>
      <c r="D9880" s="734">
        <v>134.702504381479</v>
      </c>
      <c r="E9880" s="733"/>
    </row>
    <row r="9881" spans="2:5">
      <c r="B9881" s="121">
        <v>847</v>
      </c>
      <c r="C9881" s="121">
        <v>1</v>
      </c>
      <c r="D9881" s="734">
        <v>5</v>
      </c>
      <c r="E9881" s="733"/>
    </row>
    <row r="9882" spans="2:5">
      <c r="B9882" s="121">
        <v>848</v>
      </c>
      <c r="C9882" s="121">
        <v>1</v>
      </c>
      <c r="D9882" s="734">
        <v>5</v>
      </c>
      <c r="E9882" s="733"/>
    </row>
    <row r="9883" spans="2:5">
      <c r="B9883" s="121">
        <v>848</v>
      </c>
      <c r="C9883" s="121">
        <v>2</v>
      </c>
      <c r="D9883" s="734">
        <v>102.72436687677782</v>
      </c>
      <c r="E9883" s="733"/>
    </row>
    <row r="9884" spans="2:5">
      <c r="B9884" s="121">
        <v>848</v>
      </c>
      <c r="C9884" s="121">
        <v>3</v>
      </c>
      <c r="D9884" s="734">
        <v>117.28007111164696</v>
      </c>
      <c r="E9884" s="733"/>
    </row>
    <row r="9885" spans="2:5">
      <c r="B9885" s="121">
        <v>848</v>
      </c>
      <c r="C9885" s="121">
        <v>4</v>
      </c>
      <c r="D9885" s="734">
        <v>136.66634278462172</v>
      </c>
      <c r="E9885" s="733"/>
    </row>
    <row r="9886" spans="2:5">
      <c r="B9886" s="121">
        <v>848</v>
      </c>
      <c r="C9886" s="121">
        <v>5</v>
      </c>
      <c r="D9886" s="734">
        <v>135.73098202080772</v>
      </c>
      <c r="E9886" s="733"/>
    </row>
    <row r="9887" spans="2:5">
      <c r="B9887" s="121">
        <v>848</v>
      </c>
      <c r="C9887" s="121">
        <v>6</v>
      </c>
      <c r="D9887" s="734">
        <v>145.7593299857335</v>
      </c>
      <c r="E9887" s="733"/>
    </row>
    <row r="9888" spans="2:5">
      <c r="B9888" s="121">
        <v>848</v>
      </c>
      <c r="C9888" s="121">
        <v>7</v>
      </c>
      <c r="D9888" s="734">
        <v>142.7635433708144</v>
      </c>
      <c r="E9888" s="733"/>
    </row>
    <row r="9889" spans="2:5">
      <c r="B9889" s="121">
        <v>848</v>
      </c>
      <c r="C9889" s="121">
        <v>8</v>
      </c>
      <c r="D9889" s="734">
        <v>134.23404353680058</v>
      </c>
      <c r="E9889" s="733"/>
    </row>
    <row r="9890" spans="2:5">
      <c r="B9890" s="121">
        <v>848</v>
      </c>
      <c r="C9890" s="121">
        <v>9</v>
      </c>
      <c r="D9890" s="734">
        <v>137.1772441416899</v>
      </c>
      <c r="E9890" s="733"/>
    </row>
    <row r="9891" spans="2:5">
      <c r="B9891" s="121">
        <v>848</v>
      </c>
      <c r="C9891" s="121">
        <v>10</v>
      </c>
      <c r="D9891" s="734">
        <v>146.63747350564032</v>
      </c>
      <c r="E9891" s="733"/>
    </row>
    <row r="9892" spans="2:5">
      <c r="B9892" s="121">
        <v>848</v>
      </c>
      <c r="C9892" s="121">
        <v>11</v>
      </c>
      <c r="D9892" s="734">
        <v>143.24412564449585</v>
      </c>
      <c r="E9892" s="733"/>
    </row>
    <row r="9893" spans="2:5">
      <c r="B9893" s="121">
        <v>848</v>
      </c>
      <c r="C9893" s="121">
        <v>12</v>
      </c>
      <c r="D9893" s="734">
        <v>135.22984380912794</v>
      </c>
      <c r="E9893" s="733"/>
    </row>
    <row r="9894" spans="2:5">
      <c r="B9894" s="121">
        <v>848</v>
      </c>
      <c r="C9894" s="121">
        <v>13</v>
      </c>
      <c r="D9894" s="734">
        <v>144.58628924262499</v>
      </c>
      <c r="E9894" s="733"/>
    </row>
    <row r="9895" spans="2:5">
      <c r="B9895" s="121">
        <v>848</v>
      </c>
      <c r="C9895" s="121">
        <v>14</v>
      </c>
      <c r="D9895" s="734">
        <v>141.35383458919137</v>
      </c>
      <c r="E9895" s="733"/>
    </row>
    <row r="9896" spans="2:5">
      <c r="B9896" s="121">
        <v>848</v>
      </c>
      <c r="C9896" s="121">
        <v>15</v>
      </c>
      <c r="D9896" s="734">
        <v>134.47091799639108</v>
      </c>
      <c r="E9896" s="733"/>
    </row>
    <row r="9897" spans="2:5">
      <c r="B9897" s="121">
        <v>848</v>
      </c>
      <c r="C9897" s="121">
        <v>16</v>
      </c>
      <c r="D9897" s="734">
        <v>145.49610182605215</v>
      </c>
      <c r="E9897" s="733"/>
    </row>
    <row r="9898" spans="2:5">
      <c r="B9898" s="121">
        <v>848</v>
      </c>
      <c r="C9898" s="121">
        <v>17</v>
      </c>
      <c r="D9898" s="734">
        <v>146.78069831900535</v>
      </c>
      <c r="E9898" s="733"/>
    </row>
    <row r="9899" spans="2:5">
      <c r="B9899" s="121">
        <v>848</v>
      </c>
      <c r="C9899" s="121">
        <v>18</v>
      </c>
      <c r="D9899" s="734">
        <v>140.80664041971005</v>
      </c>
      <c r="E9899" s="733"/>
    </row>
    <row r="9900" spans="2:5">
      <c r="B9900" s="121">
        <v>848</v>
      </c>
      <c r="C9900" s="121">
        <v>19</v>
      </c>
      <c r="D9900" s="734">
        <v>139.52822519205131</v>
      </c>
      <c r="E9900" s="733"/>
    </row>
    <row r="9901" spans="2:5">
      <c r="B9901" s="121">
        <v>848</v>
      </c>
      <c r="C9901" s="121">
        <v>20</v>
      </c>
      <c r="D9901" s="734">
        <v>138.51351937549782</v>
      </c>
      <c r="E9901" s="733"/>
    </row>
    <row r="9902" spans="2:5">
      <c r="B9902" s="121">
        <v>848</v>
      </c>
      <c r="C9902" s="121">
        <v>21</v>
      </c>
      <c r="D9902" s="734">
        <v>137.94419416568599</v>
      </c>
      <c r="E9902" s="733"/>
    </row>
    <row r="9903" spans="2:5">
      <c r="B9903" s="121">
        <v>848</v>
      </c>
      <c r="C9903" s="121">
        <v>22</v>
      </c>
      <c r="D9903" s="734">
        <v>138.69297112152617</v>
      </c>
      <c r="E9903" s="733"/>
    </row>
    <row r="9904" spans="2:5">
      <c r="B9904" s="121">
        <v>848</v>
      </c>
      <c r="C9904" s="121">
        <v>23</v>
      </c>
      <c r="D9904" s="734">
        <v>140.69034870024538</v>
      </c>
      <c r="E9904" s="733"/>
    </row>
    <row r="9905" spans="2:5">
      <c r="B9905" s="121">
        <v>848</v>
      </c>
      <c r="C9905" s="121">
        <v>24</v>
      </c>
      <c r="D9905" s="734">
        <v>135.93433818038005</v>
      </c>
      <c r="E9905" s="733"/>
    </row>
    <row r="9906" spans="2:5">
      <c r="B9906" s="121">
        <v>849</v>
      </c>
      <c r="C9906" s="121">
        <v>1</v>
      </c>
      <c r="D9906" s="734">
        <v>5</v>
      </c>
      <c r="E9906" s="733"/>
    </row>
    <row r="9907" spans="2:5">
      <c r="B9907" s="121">
        <v>849</v>
      </c>
      <c r="C9907" s="121">
        <v>2</v>
      </c>
      <c r="D9907" s="734">
        <v>99.044235131863132</v>
      </c>
      <c r="E9907" s="733"/>
    </row>
    <row r="9908" spans="2:5">
      <c r="B9908" s="121">
        <v>849</v>
      </c>
      <c r="C9908" s="121">
        <v>3</v>
      </c>
      <c r="D9908" s="734">
        <v>122.18244084877101</v>
      </c>
      <c r="E9908" s="733"/>
    </row>
    <row r="9909" spans="2:5">
      <c r="B9909" s="121">
        <v>849</v>
      </c>
      <c r="C9909" s="121">
        <v>4</v>
      </c>
      <c r="D9909" s="734">
        <v>136.99743083111497</v>
      </c>
      <c r="E9909" s="733"/>
    </row>
    <row r="9910" spans="2:5">
      <c r="B9910" s="121">
        <v>849</v>
      </c>
      <c r="C9910" s="121">
        <v>5</v>
      </c>
      <c r="D9910" s="734">
        <v>141.93699976923475</v>
      </c>
      <c r="E9910" s="733"/>
    </row>
    <row r="9911" spans="2:5">
      <c r="B9911" s="121">
        <v>849</v>
      </c>
      <c r="C9911" s="121">
        <v>6</v>
      </c>
      <c r="D9911" s="734">
        <v>137.28226521837726</v>
      </c>
      <c r="E9911" s="733"/>
    </row>
    <row r="9912" spans="2:5">
      <c r="B9912" s="121">
        <v>849</v>
      </c>
      <c r="C9912" s="121">
        <v>7</v>
      </c>
      <c r="D9912" s="734">
        <v>146.5592998895674</v>
      </c>
      <c r="E9912" s="733"/>
    </row>
    <row r="9913" spans="2:5">
      <c r="B9913" s="121">
        <v>849</v>
      </c>
      <c r="C9913" s="121">
        <v>8</v>
      </c>
      <c r="D9913" s="734">
        <v>135.73083863781503</v>
      </c>
      <c r="E9913" s="733"/>
    </row>
    <row r="9914" spans="2:5">
      <c r="B9914" s="121">
        <v>849</v>
      </c>
      <c r="C9914" s="121">
        <v>9</v>
      </c>
      <c r="D9914" s="734">
        <v>145.79819275570011</v>
      </c>
      <c r="E9914" s="733"/>
    </row>
    <row r="9915" spans="2:5">
      <c r="B9915" s="121">
        <v>849</v>
      </c>
      <c r="C9915" s="121">
        <v>10</v>
      </c>
      <c r="D9915" s="734">
        <v>144.48469664870254</v>
      </c>
      <c r="E9915" s="733"/>
    </row>
    <row r="9916" spans="2:5">
      <c r="B9916" s="121">
        <v>849</v>
      </c>
      <c r="C9916" s="121">
        <v>11</v>
      </c>
      <c r="D9916" s="734">
        <v>136.43268508060928</v>
      </c>
      <c r="E9916" s="733"/>
    </row>
    <row r="9917" spans="2:5">
      <c r="B9917" s="121">
        <v>849</v>
      </c>
      <c r="C9917" s="121">
        <v>12</v>
      </c>
      <c r="D9917" s="734">
        <v>143.3617103763728</v>
      </c>
      <c r="E9917" s="733"/>
    </row>
    <row r="9918" spans="2:5">
      <c r="B9918" s="121">
        <v>849</v>
      </c>
      <c r="C9918" s="121">
        <v>13</v>
      </c>
      <c r="D9918" s="734">
        <v>133.90766886342163</v>
      </c>
      <c r="E9918" s="733"/>
    </row>
    <row r="9919" spans="2:5">
      <c r="B9919" s="121">
        <v>849</v>
      </c>
      <c r="C9919" s="121">
        <v>14</v>
      </c>
      <c r="D9919" s="734">
        <v>142.06163196661601</v>
      </c>
      <c r="E9919" s="733"/>
    </row>
    <row r="9920" spans="2:5">
      <c r="B9920" s="121">
        <v>849</v>
      </c>
      <c r="C9920" s="121">
        <v>15</v>
      </c>
      <c r="D9920" s="734">
        <v>136.59189888055027</v>
      </c>
      <c r="E9920" s="733"/>
    </row>
    <row r="9921" spans="2:5">
      <c r="B9921" s="121">
        <v>849</v>
      </c>
      <c r="C9921" s="121">
        <v>16</v>
      </c>
      <c r="D9921" s="734">
        <v>145.8884094448953</v>
      </c>
      <c r="E9921" s="733"/>
    </row>
    <row r="9922" spans="2:5">
      <c r="B9922" s="121">
        <v>849</v>
      </c>
      <c r="C9922" s="121">
        <v>17</v>
      </c>
      <c r="D9922" s="734">
        <v>142.74031604061349</v>
      </c>
      <c r="E9922" s="733"/>
    </row>
    <row r="9923" spans="2:5">
      <c r="B9923" s="121">
        <v>849</v>
      </c>
      <c r="C9923" s="121">
        <v>18</v>
      </c>
      <c r="D9923" s="734">
        <v>138.44702339532432</v>
      </c>
      <c r="E9923" s="733"/>
    </row>
    <row r="9924" spans="2:5">
      <c r="B9924" s="121">
        <v>849</v>
      </c>
      <c r="C9924" s="121">
        <v>19</v>
      </c>
      <c r="D9924" s="734">
        <v>144.26364917531723</v>
      </c>
      <c r="E9924" s="733"/>
    </row>
    <row r="9925" spans="2:5">
      <c r="B9925" s="121">
        <v>849</v>
      </c>
      <c r="C9925" s="121">
        <v>20</v>
      </c>
      <c r="D9925" s="734">
        <v>136.67661981957417</v>
      </c>
      <c r="E9925" s="733"/>
    </row>
    <row r="9926" spans="2:5">
      <c r="B9926" s="121">
        <v>849</v>
      </c>
      <c r="C9926" s="121">
        <v>21</v>
      </c>
      <c r="D9926" s="734">
        <v>145.61936400146772</v>
      </c>
      <c r="E9926" s="733"/>
    </row>
    <row r="9927" spans="2:5">
      <c r="B9927" s="121">
        <v>849</v>
      </c>
      <c r="C9927" s="121">
        <v>22</v>
      </c>
      <c r="D9927" s="734">
        <v>144.24372875600582</v>
      </c>
      <c r="E9927" s="733"/>
    </row>
    <row r="9928" spans="2:5">
      <c r="B9928" s="121">
        <v>849</v>
      </c>
      <c r="C9928" s="121">
        <v>23</v>
      </c>
      <c r="D9928" s="734">
        <v>134.73440011596233</v>
      </c>
      <c r="E9928" s="733"/>
    </row>
    <row r="9929" spans="2:5">
      <c r="B9929" s="121">
        <v>849</v>
      </c>
      <c r="C9929" s="121">
        <v>24</v>
      </c>
      <c r="D9929" s="734">
        <v>140.20309989456169</v>
      </c>
      <c r="E9929" s="733"/>
    </row>
    <row r="9930" spans="2:5">
      <c r="B9930" s="121">
        <v>849</v>
      </c>
      <c r="C9930" s="121">
        <v>25</v>
      </c>
      <c r="D9930" s="734">
        <v>140.67901396855922</v>
      </c>
      <c r="E9930" s="733"/>
    </row>
    <row r="9931" spans="2:5">
      <c r="B9931" s="121">
        <v>850</v>
      </c>
      <c r="C9931" s="121">
        <v>1</v>
      </c>
      <c r="D9931" s="734">
        <v>5</v>
      </c>
      <c r="E9931" s="733"/>
    </row>
    <row r="9932" spans="2:5">
      <c r="B9932" s="121">
        <v>851</v>
      </c>
      <c r="C9932" s="121">
        <v>1</v>
      </c>
      <c r="D9932" s="734">
        <v>5</v>
      </c>
      <c r="E9932" s="733"/>
    </row>
    <row r="9933" spans="2:5">
      <c r="B9933" s="121">
        <v>852</v>
      </c>
      <c r="C9933" s="121">
        <v>1</v>
      </c>
      <c r="D9933" s="734">
        <v>5</v>
      </c>
      <c r="E9933" s="733"/>
    </row>
    <row r="9934" spans="2:5">
      <c r="B9934" s="121">
        <v>853</v>
      </c>
      <c r="C9934" s="121">
        <v>1</v>
      </c>
      <c r="D9934" s="734">
        <v>5</v>
      </c>
      <c r="E9934" s="733"/>
    </row>
    <row r="9935" spans="2:5">
      <c r="B9935" s="121">
        <v>853</v>
      </c>
      <c r="C9935" s="121">
        <v>2</v>
      </c>
      <c r="D9935" s="734">
        <v>96.298308104567184</v>
      </c>
      <c r="E9935" s="733"/>
    </row>
    <row r="9936" spans="2:5">
      <c r="B9936" s="121">
        <v>853</v>
      </c>
      <c r="C9936" s="121">
        <v>3</v>
      </c>
      <c r="D9936" s="734">
        <v>116.98745142937162</v>
      </c>
      <c r="E9936" s="733"/>
    </row>
    <row r="9937" spans="2:5">
      <c r="B9937" s="121">
        <v>853</v>
      </c>
      <c r="C9937" s="121">
        <v>4</v>
      </c>
      <c r="D9937" s="734">
        <v>142.82368627191815</v>
      </c>
      <c r="E9937" s="733"/>
    </row>
    <row r="9938" spans="2:5">
      <c r="B9938" s="121">
        <v>853</v>
      </c>
      <c r="C9938" s="121">
        <v>5</v>
      </c>
      <c r="D9938" s="734">
        <v>142.62663784471536</v>
      </c>
      <c r="E9938" s="733"/>
    </row>
    <row r="9939" spans="2:5">
      <c r="B9939" s="121">
        <v>853</v>
      </c>
      <c r="C9939" s="121">
        <v>6</v>
      </c>
      <c r="D9939" s="734">
        <v>137.43209348806002</v>
      </c>
      <c r="E9939" s="733"/>
    </row>
    <row r="9940" spans="2:5">
      <c r="B9940" s="121">
        <v>853</v>
      </c>
      <c r="C9940" s="121">
        <v>7</v>
      </c>
      <c r="D9940" s="734">
        <v>136.66205569964384</v>
      </c>
      <c r="E9940" s="733"/>
    </row>
    <row r="9941" spans="2:5">
      <c r="B9941" s="121">
        <v>853</v>
      </c>
      <c r="C9941" s="121">
        <v>8</v>
      </c>
      <c r="D9941" s="734">
        <v>144.68813246629492</v>
      </c>
      <c r="E9941" s="733"/>
    </row>
    <row r="9942" spans="2:5">
      <c r="B9942" s="121">
        <v>853</v>
      </c>
      <c r="C9942" s="121">
        <v>9</v>
      </c>
      <c r="D9942" s="734">
        <v>143.71565618830385</v>
      </c>
      <c r="E9942" s="733"/>
    </row>
    <row r="9943" spans="2:5">
      <c r="B9943" s="121">
        <v>853</v>
      </c>
      <c r="C9943" s="121">
        <v>10</v>
      </c>
      <c r="D9943" s="734">
        <v>135.44528458382277</v>
      </c>
      <c r="E9943" s="733"/>
    </row>
    <row r="9944" spans="2:5">
      <c r="B9944" s="121">
        <v>853</v>
      </c>
      <c r="C9944" s="121">
        <v>11</v>
      </c>
      <c r="D9944" s="734">
        <v>145.75863538929303</v>
      </c>
      <c r="E9944" s="733"/>
    </row>
    <row r="9945" spans="2:5">
      <c r="B9945" s="121">
        <v>853</v>
      </c>
      <c r="C9945" s="121">
        <v>12</v>
      </c>
      <c r="D9945" s="734">
        <v>141.30959075404843</v>
      </c>
      <c r="E9945" s="733"/>
    </row>
    <row r="9946" spans="2:5">
      <c r="B9946" s="121">
        <v>853</v>
      </c>
      <c r="C9946" s="121">
        <v>13</v>
      </c>
      <c r="D9946" s="734">
        <v>146.33032838660597</v>
      </c>
      <c r="E9946" s="733"/>
    </row>
    <row r="9947" spans="2:5">
      <c r="B9947" s="121">
        <v>853</v>
      </c>
      <c r="C9947" s="121">
        <v>14</v>
      </c>
      <c r="D9947" s="734">
        <v>142.93009148558767</v>
      </c>
      <c r="E9947" s="733"/>
    </row>
    <row r="9948" spans="2:5">
      <c r="B9948" s="121">
        <v>853</v>
      </c>
      <c r="C9948" s="121">
        <v>15</v>
      </c>
      <c r="D9948" s="734">
        <v>139.8433269519156</v>
      </c>
      <c r="E9948" s="733"/>
    </row>
    <row r="9949" spans="2:5">
      <c r="B9949" s="121">
        <v>853</v>
      </c>
      <c r="C9949" s="121">
        <v>16</v>
      </c>
      <c r="D9949" s="734">
        <v>143.79794525603808</v>
      </c>
      <c r="E9949" s="733"/>
    </row>
    <row r="9950" spans="2:5">
      <c r="B9950" s="121">
        <v>853</v>
      </c>
      <c r="C9950" s="121">
        <v>17</v>
      </c>
      <c r="D9950" s="734">
        <v>136.88987275229641</v>
      </c>
      <c r="E9950" s="733"/>
    </row>
    <row r="9951" spans="2:5">
      <c r="B9951" s="121">
        <v>853</v>
      </c>
      <c r="C9951" s="121">
        <v>18</v>
      </c>
      <c r="D9951" s="734">
        <v>141.7448925671201</v>
      </c>
      <c r="E9951" s="733"/>
    </row>
    <row r="9952" spans="2:5">
      <c r="B9952" s="121">
        <v>853</v>
      </c>
      <c r="C9952" s="121">
        <v>19</v>
      </c>
      <c r="D9952" s="734">
        <v>145.05930082576836</v>
      </c>
      <c r="E9952" s="733"/>
    </row>
    <row r="9953" spans="2:5">
      <c r="B9953" s="121">
        <v>853</v>
      </c>
      <c r="C9953" s="121">
        <v>20</v>
      </c>
      <c r="D9953" s="734">
        <v>142.66190576102741</v>
      </c>
      <c r="E9953" s="733"/>
    </row>
    <row r="9954" spans="2:5">
      <c r="B9954" s="121">
        <v>853</v>
      </c>
      <c r="C9954" s="121">
        <v>21</v>
      </c>
      <c r="D9954" s="734">
        <v>146.09240928236932</v>
      </c>
      <c r="E9954" s="733"/>
    </row>
    <row r="9955" spans="2:5">
      <c r="B9955" s="121">
        <v>853</v>
      </c>
      <c r="C9955" s="121">
        <v>22</v>
      </c>
      <c r="D9955" s="734">
        <v>147.09299486250998</v>
      </c>
      <c r="E9955" s="733"/>
    </row>
    <row r="9956" spans="2:5">
      <c r="B9956" s="121">
        <v>853</v>
      </c>
      <c r="C9956" s="121">
        <v>23</v>
      </c>
      <c r="D9956" s="734">
        <v>145.26891003667004</v>
      </c>
      <c r="E9956" s="733"/>
    </row>
    <row r="9957" spans="2:5">
      <c r="B9957" s="121">
        <v>853</v>
      </c>
      <c r="C9957" s="121">
        <v>24</v>
      </c>
      <c r="D9957" s="734">
        <v>141.22097434381422</v>
      </c>
      <c r="E9957" s="733"/>
    </row>
    <row r="9958" spans="2:5">
      <c r="B9958" s="121">
        <v>853</v>
      </c>
      <c r="C9958" s="121">
        <v>25</v>
      </c>
      <c r="D9958" s="734">
        <v>140.77951803098725</v>
      </c>
      <c r="E9958" s="733"/>
    </row>
    <row r="9959" spans="2:5">
      <c r="B9959" s="121">
        <v>853</v>
      </c>
      <c r="C9959" s="121">
        <v>26</v>
      </c>
      <c r="D9959" s="734">
        <v>136.68575143899946</v>
      </c>
      <c r="E9959" s="733"/>
    </row>
    <row r="9960" spans="2:5">
      <c r="B9960" s="121">
        <v>853</v>
      </c>
      <c r="C9960" s="121">
        <v>27</v>
      </c>
      <c r="D9960" s="734">
        <v>140.18875747460785</v>
      </c>
      <c r="E9960" s="733"/>
    </row>
    <row r="9961" spans="2:5">
      <c r="B9961" s="121">
        <v>853</v>
      </c>
      <c r="C9961" s="121">
        <v>28</v>
      </c>
      <c r="D9961" s="734">
        <v>146.58813847308565</v>
      </c>
      <c r="E9961" s="733"/>
    </row>
    <row r="9962" spans="2:5">
      <c r="B9962" s="121">
        <v>853</v>
      </c>
      <c r="C9962" s="121">
        <v>29</v>
      </c>
      <c r="D9962" s="734">
        <v>145.95655404792146</v>
      </c>
      <c r="E9962" s="733"/>
    </row>
    <row r="9963" spans="2:5">
      <c r="B9963" s="121">
        <v>854</v>
      </c>
      <c r="C9963" s="121">
        <v>1</v>
      </c>
      <c r="D9963" s="734">
        <v>5</v>
      </c>
      <c r="E9963" s="733"/>
    </row>
    <row r="9964" spans="2:5">
      <c r="B9964" s="121">
        <v>855</v>
      </c>
      <c r="C9964" s="121">
        <v>1</v>
      </c>
      <c r="D9964" s="734">
        <v>5</v>
      </c>
      <c r="E9964" s="733"/>
    </row>
    <row r="9965" spans="2:5">
      <c r="B9965" s="121">
        <v>856</v>
      </c>
      <c r="C9965" s="121">
        <v>1</v>
      </c>
      <c r="D9965" s="734">
        <v>5</v>
      </c>
      <c r="E9965" s="733"/>
    </row>
    <row r="9966" spans="2:5">
      <c r="B9966" s="121">
        <v>857</v>
      </c>
      <c r="C9966" s="121">
        <v>1</v>
      </c>
      <c r="D9966" s="734">
        <v>5</v>
      </c>
      <c r="E9966" s="733"/>
    </row>
    <row r="9967" spans="2:5">
      <c r="B9967" s="121">
        <v>857</v>
      </c>
      <c r="C9967" s="121">
        <v>2</v>
      </c>
      <c r="D9967" s="734">
        <v>101.77218494596194</v>
      </c>
      <c r="E9967" s="733"/>
    </row>
    <row r="9968" spans="2:5">
      <c r="B9968" s="121">
        <v>857</v>
      </c>
      <c r="C9968" s="121">
        <v>3</v>
      </c>
      <c r="D9968" s="734">
        <v>114.67240718796384</v>
      </c>
      <c r="E9968" s="733"/>
    </row>
    <row r="9969" spans="2:5">
      <c r="B9969" s="121">
        <v>857</v>
      </c>
      <c r="C9969" s="121">
        <v>4</v>
      </c>
      <c r="D9969" s="734">
        <v>136.5176330572217</v>
      </c>
      <c r="E9969" s="733"/>
    </row>
    <row r="9970" spans="2:5">
      <c r="B9970" s="121">
        <v>857</v>
      </c>
      <c r="C9970" s="121">
        <v>5</v>
      </c>
      <c r="D9970" s="734">
        <v>146.80717502611915</v>
      </c>
      <c r="E9970" s="733"/>
    </row>
    <row r="9971" spans="2:5">
      <c r="B9971" s="121">
        <v>857</v>
      </c>
      <c r="C9971" s="121">
        <v>6</v>
      </c>
      <c r="D9971" s="734">
        <v>138.74378546052856</v>
      </c>
      <c r="E9971" s="733"/>
    </row>
    <row r="9972" spans="2:5">
      <c r="B9972" s="121">
        <v>857</v>
      </c>
      <c r="C9972" s="121">
        <v>7</v>
      </c>
      <c r="D9972" s="734">
        <v>144.26497311851796</v>
      </c>
      <c r="E9972" s="733"/>
    </row>
    <row r="9973" spans="2:5">
      <c r="B9973" s="121">
        <v>858</v>
      </c>
      <c r="C9973" s="121">
        <v>1</v>
      </c>
      <c r="D9973" s="734">
        <v>5</v>
      </c>
      <c r="E9973" s="733"/>
    </row>
    <row r="9974" spans="2:5">
      <c r="B9974" s="121">
        <v>858</v>
      </c>
      <c r="C9974" s="121">
        <v>2</v>
      </c>
      <c r="D9974" s="734">
        <v>103.31777578661078</v>
      </c>
      <c r="E9974" s="733"/>
    </row>
    <row r="9975" spans="2:5">
      <c r="B9975" s="121">
        <v>858</v>
      </c>
      <c r="C9975" s="121">
        <v>3</v>
      </c>
      <c r="D9975" s="734">
        <v>116.97258332066679</v>
      </c>
      <c r="E9975" s="733"/>
    </row>
    <row r="9976" spans="2:5">
      <c r="B9976" s="121">
        <v>858</v>
      </c>
      <c r="C9976" s="121">
        <v>4</v>
      </c>
      <c r="D9976" s="734">
        <v>136.98515812728641</v>
      </c>
      <c r="E9976" s="733"/>
    </row>
    <row r="9977" spans="2:5">
      <c r="B9977" s="121">
        <v>858</v>
      </c>
      <c r="C9977" s="121">
        <v>5</v>
      </c>
      <c r="D9977" s="734">
        <v>135.7834772591921</v>
      </c>
      <c r="E9977" s="733"/>
    </row>
    <row r="9978" spans="2:5">
      <c r="B9978" s="121">
        <v>858</v>
      </c>
      <c r="C9978" s="121">
        <v>6</v>
      </c>
      <c r="D9978" s="734">
        <v>146.35584613441893</v>
      </c>
      <c r="E9978" s="733"/>
    </row>
    <row r="9979" spans="2:5">
      <c r="B9979" s="121">
        <v>858</v>
      </c>
      <c r="C9979" s="121">
        <v>7</v>
      </c>
      <c r="D9979" s="734">
        <v>139.27149542317267</v>
      </c>
      <c r="E9979" s="733"/>
    </row>
    <row r="9980" spans="2:5">
      <c r="B9980" s="121">
        <v>858</v>
      </c>
      <c r="C9980" s="121">
        <v>8</v>
      </c>
      <c r="D9980" s="734">
        <v>140.05519086853602</v>
      </c>
      <c r="E9980" s="733"/>
    </row>
    <row r="9981" spans="2:5">
      <c r="B9981" s="121">
        <v>858</v>
      </c>
      <c r="C9981" s="121">
        <v>9</v>
      </c>
      <c r="D9981" s="734">
        <v>137.28729985566687</v>
      </c>
      <c r="E9981" s="733"/>
    </row>
    <row r="9982" spans="2:5">
      <c r="B9982" s="121">
        <v>858</v>
      </c>
      <c r="C9982" s="121">
        <v>10</v>
      </c>
      <c r="D9982" s="734">
        <v>142.53811114584917</v>
      </c>
      <c r="E9982" s="733"/>
    </row>
    <row r="9983" spans="2:5">
      <c r="B9983" s="121">
        <v>858</v>
      </c>
      <c r="C9983" s="121">
        <v>11</v>
      </c>
      <c r="D9983" s="734">
        <v>145.80370438676945</v>
      </c>
      <c r="E9983" s="733"/>
    </row>
    <row r="9984" spans="2:5">
      <c r="B9984" s="121">
        <v>858</v>
      </c>
      <c r="C9984" s="121">
        <v>12</v>
      </c>
      <c r="D9984" s="734">
        <v>145.91724304138114</v>
      </c>
      <c r="E9984" s="733"/>
    </row>
    <row r="9985" spans="2:5">
      <c r="B9985" s="121">
        <v>858</v>
      </c>
      <c r="C9985" s="121">
        <v>13</v>
      </c>
      <c r="D9985" s="734">
        <v>142.7190311277262</v>
      </c>
      <c r="E9985" s="733"/>
    </row>
    <row r="9986" spans="2:5">
      <c r="B9986" s="121">
        <v>858</v>
      </c>
      <c r="C9986" s="121">
        <v>14</v>
      </c>
      <c r="D9986" s="734">
        <v>133.904629935522</v>
      </c>
      <c r="E9986" s="733"/>
    </row>
    <row r="9987" spans="2:5">
      <c r="B9987" s="121">
        <v>858</v>
      </c>
      <c r="C9987" s="121">
        <v>15</v>
      </c>
      <c r="D9987" s="734">
        <v>146.72112886089292</v>
      </c>
      <c r="E9987" s="733"/>
    </row>
    <row r="9988" spans="2:5">
      <c r="B9988" s="121">
        <v>858</v>
      </c>
      <c r="C9988" s="121">
        <v>16</v>
      </c>
      <c r="D9988" s="734">
        <v>146.86502972452556</v>
      </c>
      <c r="E9988" s="733"/>
    </row>
    <row r="9989" spans="2:5">
      <c r="B9989" s="121">
        <v>858</v>
      </c>
      <c r="C9989" s="121">
        <v>17</v>
      </c>
      <c r="D9989" s="734">
        <v>138.69515253175445</v>
      </c>
      <c r="E9989" s="733"/>
    </row>
    <row r="9990" spans="2:5">
      <c r="B9990" s="121">
        <v>858</v>
      </c>
      <c r="C9990" s="121">
        <v>18</v>
      </c>
      <c r="D9990" s="734">
        <v>134.85196232251374</v>
      </c>
      <c r="E9990" s="733"/>
    </row>
    <row r="9991" spans="2:5">
      <c r="B9991" s="121">
        <v>858</v>
      </c>
      <c r="C9991" s="121">
        <v>19</v>
      </c>
      <c r="D9991" s="734">
        <v>138.68697064853581</v>
      </c>
      <c r="E9991" s="733"/>
    </row>
    <row r="9992" spans="2:5">
      <c r="B9992" s="121">
        <v>858</v>
      </c>
      <c r="C9992" s="121">
        <v>20</v>
      </c>
      <c r="D9992" s="734">
        <v>137.73449859661136</v>
      </c>
      <c r="E9992" s="733"/>
    </row>
    <row r="9993" spans="2:5">
      <c r="B9993" s="121">
        <v>858</v>
      </c>
      <c r="C9993" s="121">
        <v>21</v>
      </c>
      <c r="D9993" s="734">
        <v>141.7123969680531</v>
      </c>
      <c r="E9993" s="733"/>
    </row>
    <row r="9994" spans="2:5">
      <c r="B9994" s="121">
        <v>858</v>
      </c>
      <c r="C9994" s="121">
        <v>22</v>
      </c>
      <c r="D9994" s="734">
        <v>145.77615416905257</v>
      </c>
      <c r="E9994" s="733"/>
    </row>
    <row r="9995" spans="2:5">
      <c r="B9995" s="121">
        <v>858</v>
      </c>
      <c r="C9995" s="121">
        <v>23</v>
      </c>
      <c r="D9995" s="734">
        <v>147.22002747411312</v>
      </c>
      <c r="E9995" s="733"/>
    </row>
    <row r="9996" spans="2:5">
      <c r="B9996" s="121">
        <v>858</v>
      </c>
      <c r="C9996" s="121">
        <v>24</v>
      </c>
      <c r="D9996" s="734">
        <v>136.30732802617126</v>
      </c>
      <c r="E9996" s="733"/>
    </row>
    <row r="9997" spans="2:5">
      <c r="B9997" s="121">
        <v>858</v>
      </c>
      <c r="C9997" s="121">
        <v>25</v>
      </c>
      <c r="D9997" s="734">
        <v>138.70797002196332</v>
      </c>
      <c r="E9997" s="733"/>
    </row>
    <row r="9998" spans="2:5">
      <c r="B9998" s="121">
        <v>858</v>
      </c>
      <c r="C9998" s="121">
        <v>26</v>
      </c>
      <c r="D9998" s="734">
        <v>138.54933812359917</v>
      </c>
      <c r="E9998" s="733"/>
    </row>
    <row r="9999" spans="2:5">
      <c r="B9999" s="121">
        <v>858</v>
      </c>
      <c r="C9999" s="121">
        <v>27</v>
      </c>
      <c r="D9999" s="734">
        <v>146.56403336645303</v>
      </c>
      <c r="E9999" s="733"/>
    </row>
    <row r="10000" spans="2:5">
      <c r="B10000" s="121">
        <v>858</v>
      </c>
      <c r="C10000" s="121">
        <v>28</v>
      </c>
      <c r="D10000" s="734">
        <v>136.68837153572557</v>
      </c>
      <c r="E10000" s="733"/>
    </row>
    <row r="10001" spans="2:5">
      <c r="B10001" s="121">
        <v>858</v>
      </c>
      <c r="C10001" s="121">
        <v>29</v>
      </c>
      <c r="D10001" s="734">
        <v>142.38657269875196</v>
      </c>
      <c r="E10001" s="733"/>
    </row>
    <row r="10002" spans="2:5">
      <c r="B10002" s="121">
        <v>858</v>
      </c>
      <c r="C10002" s="121">
        <v>30</v>
      </c>
      <c r="D10002" s="734">
        <v>144.07833146044371</v>
      </c>
      <c r="E10002" s="733"/>
    </row>
    <row r="10003" spans="2:5">
      <c r="B10003" s="121">
        <v>858</v>
      </c>
      <c r="C10003" s="121">
        <v>31</v>
      </c>
      <c r="D10003" s="734">
        <v>137.67571263382177</v>
      </c>
      <c r="E10003" s="733"/>
    </row>
    <row r="10004" spans="2:5">
      <c r="B10004" s="121">
        <v>858</v>
      </c>
      <c r="C10004" s="121">
        <v>32</v>
      </c>
      <c r="D10004" s="734">
        <v>134.69269946479932</v>
      </c>
      <c r="E10004" s="733"/>
    </row>
    <row r="10005" spans="2:5">
      <c r="B10005" s="121">
        <v>858</v>
      </c>
      <c r="C10005" s="121">
        <v>33</v>
      </c>
      <c r="D10005" s="734">
        <v>141.72442602502861</v>
      </c>
      <c r="E10005" s="733"/>
    </row>
    <row r="10006" spans="2:5">
      <c r="B10006" s="121">
        <v>858</v>
      </c>
      <c r="C10006" s="121">
        <v>34</v>
      </c>
      <c r="D10006" s="734">
        <v>134.99523480297188</v>
      </c>
      <c r="E10006" s="733"/>
    </row>
    <row r="10007" spans="2:5">
      <c r="B10007" s="121">
        <v>858</v>
      </c>
      <c r="C10007" s="121">
        <v>35</v>
      </c>
      <c r="D10007" s="734">
        <v>134.502688037382</v>
      </c>
      <c r="E10007" s="733"/>
    </row>
    <row r="10008" spans="2:5">
      <c r="B10008" s="121">
        <v>858</v>
      </c>
      <c r="C10008" s="121">
        <v>36</v>
      </c>
      <c r="D10008" s="734">
        <v>139.43066604206129</v>
      </c>
      <c r="E10008" s="733"/>
    </row>
    <row r="10009" spans="2:5">
      <c r="B10009" s="121">
        <v>859</v>
      </c>
      <c r="C10009" s="121">
        <v>1</v>
      </c>
      <c r="D10009" s="734">
        <v>5</v>
      </c>
      <c r="E10009" s="733"/>
    </row>
    <row r="10010" spans="2:5">
      <c r="B10010" s="121">
        <v>860</v>
      </c>
      <c r="C10010" s="121">
        <v>1</v>
      </c>
      <c r="D10010" s="734">
        <v>5</v>
      </c>
      <c r="E10010" s="733"/>
    </row>
    <row r="10011" spans="2:5">
      <c r="B10011" s="121">
        <v>860</v>
      </c>
      <c r="C10011" s="121">
        <v>2</v>
      </c>
      <c r="D10011" s="734">
        <v>98.143353087939929</v>
      </c>
      <c r="E10011" s="733"/>
    </row>
    <row r="10012" spans="2:5">
      <c r="B10012" s="121">
        <v>860</v>
      </c>
      <c r="C10012" s="121">
        <v>3</v>
      </c>
      <c r="D10012" s="734">
        <v>116.54456396613585</v>
      </c>
      <c r="E10012" s="733"/>
    </row>
    <row r="10013" spans="2:5">
      <c r="B10013" s="121">
        <v>860</v>
      </c>
      <c r="C10013" s="121">
        <v>4</v>
      </c>
      <c r="D10013" s="734">
        <v>135.19034601221725</v>
      </c>
      <c r="E10013" s="733"/>
    </row>
    <row r="10014" spans="2:5">
      <c r="B10014" s="121">
        <v>860</v>
      </c>
      <c r="C10014" s="121">
        <v>5</v>
      </c>
      <c r="D10014" s="734">
        <v>141.04245765697431</v>
      </c>
      <c r="E10014" s="733"/>
    </row>
    <row r="10015" spans="2:5">
      <c r="B10015" s="121">
        <v>860</v>
      </c>
      <c r="C10015" s="121">
        <v>6</v>
      </c>
      <c r="D10015" s="734">
        <v>146.21590313904176</v>
      </c>
      <c r="E10015" s="733"/>
    </row>
    <row r="10016" spans="2:5">
      <c r="B10016" s="121">
        <v>860</v>
      </c>
      <c r="C10016" s="121">
        <v>7</v>
      </c>
      <c r="D10016" s="734">
        <v>139.21850850741885</v>
      </c>
      <c r="E10016" s="733"/>
    </row>
    <row r="10017" spans="2:5">
      <c r="B10017" s="121">
        <v>860</v>
      </c>
      <c r="C10017" s="121">
        <v>8</v>
      </c>
      <c r="D10017" s="734">
        <v>144.04299907933478</v>
      </c>
      <c r="E10017" s="733"/>
    </row>
    <row r="10018" spans="2:5">
      <c r="B10018" s="121">
        <v>860</v>
      </c>
      <c r="C10018" s="121">
        <v>9</v>
      </c>
      <c r="D10018" s="734">
        <v>136.59088366703875</v>
      </c>
      <c r="E10018" s="733"/>
    </row>
    <row r="10019" spans="2:5">
      <c r="B10019" s="121">
        <v>860</v>
      </c>
      <c r="C10019" s="121">
        <v>10</v>
      </c>
      <c r="D10019" s="734">
        <v>146.7237532730359</v>
      </c>
      <c r="E10019" s="733"/>
    </row>
    <row r="10020" spans="2:5">
      <c r="B10020" s="121">
        <v>860</v>
      </c>
      <c r="C10020" s="121">
        <v>11</v>
      </c>
      <c r="D10020" s="734">
        <v>134.66356811605442</v>
      </c>
      <c r="E10020" s="733"/>
    </row>
    <row r="10021" spans="2:5">
      <c r="B10021" s="121">
        <v>860</v>
      </c>
      <c r="C10021" s="121">
        <v>12</v>
      </c>
      <c r="D10021" s="734">
        <v>142.73729181224033</v>
      </c>
      <c r="E10021" s="733"/>
    </row>
    <row r="10022" spans="2:5">
      <c r="B10022" s="121">
        <v>860</v>
      </c>
      <c r="C10022" s="121">
        <v>13</v>
      </c>
      <c r="D10022" s="734">
        <v>137.85525194343191</v>
      </c>
      <c r="E10022" s="733"/>
    </row>
    <row r="10023" spans="2:5">
      <c r="B10023" s="121">
        <v>860</v>
      </c>
      <c r="C10023" s="121">
        <v>14</v>
      </c>
      <c r="D10023" s="734">
        <v>139.45280329501273</v>
      </c>
      <c r="E10023" s="733"/>
    </row>
    <row r="10024" spans="2:5">
      <c r="B10024" s="121">
        <v>861</v>
      </c>
      <c r="C10024" s="121">
        <v>1</v>
      </c>
      <c r="D10024" s="734">
        <v>5</v>
      </c>
      <c r="E10024" s="733"/>
    </row>
    <row r="10025" spans="2:5">
      <c r="B10025" s="121">
        <v>862</v>
      </c>
      <c r="C10025" s="121">
        <v>1</v>
      </c>
      <c r="D10025" s="734">
        <v>5</v>
      </c>
      <c r="E10025" s="733"/>
    </row>
    <row r="10026" spans="2:5">
      <c r="B10026" s="121">
        <v>862</v>
      </c>
      <c r="C10026" s="121">
        <v>2</v>
      </c>
      <c r="D10026" s="734">
        <v>97.7947392026486</v>
      </c>
      <c r="E10026" s="733"/>
    </row>
    <row r="10027" spans="2:5">
      <c r="B10027" s="121">
        <v>862</v>
      </c>
      <c r="C10027" s="121">
        <v>3</v>
      </c>
      <c r="D10027" s="734">
        <v>120.20566913590586</v>
      </c>
      <c r="E10027" s="733"/>
    </row>
    <row r="10028" spans="2:5">
      <c r="B10028" s="121">
        <v>862</v>
      </c>
      <c r="C10028" s="121">
        <v>4</v>
      </c>
      <c r="D10028" s="734">
        <v>141.40265413835328</v>
      </c>
      <c r="E10028" s="733"/>
    </row>
    <row r="10029" spans="2:5">
      <c r="B10029" s="121">
        <v>862</v>
      </c>
      <c r="C10029" s="121">
        <v>5</v>
      </c>
      <c r="D10029" s="734">
        <v>134.44820729952403</v>
      </c>
      <c r="E10029" s="733"/>
    </row>
    <row r="10030" spans="2:5">
      <c r="B10030" s="121">
        <v>862</v>
      </c>
      <c r="C10030" s="121">
        <v>6</v>
      </c>
      <c r="D10030" s="734">
        <v>141.73038805339712</v>
      </c>
      <c r="E10030" s="733"/>
    </row>
    <row r="10031" spans="2:5">
      <c r="B10031" s="121">
        <v>862</v>
      </c>
      <c r="C10031" s="121">
        <v>7</v>
      </c>
      <c r="D10031" s="734">
        <v>142.62754160952827</v>
      </c>
      <c r="E10031" s="733"/>
    </row>
    <row r="10032" spans="2:5">
      <c r="B10032" s="121">
        <v>862</v>
      </c>
      <c r="C10032" s="121">
        <v>8</v>
      </c>
      <c r="D10032" s="734">
        <v>140.54857552831641</v>
      </c>
      <c r="E10032" s="733"/>
    </row>
    <row r="10033" spans="2:5">
      <c r="B10033" s="121">
        <v>862</v>
      </c>
      <c r="C10033" s="121">
        <v>9</v>
      </c>
      <c r="D10033" s="734">
        <v>142.011164590558</v>
      </c>
      <c r="E10033" s="733"/>
    </row>
    <row r="10034" spans="2:5">
      <c r="B10034" s="121">
        <v>862</v>
      </c>
      <c r="C10034" s="121">
        <v>10</v>
      </c>
      <c r="D10034" s="734">
        <v>143.01220152655438</v>
      </c>
      <c r="E10034" s="733"/>
    </row>
    <row r="10035" spans="2:5">
      <c r="B10035" s="121">
        <v>862</v>
      </c>
      <c r="C10035" s="121">
        <v>11</v>
      </c>
      <c r="D10035" s="734">
        <v>135.74287905836152</v>
      </c>
      <c r="E10035" s="733"/>
    </row>
    <row r="10036" spans="2:5">
      <c r="B10036" s="121">
        <v>862</v>
      </c>
      <c r="C10036" s="121">
        <v>12</v>
      </c>
      <c r="D10036" s="734">
        <v>133.96551794610147</v>
      </c>
      <c r="E10036" s="733"/>
    </row>
    <row r="10037" spans="2:5">
      <c r="B10037" s="121">
        <v>862</v>
      </c>
      <c r="C10037" s="121">
        <v>13</v>
      </c>
      <c r="D10037" s="734">
        <v>136.86143328105243</v>
      </c>
      <c r="E10037" s="733"/>
    </row>
    <row r="10038" spans="2:5">
      <c r="B10038" s="121">
        <v>862</v>
      </c>
      <c r="C10038" s="121">
        <v>14</v>
      </c>
      <c r="D10038" s="734">
        <v>141.30636726084754</v>
      </c>
      <c r="E10038" s="733"/>
    </row>
    <row r="10039" spans="2:5">
      <c r="B10039" s="121">
        <v>862</v>
      </c>
      <c r="C10039" s="121">
        <v>15</v>
      </c>
      <c r="D10039" s="734">
        <v>135.95506342262397</v>
      </c>
      <c r="E10039" s="733"/>
    </row>
    <row r="10040" spans="2:5">
      <c r="B10040" s="121">
        <v>862</v>
      </c>
      <c r="C10040" s="121">
        <v>16</v>
      </c>
      <c r="D10040" s="734">
        <v>140.73066579476324</v>
      </c>
      <c r="E10040" s="733"/>
    </row>
    <row r="10041" spans="2:5">
      <c r="B10041" s="121">
        <v>862</v>
      </c>
      <c r="C10041" s="121">
        <v>17</v>
      </c>
      <c r="D10041" s="734">
        <v>144.94406830542277</v>
      </c>
      <c r="E10041" s="733"/>
    </row>
    <row r="10042" spans="2:5">
      <c r="B10042" s="121">
        <v>862</v>
      </c>
      <c r="C10042" s="121">
        <v>18</v>
      </c>
      <c r="D10042" s="734">
        <v>146.43959775745981</v>
      </c>
      <c r="E10042" s="733"/>
    </row>
    <row r="10043" spans="2:5">
      <c r="B10043" s="121">
        <v>862</v>
      </c>
      <c r="C10043" s="121">
        <v>19</v>
      </c>
      <c r="D10043" s="734">
        <v>145.57749367784467</v>
      </c>
      <c r="E10043" s="733"/>
    </row>
    <row r="10044" spans="2:5">
      <c r="B10044" s="121">
        <v>862</v>
      </c>
      <c r="C10044" s="121">
        <v>20</v>
      </c>
      <c r="D10044" s="734">
        <v>137.53748075241219</v>
      </c>
      <c r="E10044" s="733"/>
    </row>
    <row r="10045" spans="2:5">
      <c r="B10045" s="121">
        <v>862</v>
      </c>
      <c r="C10045" s="121">
        <v>21</v>
      </c>
      <c r="D10045" s="734">
        <v>135.30077054421091</v>
      </c>
      <c r="E10045" s="733"/>
    </row>
    <row r="10046" spans="2:5">
      <c r="B10046" s="121">
        <v>863</v>
      </c>
      <c r="C10046" s="121">
        <v>1</v>
      </c>
      <c r="D10046" s="734">
        <v>5</v>
      </c>
      <c r="E10046" s="733"/>
    </row>
    <row r="10047" spans="2:5">
      <c r="B10047" s="121">
        <v>864</v>
      </c>
      <c r="C10047" s="121">
        <v>1</v>
      </c>
      <c r="D10047" s="734">
        <v>5</v>
      </c>
      <c r="E10047" s="733"/>
    </row>
    <row r="10048" spans="2:5">
      <c r="B10048" s="121">
        <v>864</v>
      </c>
      <c r="C10048" s="121">
        <v>2</v>
      </c>
      <c r="D10048" s="734">
        <v>98.869643681711509</v>
      </c>
      <c r="E10048" s="733"/>
    </row>
    <row r="10049" spans="2:5">
      <c r="B10049" s="121">
        <v>864</v>
      </c>
      <c r="C10049" s="121">
        <v>3</v>
      </c>
      <c r="D10049" s="734">
        <v>114.97824890716612</v>
      </c>
      <c r="E10049" s="733"/>
    </row>
    <row r="10050" spans="2:5">
      <c r="B10050" s="121">
        <v>864</v>
      </c>
      <c r="C10050" s="121">
        <v>4</v>
      </c>
      <c r="D10050" s="734">
        <v>141.46976576716901</v>
      </c>
      <c r="E10050" s="733"/>
    </row>
    <row r="10051" spans="2:5">
      <c r="B10051" s="121">
        <v>864</v>
      </c>
      <c r="C10051" s="121">
        <v>5</v>
      </c>
      <c r="D10051" s="734">
        <v>146.79521130194303</v>
      </c>
      <c r="E10051" s="733"/>
    </row>
    <row r="10052" spans="2:5">
      <c r="B10052" s="121">
        <v>864</v>
      </c>
      <c r="C10052" s="121">
        <v>6</v>
      </c>
      <c r="D10052" s="734">
        <v>143.72675882724357</v>
      </c>
      <c r="E10052" s="733"/>
    </row>
    <row r="10053" spans="2:5">
      <c r="B10053" s="121">
        <v>864</v>
      </c>
      <c r="C10053" s="121">
        <v>7</v>
      </c>
      <c r="D10053" s="734">
        <v>140.72267954492008</v>
      </c>
      <c r="E10053" s="733"/>
    </row>
    <row r="10054" spans="2:5">
      <c r="B10054" s="121">
        <v>864</v>
      </c>
      <c r="C10054" s="121">
        <v>8</v>
      </c>
      <c r="D10054" s="734">
        <v>136.53298752666294</v>
      </c>
      <c r="E10054" s="733"/>
    </row>
    <row r="10055" spans="2:5">
      <c r="B10055" s="121">
        <v>864</v>
      </c>
      <c r="C10055" s="121">
        <v>9</v>
      </c>
      <c r="D10055" s="734">
        <v>143.67917017163603</v>
      </c>
      <c r="E10055" s="733"/>
    </row>
    <row r="10056" spans="2:5">
      <c r="B10056" s="121">
        <v>864</v>
      </c>
      <c r="C10056" s="121">
        <v>10</v>
      </c>
      <c r="D10056" s="734">
        <v>135.58904694803505</v>
      </c>
      <c r="E10056" s="733"/>
    </row>
    <row r="10057" spans="2:5">
      <c r="B10057" s="121">
        <v>864</v>
      </c>
      <c r="C10057" s="121">
        <v>11</v>
      </c>
      <c r="D10057" s="734">
        <v>138.40780468987953</v>
      </c>
      <c r="E10057" s="733"/>
    </row>
    <row r="10058" spans="2:5">
      <c r="B10058" s="121">
        <v>864</v>
      </c>
      <c r="C10058" s="121">
        <v>12</v>
      </c>
      <c r="D10058" s="734">
        <v>143.90678625363896</v>
      </c>
      <c r="E10058" s="733"/>
    </row>
    <row r="10059" spans="2:5">
      <c r="B10059" s="121">
        <v>864</v>
      </c>
      <c r="C10059" s="121">
        <v>13</v>
      </c>
      <c r="D10059" s="734">
        <v>144.21198619175055</v>
      </c>
      <c r="E10059" s="733"/>
    </row>
    <row r="10060" spans="2:5">
      <c r="B10060" s="121">
        <v>864</v>
      </c>
      <c r="C10060" s="121">
        <v>14</v>
      </c>
      <c r="D10060" s="734">
        <v>136.06710967703171</v>
      </c>
      <c r="E10060" s="733"/>
    </row>
    <row r="10061" spans="2:5">
      <c r="B10061" s="121">
        <v>864</v>
      </c>
      <c r="C10061" s="121">
        <v>15</v>
      </c>
      <c r="D10061" s="734">
        <v>136.62304455389932</v>
      </c>
      <c r="E10061" s="733"/>
    </row>
    <row r="10062" spans="2:5">
      <c r="B10062" s="121">
        <v>864</v>
      </c>
      <c r="C10062" s="121">
        <v>16</v>
      </c>
      <c r="D10062" s="734">
        <v>143.49043014933233</v>
      </c>
      <c r="E10062" s="733"/>
    </row>
    <row r="10063" spans="2:5">
      <c r="B10063" s="121">
        <v>864</v>
      </c>
      <c r="C10063" s="121">
        <v>17</v>
      </c>
      <c r="D10063" s="734">
        <v>147.05524889466449</v>
      </c>
      <c r="E10063" s="733"/>
    </row>
    <row r="10064" spans="2:5">
      <c r="B10064" s="121">
        <v>864</v>
      </c>
      <c r="C10064" s="121">
        <v>18</v>
      </c>
      <c r="D10064" s="734">
        <v>144.3785672458618</v>
      </c>
      <c r="E10064" s="733"/>
    </row>
    <row r="10065" spans="2:5">
      <c r="B10065" s="121">
        <v>864</v>
      </c>
      <c r="C10065" s="121">
        <v>19</v>
      </c>
      <c r="D10065" s="734">
        <v>137.832064634218</v>
      </c>
      <c r="E10065" s="733"/>
    </row>
    <row r="10066" spans="2:5">
      <c r="B10066" s="121">
        <v>864</v>
      </c>
      <c r="C10066" s="121">
        <v>20</v>
      </c>
      <c r="D10066" s="734">
        <v>145.78864867973212</v>
      </c>
      <c r="E10066" s="733"/>
    </row>
    <row r="10067" spans="2:5">
      <c r="B10067" s="121">
        <v>864</v>
      </c>
      <c r="C10067" s="121">
        <v>21</v>
      </c>
      <c r="D10067" s="734">
        <v>134.62860880400186</v>
      </c>
      <c r="E10067" s="733"/>
    </row>
    <row r="10068" spans="2:5">
      <c r="B10068" s="121">
        <v>864</v>
      </c>
      <c r="C10068" s="121">
        <v>22</v>
      </c>
      <c r="D10068" s="734">
        <v>145.57463032099895</v>
      </c>
      <c r="E10068" s="733"/>
    </row>
    <row r="10069" spans="2:5">
      <c r="B10069" s="121">
        <v>864</v>
      </c>
      <c r="C10069" s="121">
        <v>23</v>
      </c>
      <c r="D10069" s="734">
        <v>138.40975747701449</v>
      </c>
      <c r="E10069" s="733"/>
    </row>
    <row r="10070" spans="2:5">
      <c r="B10070" s="121">
        <v>864</v>
      </c>
      <c r="C10070" s="121">
        <v>24</v>
      </c>
      <c r="D10070" s="734">
        <v>137.23158702922379</v>
      </c>
      <c r="E10070" s="733"/>
    </row>
    <row r="10071" spans="2:5">
      <c r="B10071" s="121">
        <v>864</v>
      </c>
      <c r="C10071" s="121">
        <v>25</v>
      </c>
      <c r="D10071" s="734">
        <v>134.20435526677534</v>
      </c>
      <c r="E10071" s="733"/>
    </row>
    <row r="10072" spans="2:5">
      <c r="B10072" s="121">
        <v>864</v>
      </c>
      <c r="C10072" s="121">
        <v>26</v>
      </c>
      <c r="D10072" s="734">
        <v>143.80294067881266</v>
      </c>
      <c r="E10072" s="733"/>
    </row>
    <row r="10073" spans="2:5">
      <c r="B10073" s="121">
        <v>864</v>
      </c>
      <c r="C10073" s="121">
        <v>27</v>
      </c>
      <c r="D10073" s="734">
        <v>135.69297866871344</v>
      </c>
      <c r="E10073" s="733"/>
    </row>
    <row r="10074" spans="2:5">
      <c r="B10074" s="121">
        <v>864</v>
      </c>
      <c r="C10074" s="121">
        <v>28</v>
      </c>
      <c r="D10074" s="734">
        <v>146.63740089918565</v>
      </c>
      <c r="E10074" s="733"/>
    </row>
    <row r="10075" spans="2:5">
      <c r="B10075" s="121">
        <v>864</v>
      </c>
      <c r="C10075" s="121">
        <v>29</v>
      </c>
      <c r="D10075" s="734">
        <v>141.8004194550993</v>
      </c>
      <c r="E10075" s="733"/>
    </row>
    <row r="10076" spans="2:5">
      <c r="B10076" s="121">
        <v>864</v>
      </c>
      <c r="C10076" s="121">
        <v>30</v>
      </c>
      <c r="D10076" s="734">
        <v>139.47827227426561</v>
      </c>
      <c r="E10076" s="733"/>
    </row>
    <row r="10077" spans="2:5">
      <c r="B10077" s="121">
        <v>864</v>
      </c>
      <c r="C10077" s="121">
        <v>31</v>
      </c>
      <c r="D10077" s="734">
        <v>138.53827790301403</v>
      </c>
      <c r="E10077" s="733"/>
    </row>
    <row r="10078" spans="2:5">
      <c r="B10078" s="121">
        <v>864</v>
      </c>
      <c r="C10078" s="121">
        <v>32</v>
      </c>
      <c r="D10078" s="734">
        <v>145.98870911692458</v>
      </c>
      <c r="E10078" s="733"/>
    </row>
    <row r="10079" spans="2:5">
      <c r="B10079" s="121">
        <v>864</v>
      </c>
      <c r="C10079" s="121">
        <v>33</v>
      </c>
      <c r="D10079" s="734">
        <v>140.03448448312548</v>
      </c>
      <c r="E10079" s="733"/>
    </row>
    <row r="10080" spans="2:5">
      <c r="B10080" s="121">
        <v>864</v>
      </c>
      <c r="C10080" s="121">
        <v>34</v>
      </c>
      <c r="D10080" s="734">
        <v>138.9126349484178</v>
      </c>
      <c r="E10080" s="733"/>
    </row>
    <row r="10081" spans="2:5">
      <c r="B10081" s="121">
        <v>864</v>
      </c>
      <c r="C10081" s="121">
        <v>35</v>
      </c>
      <c r="D10081" s="734">
        <v>142.81266320910333</v>
      </c>
      <c r="E10081" s="733"/>
    </row>
    <row r="10082" spans="2:5">
      <c r="B10082" s="121">
        <v>864</v>
      </c>
      <c r="C10082" s="121">
        <v>36</v>
      </c>
      <c r="D10082" s="734">
        <v>143.87691658156857</v>
      </c>
      <c r="E10082" s="733"/>
    </row>
    <row r="10083" spans="2:5">
      <c r="B10083" s="121">
        <v>865</v>
      </c>
      <c r="C10083" s="121">
        <v>1</v>
      </c>
      <c r="D10083" s="734">
        <v>5</v>
      </c>
      <c r="E10083" s="733"/>
    </row>
    <row r="10084" spans="2:5">
      <c r="B10084" s="121">
        <v>865</v>
      </c>
      <c r="C10084" s="121">
        <v>2</v>
      </c>
      <c r="D10084" s="734">
        <v>103.29232784699983</v>
      </c>
      <c r="E10084" s="733"/>
    </row>
    <row r="10085" spans="2:5">
      <c r="B10085" s="121">
        <v>865</v>
      </c>
      <c r="C10085" s="121">
        <v>3</v>
      </c>
      <c r="D10085" s="734">
        <v>116.67357076156341</v>
      </c>
      <c r="E10085" s="733"/>
    </row>
    <row r="10086" spans="2:5">
      <c r="B10086" s="121">
        <v>865</v>
      </c>
      <c r="C10086" s="121">
        <v>4</v>
      </c>
      <c r="D10086" s="734">
        <v>141.52544517194281</v>
      </c>
      <c r="E10086" s="733"/>
    </row>
    <row r="10087" spans="2:5">
      <c r="B10087" s="121">
        <v>865</v>
      </c>
      <c r="C10087" s="121">
        <v>5</v>
      </c>
      <c r="D10087" s="734">
        <v>145.07363880075641</v>
      </c>
      <c r="E10087" s="733"/>
    </row>
    <row r="10088" spans="2:5">
      <c r="B10088" s="121">
        <v>865</v>
      </c>
      <c r="C10088" s="121">
        <v>6</v>
      </c>
      <c r="D10088" s="734">
        <v>137.49753733216855</v>
      </c>
      <c r="E10088" s="733"/>
    </row>
    <row r="10089" spans="2:5">
      <c r="B10089" s="121">
        <v>865</v>
      </c>
      <c r="C10089" s="121">
        <v>7</v>
      </c>
      <c r="D10089" s="734">
        <v>136.75659658949314</v>
      </c>
      <c r="E10089" s="733"/>
    </row>
    <row r="10090" spans="2:5">
      <c r="B10090" s="121">
        <v>865</v>
      </c>
      <c r="C10090" s="121">
        <v>8</v>
      </c>
      <c r="D10090" s="734">
        <v>145.02573498312594</v>
      </c>
      <c r="E10090" s="733"/>
    </row>
    <row r="10091" spans="2:5">
      <c r="B10091" s="121">
        <v>865</v>
      </c>
      <c r="C10091" s="121">
        <v>9</v>
      </c>
      <c r="D10091" s="734">
        <v>136.50630367620639</v>
      </c>
      <c r="E10091" s="733"/>
    </row>
    <row r="10092" spans="2:5">
      <c r="B10092" s="121">
        <v>865</v>
      </c>
      <c r="C10092" s="121">
        <v>10</v>
      </c>
      <c r="D10092" s="734">
        <v>143.01883758974165</v>
      </c>
      <c r="E10092" s="733"/>
    </row>
    <row r="10093" spans="2:5">
      <c r="B10093" s="121">
        <v>865</v>
      </c>
      <c r="C10093" s="121">
        <v>11</v>
      </c>
      <c r="D10093" s="734">
        <v>140.2059336620211</v>
      </c>
      <c r="E10093" s="733"/>
    </row>
    <row r="10094" spans="2:5">
      <c r="B10094" s="121">
        <v>865</v>
      </c>
      <c r="C10094" s="121">
        <v>12</v>
      </c>
      <c r="D10094" s="734">
        <v>139.41879806130359</v>
      </c>
      <c r="E10094" s="733"/>
    </row>
    <row r="10095" spans="2:5">
      <c r="B10095" s="121">
        <v>865</v>
      </c>
      <c r="C10095" s="121">
        <v>13</v>
      </c>
      <c r="D10095" s="734">
        <v>141.29586657853284</v>
      </c>
      <c r="E10095" s="733"/>
    </row>
    <row r="10096" spans="2:5">
      <c r="B10096" s="121">
        <v>865</v>
      </c>
      <c r="C10096" s="121">
        <v>14</v>
      </c>
      <c r="D10096" s="734">
        <v>134.82154186722707</v>
      </c>
      <c r="E10096" s="733"/>
    </row>
    <row r="10097" spans="2:5">
      <c r="B10097" s="121">
        <v>865</v>
      </c>
      <c r="C10097" s="121">
        <v>15</v>
      </c>
      <c r="D10097" s="734">
        <v>135.49090446023195</v>
      </c>
      <c r="E10097" s="733"/>
    </row>
    <row r="10098" spans="2:5">
      <c r="B10098" s="121">
        <v>865</v>
      </c>
      <c r="C10098" s="121">
        <v>16</v>
      </c>
      <c r="D10098" s="734">
        <v>134.69191690044065</v>
      </c>
      <c r="E10098" s="733"/>
    </row>
    <row r="10099" spans="2:5">
      <c r="B10099" s="121">
        <v>865</v>
      </c>
      <c r="C10099" s="121">
        <v>17</v>
      </c>
      <c r="D10099" s="734">
        <v>144.57891062102829</v>
      </c>
      <c r="E10099" s="733"/>
    </row>
    <row r="10100" spans="2:5">
      <c r="B10100" s="121">
        <v>865</v>
      </c>
      <c r="C10100" s="121">
        <v>18</v>
      </c>
      <c r="D10100" s="734">
        <v>142.75917384427311</v>
      </c>
      <c r="E10100" s="733"/>
    </row>
    <row r="10101" spans="2:5">
      <c r="B10101" s="121">
        <v>865</v>
      </c>
      <c r="C10101" s="121">
        <v>19</v>
      </c>
      <c r="D10101" s="734">
        <v>138.43391847924306</v>
      </c>
      <c r="E10101" s="733"/>
    </row>
    <row r="10102" spans="2:5">
      <c r="B10102" s="121">
        <v>865</v>
      </c>
      <c r="C10102" s="121">
        <v>20</v>
      </c>
      <c r="D10102" s="734">
        <v>143.60117084426739</v>
      </c>
      <c r="E10102" s="733"/>
    </row>
    <row r="10103" spans="2:5">
      <c r="B10103" s="121">
        <v>865</v>
      </c>
      <c r="C10103" s="121">
        <v>21</v>
      </c>
      <c r="D10103" s="734">
        <v>138.55661681498245</v>
      </c>
      <c r="E10103" s="733"/>
    </row>
    <row r="10104" spans="2:5">
      <c r="B10104" s="121">
        <v>865</v>
      </c>
      <c r="C10104" s="121">
        <v>22</v>
      </c>
      <c r="D10104" s="734">
        <v>134.01277987734349</v>
      </c>
      <c r="E10104" s="733"/>
    </row>
    <row r="10105" spans="2:5">
      <c r="B10105" s="121">
        <v>865</v>
      </c>
      <c r="C10105" s="121">
        <v>23</v>
      </c>
      <c r="D10105" s="734">
        <v>146.92070528255053</v>
      </c>
      <c r="E10105" s="733"/>
    </row>
    <row r="10106" spans="2:5">
      <c r="B10106" s="121">
        <v>865</v>
      </c>
      <c r="C10106" s="121">
        <v>24</v>
      </c>
      <c r="D10106" s="734">
        <v>146.37766861510238</v>
      </c>
      <c r="E10106" s="733"/>
    </row>
    <row r="10107" spans="2:5">
      <c r="B10107" s="121">
        <v>865</v>
      </c>
      <c r="C10107" s="121">
        <v>25</v>
      </c>
      <c r="D10107" s="734">
        <v>139.53754351425968</v>
      </c>
      <c r="E10107" s="733"/>
    </row>
    <row r="10108" spans="2:5">
      <c r="B10108" s="121">
        <v>865</v>
      </c>
      <c r="C10108" s="121">
        <v>26</v>
      </c>
      <c r="D10108" s="734">
        <v>134.39482603094754</v>
      </c>
      <c r="E10108" s="733"/>
    </row>
    <row r="10109" spans="2:5">
      <c r="B10109" s="121">
        <v>865</v>
      </c>
      <c r="C10109" s="121">
        <v>27</v>
      </c>
      <c r="D10109" s="734">
        <v>134.30926695518232</v>
      </c>
      <c r="E10109" s="733"/>
    </row>
    <row r="10110" spans="2:5">
      <c r="B10110" s="121">
        <v>865</v>
      </c>
      <c r="C10110" s="121">
        <v>28</v>
      </c>
      <c r="D10110" s="734">
        <v>138.931837571258</v>
      </c>
      <c r="E10110" s="733"/>
    </row>
    <row r="10111" spans="2:5">
      <c r="B10111" s="121">
        <v>865</v>
      </c>
      <c r="C10111" s="121">
        <v>29</v>
      </c>
      <c r="D10111" s="734">
        <v>147.05292977583602</v>
      </c>
      <c r="E10111" s="733"/>
    </row>
    <row r="10112" spans="2:5">
      <c r="B10112" s="121">
        <v>865</v>
      </c>
      <c r="C10112" s="121">
        <v>30</v>
      </c>
      <c r="D10112" s="734">
        <v>138.17986821062752</v>
      </c>
      <c r="E10112" s="733"/>
    </row>
    <row r="10113" spans="2:5">
      <c r="B10113" s="121">
        <v>865</v>
      </c>
      <c r="C10113" s="121">
        <v>31</v>
      </c>
      <c r="D10113" s="734">
        <v>139.2296755218874</v>
      </c>
      <c r="E10113" s="733"/>
    </row>
    <row r="10114" spans="2:5">
      <c r="B10114" s="121">
        <v>865</v>
      </c>
      <c r="C10114" s="121">
        <v>32</v>
      </c>
      <c r="D10114" s="734">
        <v>142.81983001681365</v>
      </c>
      <c r="E10114" s="733"/>
    </row>
    <row r="10115" spans="2:5">
      <c r="B10115" s="121">
        <v>865</v>
      </c>
      <c r="C10115" s="121">
        <v>33</v>
      </c>
      <c r="D10115" s="734">
        <v>143.21874025022404</v>
      </c>
      <c r="E10115" s="733"/>
    </row>
    <row r="10116" spans="2:5">
      <c r="B10116" s="121">
        <v>865</v>
      </c>
      <c r="C10116" s="121">
        <v>34</v>
      </c>
      <c r="D10116" s="734">
        <v>143.38617090170152</v>
      </c>
      <c r="E10116" s="733"/>
    </row>
    <row r="10117" spans="2:5">
      <c r="B10117" s="121">
        <v>865</v>
      </c>
      <c r="C10117" s="121">
        <v>35</v>
      </c>
      <c r="D10117" s="734">
        <v>136.49522759901839</v>
      </c>
      <c r="E10117" s="733"/>
    </row>
    <row r="10118" spans="2:5">
      <c r="B10118" s="121">
        <v>865</v>
      </c>
      <c r="C10118" s="121">
        <v>36</v>
      </c>
      <c r="D10118" s="734">
        <v>138.84690954512143</v>
      </c>
      <c r="E10118" s="733"/>
    </row>
    <row r="10119" spans="2:5">
      <c r="B10119" s="121">
        <v>866</v>
      </c>
      <c r="C10119" s="121">
        <v>1</v>
      </c>
      <c r="D10119" s="734">
        <v>5</v>
      </c>
      <c r="E10119" s="733"/>
    </row>
    <row r="10120" spans="2:5">
      <c r="B10120" s="121">
        <v>867</v>
      </c>
      <c r="C10120" s="121">
        <v>1</v>
      </c>
      <c r="D10120" s="734">
        <v>5</v>
      </c>
      <c r="E10120" s="733"/>
    </row>
    <row r="10121" spans="2:5">
      <c r="B10121" s="121">
        <v>867</v>
      </c>
      <c r="C10121" s="121">
        <v>2</v>
      </c>
      <c r="D10121" s="734">
        <v>96.334801150484452</v>
      </c>
      <c r="E10121" s="733"/>
    </row>
    <row r="10122" spans="2:5">
      <c r="B10122" s="121">
        <v>867</v>
      </c>
      <c r="C10122" s="121">
        <v>3</v>
      </c>
      <c r="D10122" s="734">
        <v>120.95608130712276</v>
      </c>
      <c r="E10122" s="733"/>
    </row>
    <row r="10123" spans="2:5">
      <c r="B10123" s="121">
        <v>867</v>
      </c>
      <c r="C10123" s="121">
        <v>4</v>
      </c>
      <c r="D10123" s="734">
        <v>137.4043682638966</v>
      </c>
      <c r="E10123" s="733"/>
    </row>
    <row r="10124" spans="2:5">
      <c r="B10124" s="121">
        <v>867</v>
      </c>
      <c r="C10124" s="121">
        <v>5</v>
      </c>
      <c r="D10124" s="734">
        <v>137.94426643075607</v>
      </c>
      <c r="E10124" s="733"/>
    </row>
    <row r="10125" spans="2:5">
      <c r="B10125" s="121">
        <v>867</v>
      </c>
      <c r="C10125" s="121">
        <v>6</v>
      </c>
      <c r="D10125" s="734">
        <v>136.28319210085834</v>
      </c>
      <c r="E10125" s="733"/>
    </row>
    <row r="10126" spans="2:5">
      <c r="B10126" s="121">
        <v>867</v>
      </c>
      <c r="C10126" s="121">
        <v>7</v>
      </c>
      <c r="D10126" s="734">
        <v>134.51873493330569</v>
      </c>
      <c r="E10126" s="733"/>
    </row>
    <row r="10127" spans="2:5">
      <c r="B10127" s="121">
        <v>867</v>
      </c>
      <c r="C10127" s="121">
        <v>8</v>
      </c>
      <c r="D10127" s="734">
        <v>138.50953747983664</v>
      </c>
      <c r="E10127" s="733"/>
    </row>
    <row r="10128" spans="2:5">
      <c r="B10128" s="121">
        <v>867</v>
      </c>
      <c r="C10128" s="121">
        <v>9</v>
      </c>
      <c r="D10128" s="734">
        <v>140.24532272522512</v>
      </c>
      <c r="E10128" s="733"/>
    </row>
    <row r="10129" spans="2:5">
      <c r="B10129" s="121">
        <v>867</v>
      </c>
      <c r="C10129" s="121">
        <v>10</v>
      </c>
      <c r="D10129" s="734">
        <v>142.8676134516208</v>
      </c>
      <c r="E10129" s="733"/>
    </row>
    <row r="10130" spans="2:5">
      <c r="B10130" s="121">
        <v>867</v>
      </c>
      <c r="C10130" s="121">
        <v>11</v>
      </c>
      <c r="D10130" s="734">
        <v>141.52171827087241</v>
      </c>
      <c r="E10130" s="733"/>
    </row>
    <row r="10131" spans="2:5">
      <c r="B10131" s="121">
        <v>867</v>
      </c>
      <c r="C10131" s="121">
        <v>12</v>
      </c>
      <c r="D10131" s="734">
        <v>145.9677837712417</v>
      </c>
      <c r="E10131" s="733"/>
    </row>
    <row r="10132" spans="2:5">
      <c r="B10132" s="121">
        <v>867</v>
      </c>
      <c r="C10132" s="121">
        <v>13</v>
      </c>
      <c r="D10132" s="734">
        <v>135.62868664079525</v>
      </c>
      <c r="E10132" s="733"/>
    </row>
    <row r="10133" spans="2:5">
      <c r="B10133" s="121">
        <v>867</v>
      </c>
      <c r="C10133" s="121">
        <v>14</v>
      </c>
      <c r="D10133" s="734">
        <v>143.79242935316492</v>
      </c>
      <c r="E10133" s="733"/>
    </row>
    <row r="10134" spans="2:5">
      <c r="B10134" s="121">
        <v>867</v>
      </c>
      <c r="C10134" s="121">
        <v>15</v>
      </c>
      <c r="D10134" s="734">
        <v>135.72029798430836</v>
      </c>
      <c r="E10134" s="733"/>
    </row>
    <row r="10135" spans="2:5">
      <c r="B10135" s="121">
        <v>867</v>
      </c>
      <c r="C10135" s="121">
        <v>16</v>
      </c>
      <c r="D10135" s="734">
        <v>141.31382104951078</v>
      </c>
      <c r="E10135" s="733"/>
    </row>
    <row r="10136" spans="2:5">
      <c r="B10136" s="121">
        <v>867</v>
      </c>
      <c r="C10136" s="121">
        <v>17</v>
      </c>
      <c r="D10136" s="734">
        <v>141.42355400940977</v>
      </c>
      <c r="E10136" s="733"/>
    </row>
    <row r="10137" spans="2:5">
      <c r="B10137" s="121">
        <v>867</v>
      </c>
      <c r="C10137" s="121">
        <v>18</v>
      </c>
      <c r="D10137" s="734">
        <v>146.78516146463852</v>
      </c>
      <c r="E10137" s="733"/>
    </row>
    <row r="10138" spans="2:5">
      <c r="B10138" s="121">
        <v>867</v>
      </c>
      <c r="C10138" s="121">
        <v>19</v>
      </c>
      <c r="D10138" s="734">
        <v>136.74693528160029</v>
      </c>
      <c r="E10138" s="733"/>
    </row>
    <row r="10139" spans="2:5">
      <c r="B10139" s="121">
        <v>867</v>
      </c>
      <c r="C10139" s="121">
        <v>20</v>
      </c>
      <c r="D10139" s="734">
        <v>137.86452831241888</v>
      </c>
      <c r="E10139" s="733"/>
    </row>
    <row r="10140" spans="2:5">
      <c r="B10140" s="121">
        <v>867</v>
      </c>
      <c r="C10140" s="121">
        <v>21</v>
      </c>
      <c r="D10140" s="734">
        <v>146.74479805441712</v>
      </c>
      <c r="E10140" s="733"/>
    </row>
    <row r="10141" spans="2:5">
      <c r="B10141" s="121">
        <v>867</v>
      </c>
      <c r="C10141" s="121">
        <v>22</v>
      </c>
      <c r="D10141" s="734">
        <v>145.07548353393139</v>
      </c>
      <c r="E10141" s="733"/>
    </row>
    <row r="10142" spans="2:5">
      <c r="B10142" s="121">
        <v>868</v>
      </c>
      <c r="C10142" s="121">
        <v>1</v>
      </c>
      <c r="D10142" s="734">
        <v>5</v>
      </c>
      <c r="E10142" s="733"/>
    </row>
    <row r="10143" spans="2:5">
      <c r="B10143" s="121">
        <v>868</v>
      </c>
      <c r="C10143" s="121">
        <v>2</v>
      </c>
      <c r="D10143" s="734">
        <v>95.077723093026592</v>
      </c>
      <c r="E10143" s="733"/>
    </row>
    <row r="10144" spans="2:5">
      <c r="B10144" s="121">
        <v>868</v>
      </c>
      <c r="C10144" s="121">
        <v>3</v>
      </c>
      <c r="D10144" s="734">
        <v>120.45515931183895</v>
      </c>
      <c r="E10144" s="733"/>
    </row>
    <row r="10145" spans="2:5">
      <c r="B10145" s="121">
        <v>868</v>
      </c>
      <c r="C10145" s="121">
        <v>4</v>
      </c>
      <c r="D10145" s="734">
        <v>146.76074426215266</v>
      </c>
      <c r="E10145" s="733"/>
    </row>
    <row r="10146" spans="2:5">
      <c r="B10146" s="121">
        <v>868</v>
      </c>
      <c r="C10146" s="121">
        <v>5</v>
      </c>
      <c r="D10146" s="734">
        <v>142.79130267015691</v>
      </c>
      <c r="E10146" s="733"/>
    </row>
    <row r="10147" spans="2:5">
      <c r="B10147" s="121">
        <v>868</v>
      </c>
      <c r="C10147" s="121">
        <v>6</v>
      </c>
      <c r="D10147" s="734">
        <v>145.55491192587283</v>
      </c>
      <c r="E10147" s="733"/>
    </row>
    <row r="10148" spans="2:5">
      <c r="B10148" s="121">
        <v>868</v>
      </c>
      <c r="C10148" s="121">
        <v>7</v>
      </c>
      <c r="D10148" s="734">
        <v>139.78327069389493</v>
      </c>
      <c r="E10148" s="733"/>
    </row>
    <row r="10149" spans="2:5">
      <c r="B10149" s="121">
        <v>868</v>
      </c>
      <c r="C10149" s="121">
        <v>8</v>
      </c>
      <c r="D10149" s="734">
        <v>145.76479508335044</v>
      </c>
      <c r="E10149" s="733"/>
    </row>
    <row r="10150" spans="2:5">
      <c r="B10150" s="121">
        <v>868</v>
      </c>
      <c r="C10150" s="121">
        <v>9</v>
      </c>
      <c r="D10150" s="734">
        <v>141.0371699670782</v>
      </c>
      <c r="E10150" s="733"/>
    </row>
    <row r="10151" spans="2:5">
      <c r="B10151" s="121">
        <v>868</v>
      </c>
      <c r="C10151" s="121">
        <v>10</v>
      </c>
      <c r="D10151" s="734">
        <v>144.56873604674735</v>
      </c>
      <c r="E10151" s="733"/>
    </row>
    <row r="10152" spans="2:5">
      <c r="B10152" s="121">
        <v>868</v>
      </c>
      <c r="C10152" s="121">
        <v>11</v>
      </c>
      <c r="D10152" s="734">
        <v>144.00693088824778</v>
      </c>
      <c r="E10152" s="733"/>
    </row>
    <row r="10153" spans="2:5">
      <c r="B10153" s="121">
        <v>868</v>
      </c>
      <c r="C10153" s="121">
        <v>12</v>
      </c>
      <c r="D10153" s="734">
        <v>137.43053918253636</v>
      </c>
      <c r="E10153" s="733"/>
    </row>
    <row r="10154" spans="2:5">
      <c r="B10154" s="121">
        <v>868</v>
      </c>
      <c r="C10154" s="121">
        <v>13</v>
      </c>
      <c r="D10154" s="734">
        <v>144.57454777123706</v>
      </c>
      <c r="E10154" s="733"/>
    </row>
    <row r="10155" spans="2:5">
      <c r="B10155" s="121">
        <v>868</v>
      </c>
      <c r="C10155" s="121">
        <v>14</v>
      </c>
      <c r="D10155" s="734">
        <v>146.76928293711751</v>
      </c>
      <c r="E10155" s="733"/>
    </row>
    <row r="10156" spans="2:5">
      <c r="B10156" s="121">
        <v>868</v>
      </c>
      <c r="C10156" s="121">
        <v>15</v>
      </c>
      <c r="D10156" s="734">
        <v>137.7448289306173</v>
      </c>
      <c r="E10156" s="733"/>
    </row>
    <row r="10157" spans="2:5">
      <c r="B10157" s="121">
        <v>868</v>
      </c>
      <c r="C10157" s="121">
        <v>16</v>
      </c>
      <c r="D10157" s="734">
        <v>145.24901814615046</v>
      </c>
      <c r="E10157" s="733"/>
    </row>
    <row r="10158" spans="2:5">
      <c r="B10158" s="121">
        <v>868</v>
      </c>
      <c r="C10158" s="121">
        <v>17</v>
      </c>
      <c r="D10158" s="734">
        <v>138.7255974795552</v>
      </c>
      <c r="E10158" s="733"/>
    </row>
    <row r="10159" spans="2:5">
      <c r="B10159" s="121">
        <v>868</v>
      </c>
      <c r="C10159" s="121">
        <v>18</v>
      </c>
      <c r="D10159" s="734">
        <v>143.92873640775022</v>
      </c>
      <c r="E10159" s="733"/>
    </row>
    <row r="10160" spans="2:5">
      <c r="B10160" s="121">
        <v>868</v>
      </c>
      <c r="C10160" s="121">
        <v>19</v>
      </c>
      <c r="D10160" s="734">
        <v>139.48373374783577</v>
      </c>
      <c r="E10160" s="733"/>
    </row>
    <row r="10161" spans="2:5">
      <c r="B10161" s="121">
        <v>868</v>
      </c>
      <c r="C10161" s="121">
        <v>20</v>
      </c>
      <c r="D10161" s="734">
        <v>141.69292364514109</v>
      </c>
      <c r="E10161" s="733"/>
    </row>
    <row r="10162" spans="2:5">
      <c r="B10162" s="121">
        <v>868</v>
      </c>
      <c r="C10162" s="121">
        <v>21</v>
      </c>
      <c r="D10162" s="734">
        <v>143.90088029950974</v>
      </c>
      <c r="E10162" s="733"/>
    </row>
    <row r="10163" spans="2:5">
      <c r="B10163" s="121">
        <v>868</v>
      </c>
      <c r="C10163" s="121">
        <v>22</v>
      </c>
      <c r="D10163" s="734">
        <v>146.49699775406356</v>
      </c>
      <c r="E10163" s="733"/>
    </row>
    <row r="10164" spans="2:5">
      <c r="B10164" s="121">
        <v>868</v>
      </c>
      <c r="C10164" s="121">
        <v>23</v>
      </c>
      <c r="D10164" s="734">
        <v>141.26174011171415</v>
      </c>
      <c r="E10164" s="733"/>
    </row>
    <row r="10165" spans="2:5">
      <c r="B10165" s="121">
        <v>868</v>
      </c>
      <c r="C10165" s="121">
        <v>24</v>
      </c>
      <c r="D10165" s="734">
        <v>135.90095368562297</v>
      </c>
      <c r="E10165" s="733"/>
    </row>
    <row r="10166" spans="2:5">
      <c r="B10166" s="121">
        <v>868</v>
      </c>
      <c r="C10166" s="121">
        <v>25</v>
      </c>
      <c r="D10166" s="734">
        <v>143.77623217361796</v>
      </c>
      <c r="E10166" s="733"/>
    </row>
    <row r="10167" spans="2:5">
      <c r="B10167" s="121">
        <v>868</v>
      </c>
      <c r="C10167" s="121">
        <v>26</v>
      </c>
      <c r="D10167" s="734">
        <v>144.77333357614873</v>
      </c>
      <c r="E10167" s="733"/>
    </row>
    <row r="10168" spans="2:5">
      <c r="B10168" s="121">
        <v>868</v>
      </c>
      <c r="C10168" s="121">
        <v>27</v>
      </c>
      <c r="D10168" s="734">
        <v>134.22900855839978</v>
      </c>
      <c r="E10168" s="733"/>
    </row>
    <row r="10169" spans="2:5">
      <c r="B10169" s="121">
        <v>868</v>
      </c>
      <c r="C10169" s="121">
        <v>28</v>
      </c>
      <c r="D10169" s="734">
        <v>142.42375372057981</v>
      </c>
      <c r="E10169" s="733"/>
    </row>
    <row r="10170" spans="2:5">
      <c r="B10170" s="121">
        <v>868</v>
      </c>
      <c r="C10170" s="121">
        <v>29</v>
      </c>
      <c r="D10170" s="734">
        <v>135.70323478925948</v>
      </c>
      <c r="E10170" s="733"/>
    </row>
    <row r="10171" spans="2:5">
      <c r="B10171" s="121">
        <v>868</v>
      </c>
      <c r="C10171" s="121">
        <v>30</v>
      </c>
      <c r="D10171" s="734">
        <v>137.2602547338245</v>
      </c>
      <c r="E10171" s="733"/>
    </row>
    <row r="10172" spans="2:5">
      <c r="B10172" s="121">
        <v>868</v>
      </c>
      <c r="C10172" s="121">
        <v>31</v>
      </c>
      <c r="D10172" s="734">
        <v>135.47757091549713</v>
      </c>
      <c r="E10172" s="733"/>
    </row>
    <row r="10173" spans="2:5">
      <c r="B10173" s="121">
        <v>868</v>
      </c>
      <c r="C10173" s="121">
        <v>32</v>
      </c>
      <c r="D10173" s="734">
        <v>135.18330825594524</v>
      </c>
      <c r="E10173" s="733"/>
    </row>
    <row r="10174" spans="2:5">
      <c r="B10174" s="121">
        <v>868</v>
      </c>
      <c r="C10174" s="121">
        <v>33</v>
      </c>
      <c r="D10174" s="734">
        <v>140.77807549544622</v>
      </c>
      <c r="E10174" s="733"/>
    </row>
    <row r="10175" spans="2:5">
      <c r="B10175" s="121">
        <v>868</v>
      </c>
      <c r="C10175" s="121">
        <v>34</v>
      </c>
      <c r="D10175" s="734">
        <v>134.62859644231523</v>
      </c>
      <c r="E10175" s="733"/>
    </row>
    <row r="10176" spans="2:5">
      <c r="B10176" s="121">
        <v>869</v>
      </c>
      <c r="C10176" s="121">
        <v>1</v>
      </c>
      <c r="D10176" s="734">
        <v>5</v>
      </c>
      <c r="E10176" s="733"/>
    </row>
    <row r="10177" spans="2:5">
      <c r="B10177" s="121">
        <v>869</v>
      </c>
      <c r="C10177" s="121">
        <v>2</v>
      </c>
      <c r="D10177" s="734">
        <v>97.600047708548246</v>
      </c>
      <c r="E10177" s="733"/>
    </row>
    <row r="10178" spans="2:5">
      <c r="B10178" s="121">
        <v>869</v>
      </c>
      <c r="C10178" s="121">
        <v>3</v>
      </c>
      <c r="D10178" s="734">
        <v>115.11435178326819</v>
      </c>
      <c r="E10178" s="733"/>
    </row>
    <row r="10179" spans="2:5">
      <c r="B10179" s="121">
        <v>869</v>
      </c>
      <c r="C10179" s="121">
        <v>4</v>
      </c>
      <c r="D10179" s="734">
        <v>145.60635373903216</v>
      </c>
      <c r="E10179" s="733"/>
    </row>
    <row r="10180" spans="2:5">
      <c r="B10180" s="121">
        <v>869</v>
      </c>
      <c r="C10180" s="121">
        <v>5</v>
      </c>
      <c r="D10180" s="734">
        <v>142.66700570163331</v>
      </c>
      <c r="E10180" s="733"/>
    </row>
    <row r="10181" spans="2:5">
      <c r="B10181" s="121">
        <v>869</v>
      </c>
      <c r="C10181" s="121">
        <v>6</v>
      </c>
      <c r="D10181" s="734">
        <v>142.57095374373867</v>
      </c>
      <c r="E10181" s="733"/>
    </row>
    <row r="10182" spans="2:5">
      <c r="B10182" s="121">
        <v>869</v>
      </c>
      <c r="C10182" s="121">
        <v>7</v>
      </c>
      <c r="D10182" s="734">
        <v>139.41896108640935</v>
      </c>
      <c r="E10182" s="733"/>
    </row>
    <row r="10183" spans="2:5">
      <c r="B10183" s="121">
        <v>869</v>
      </c>
      <c r="C10183" s="121">
        <v>8</v>
      </c>
      <c r="D10183" s="734">
        <v>135.95160872191013</v>
      </c>
      <c r="E10183" s="733"/>
    </row>
    <row r="10184" spans="2:5">
      <c r="B10184" s="121">
        <v>869</v>
      </c>
      <c r="C10184" s="121">
        <v>9</v>
      </c>
      <c r="D10184" s="734">
        <v>142.2531183241627</v>
      </c>
      <c r="E10184" s="733"/>
    </row>
    <row r="10185" spans="2:5">
      <c r="B10185" s="121">
        <v>870</v>
      </c>
      <c r="C10185" s="121">
        <v>1</v>
      </c>
      <c r="D10185" s="734">
        <v>5</v>
      </c>
      <c r="E10185" s="733"/>
    </row>
    <row r="10186" spans="2:5">
      <c r="B10186" s="121">
        <v>871</v>
      </c>
      <c r="C10186" s="121">
        <v>1</v>
      </c>
      <c r="D10186" s="734">
        <v>5</v>
      </c>
      <c r="E10186" s="733"/>
    </row>
    <row r="10187" spans="2:5">
      <c r="B10187" s="121">
        <v>871</v>
      </c>
      <c r="C10187" s="121">
        <v>2</v>
      </c>
      <c r="D10187" s="734">
        <v>103.02094442837262</v>
      </c>
      <c r="E10187" s="733"/>
    </row>
    <row r="10188" spans="2:5">
      <c r="B10188" s="121">
        <v>871</v>
      </c>
      <c r="C10188" s="121">
        <v>3</v>
      </c>
      <c r="D10188" s="734">
        <v>119.86874628170577</v>
      </c>
      <c r="E10188" s="733"/>
    </row>
    <row r="10189" spans="2:5">
      <c r="B10189" s="121">
        <v>871</v>
      </c>
      <c r="C10189" s="121">
        <v>4</v>
      </c>
      <c r="D10189" s="734">
        <v>143.7426158648195</v>
      </c>
      <c r="E10189" s="733"/>
    </row>
    <row r="10190" spans="2:5">
      <c r="B10190" s="121">
        <v>871</v>
      </c>
      <c r="C10190" s="121">
        <v>5</v>
      </c>
      <c r="D10190" s="734">
        <v>140.60523823115673</v>
      </c>
      <c r="E10190" s="733"/>
    </row>
    <row r="10191" spans="2:5">
      <c r="B10191" s="121">
        <v>871</v>
      </c>
      <c r="C10191" s="121">
        <v>6</v>
      </c>
      <c r="D10191" s="734">
        <v>141.75838561043943</v>
      </c>
      <c r="E10191" s="733"/>
    </row>
    <row r="10192" spans="2:5">
      <c r="B10192" s="121">
        <v>871</v>
      </c>
      <c r="C10192" s="121">
        <v>7</v>
      </c>
      <c r="D10192" s="734">
        <v>144.74033465904137</v>
      </c>
      <c r="E10192" s="733"/>
    </row>
    <row r="10193" spans="2:5">
      <c r="B10193" s="121">
        <v>871</v>
      </c>
      <c r="C10193" s="121">
        <v>8</v>
      </c>
      <c r="D10193" s="734">
        <v>145.27590093227792</v>
      </c>
      <c r="E10193" s="733"/>
    </row>
    <row r="10194" spans="2:5">
      <c r="B10194" s="121">
        <v>871</v>
      </c>
      <c r="C10194" s="121">
        <v>9</v>
      </c>
      <c r="D10194" s="734">
        <v>135.93963855468488</v>
      </c>
      <c r="E10194" s="733"/>
    </row>
    <row r="10195" spans="2:5">
      <c r="B10195" s="121">
        <v>871</v>
      </c>
      <c r="C10195" s="121">
        <v>10</v>
      </c>
      <c r="D10195" s="734">
        <v>142.72987448669167</v>
      </c>
      <c r="E10195" s="733"/>
    </row>
    <row r="10196" spans="2:5">
      <c r="B10196" s="121">
        <v>871</v>
      </c>
      <c r="C10196" s="121">
        <v>11</v>
      </c>
      <c r="D10196" s="734">
        <v>138.35180222336359</v>
      </c>
      <c r="E10196" s="733"/>
    </row>
    <row r="10197" spans="2:5">
      <c r="B10197" s="121">
        <v>871</v>
      </c>
      <c r="C10197" s="121">
        <v>12</v>
      </c>
      <c r="D10197" s="734">
        <v>138.6384085350771</v>
      </c>
      <c r="E10197" s="733"/>
    </row>
    <row r="10198" spans="2:5">
      <c r="B10198" s="121">
        <v>871</v>
      </c>
      <c r="C10198" s="121">
        <v>13</v>
      </c>
      <c r="D10198" s="734">
        <v>134.73671166606087</v>
      </c>
      <c r="E10198" s="733"/>
    </row>
    <row r="10199" spans="2:5">
      <c r="B10199" s="121">
        <v>871</v>
      </c>
      <c r="C10199" s="121">
        <v>14</v>
      </c>
      <c r="D10199" s="734">
        <v>137.31555937442113</v>
      </c>
      <c r="E10199" s="733"/>
    </row>
    <row r="10200" spans="2:5">
      <c r="B10200" s="121">
        <v>871</v>
      </c>
      <c r="C10200" s="121">
        <v>15</v>
      </c>
      <c r="D10200" s="734">
        <v>142.96080107583893</v>
      </c>
      <c r="E10200" s="733"/>
    </row>
    <row r="10201" spans="2:5">
      <c r="B10201" s="121">
        <v>871</v>
      </c>
      <c r="C10201" s="121">
        <v>16</v>
      </c>
      <c r="D10201" s="734">
        <v>134.58798541065772</v>
      </c>
      <c r="E10201" s="733"/>
    </row>
    <row r="10202" spans="2:5">
      <c r="B10202" s="121">
        <v>871</v>
      </c>
      <c r="C10202" s="121">
        <v>17</v>
      </c>
      <c r="D10202" s="734">
        <v>136.42052147807283</v>
      </c>
      <c r="E10202" s="733"/>
    </row>
    <row r="10203" spans="2:5">
      <c r="B10203" s="121">
        <v>871</v>
      </c>
      <c r="C10203" s="121">
        <v>18</v>
      </c>
      <c r="D10203" s="734">
        <v>139.2617304265552</v>
      </c>
      <c r="E10203" s="733"/>
    </row>
    <row r="10204" spans="2:5">
      <c r="B10204" s="121">
        <v>871</v>
      </c>
      <c r="C10204" s="121">
        <v>19</v>
      </c>
      <c r="D10204" s="734">
        <v>141.62582388035017</v>
      </c>
      <c r="E10204" s="733"/>
    </row>
    <row r="10205" spans="2:5">
      <c r="B10205" s="121">
        <v>871</v>
      </c>
      <c r="C10205" s="121">
        <v>20</v>
      </c>
      <c r="D10205" s="734">
        <v>139.02324546296666</v>
      </c>
      <c r="E10205" s="733"/>
    </row>
    <row r="10206" spans="2:5">
      <c r="B10206" s="121">
        <v>871</v>
      </c>
      <c r="C10206" s="121">
        <v>21</v>
      </c>
      <c r="D10206" s="734">
        <v>146.96105750292122</v>
      </c>
      <c r="E10206" s="733"/>
    </row>
    <row r="10207" spans="2:5">
      <c r="B10207" s="121">
        <v>871</v>
      </c>
      <c r="C10207" s="121">
        <v>22</v>
      </c>
      <c r="D10207" s="734">
        <v>147.08642503067955</v>
      </c>
      <c r="E10207" s="733"/>
    </row>
    <row r="10208" spans="2:5">
      <c r="B10208" s="121">
        <v>871</v>
      </c>
      <c r="C10208" s="121">
        <v>23</v>
      </c>
      <c r="D10208" s="734">
        <v>144.64109678885444</v>
      </c>
      <c r="E10208" s="733"/>
    </row>
    <row r="10209" spans="2:5">
      <c r="B10209" s="121">
        <v>871</v>
      </c>
      <c r="C10209" s="121">
        <v>24</v>
      </c>
      <c r="D10209" s="734">
        <v>144.31113248268613</v>
      </c>
      <c r="E10209" s="733"/>
    </row>
    <row r="10210" spans="2:5">
      <c r="B10210" s="121">
        <v>871</v>
      </c>
      <c r="C10210" s="121">
        <v>25</v>
      </c>
      <c r="D10210" s="734">
        <v>140.51788263211441</v>
      </c>
      <c r="E10210" s="733"/>
    </row>
    <row r="10211" spans="2:5">
      <c r="B10211" s="121">
        <v>871</v>
      </c>
      <c r="C10211" s="121">
        <v>26</v>
      </c>
      <c r="D10211" s="734">
        <v>138.30571063140954</v>
      </c>
      <c r="E10211" s="733"/>
    </row>
    <row r="10212" spans="2:5">
      <c r="B10212" s="121">
        <v>872</v>
      </c>
      <c r="C10212" s="121">
        <v>1</v>
      </c>
      <c r="D10212" s="734">
        <v>5</v>
      </c>
      <c r="E10212" s="733"/>
    </row>
    <row r="10213" spans="2:5">
      <c r="B10213" s="121">
        <v>873</v>
      </c>
      <c r="C10213" s="121">
        <v>1</v>
      </c>
      <c r="D10213" s="734">
        <v>5</v>
      </c>
      <c r="E10213" s="733"/>
    </row>
    <row r="10214" spans="2:5">
      <c r="B10214" s="121">
        <v>873</v>
      </c>
      <c r="C10214" s="121">
        <v>2</v>
      </c>
      <c r="D10214" s="734">
        <v>102.30450786161138</v>
      </c>
      <c r="E10214" s="733"/>
    </row>
    <row r="10215" spans="2:5">
      <c r="B10215" s="121">
        <v>873</v>
      </c>
      <c r="C10215" s="121">
        <v>3</v>
      </c>
      <c r="D10215" s="734">
        <v>117.64804213949697</v>
      </c>
      <c r="E10215" s="733"/>
    </row>
    <row r="10216" spans="2:5">
      <c r="B10216" s="121">
        <v>873</v>
      </c>
      <c r="C10216" s="121">
        <v>4</v>
      </c>
      <c r="D10216" s="734">
        <v>134.68434872918152</v>
      </c>
      <c r="E10216" s="733"/>
    </row>
    <row r="10217" spans="2:5">
      <c r="B10217" s="121">
        <v>873</v>
      </c>
      <c r="C10217" s="121">
        <v>5</v>
      </c>
      <c r="D10217" s="734">
        <v>139.85749963990921</v>
      </c>
      <c r="E10217" s="733"/>
    </row>
    <row r="10218" spans="2:5">
      <c r="B10218" s="121">
        <v>873</v>
      </c>
      <c r="C10218" s="121">
        <v>6</v>
      </c>
      <c r="D10218" s="734">
        <v>134.89966321420954</v>
      </c>
      <c r="E10218" s="733"/>
    </row>
    <row r="10219" spans="2:5">
      <c r="B10219" s="121">
        <v>873</v>
      </c>
      <c r="C10219" s="121">
        <v>7</v>
      </c>
      <c r="D10219" s="734">
        <v>147.24395597046629</v>
      </c>
      <c r="E10219" s="733"/>
    </row>
    <row r="10220" spans="2:5">
      <c r="B10220" s="121">
        <v>873</v>
      </c>
      <c r="C10220" s="121">
        <v>8</v>
      </c>
      <c r="D10220" s="734">
        <v>141.51989186247317</v>
      </c>
      <c r="E10220" s="733"/>
    </row>
    <row r="10221" spans="2:5">
      <c r="B10221" s="121">
        <v>873</v>
      </c>
      <c r="C10221" s="121">
        <v>9</v>
      </c>
      <c r="D10221" s="734">
        <v>142.68617546379826</v>
      </c>
      <c r="E10221" s="733"/>
    </row>
    <row r="10222" spans="2:5">
      <c r="B10222" s="121">
        <v>873</v>
      </c>
      <c r="C10222" s="121">
        <v>10</v>
      </c>
      <c r="D10222" s="734">
        <v>145.57145303715598</v>
      </c>
      <c r="E10222" s="733"/>
    </row>
    <row r="10223" spans="2:5">
      <c r="B10223" s="121">
        <v>874</v>
      </c>
      <c r="C10223" s="121">
        <v>1</v>
      </c>
      <c r="D10223" s="734">
        <v>5</v>
      </c>
      <c r="E10223" s="733"/>
    </row>
    <row r="10224" spans="2:5">
      <c r="B10224" s="121">
        <v>874</v>
      </c>
      <c r="C10224" s="121">
        <v>2</v>
      </c>
      <c r="D10224" s="734">
        <v>101.79156354495032</v>
      </c>
      <c r="E10224" s="733"/>
    </row>
    <row r="10225" spans="2:5">
      <c r="B10225" s="121">
        <v>874</v>
      </c>
      <c r="C10225" s="121">
        <v>3</v>
      </c>
      <c r="D10225" s="734">
        <v>115.53652482230135</v>
      </c>
      <c r="E10225" s="733"/>
    </row>
    <row r="10226" spans="2:5">
      <c r="B10226" s="121">
        <v>874</v>
      </c>
      <c r="C10226" s="121">
        <v>4</v>
      </c>
      <c r="D10226" s="734">
        <v>144.30123082250654</v>
      </c>
      <c r="E10226" s="733"/>
    </row>
    <row r="10227" spans="2:5">
      <c r="B10227" s="121">
        <v>874</v>
      </c>
      <c r="C10227" s="121">
        <v>5</v>
      </c>
      <c r="D10227" s="734">
        <v>135.8628697665574</v>
      </c>
      <c r="E10227" s="733"/>
    </row>
    <row r="10228" spans="2:5">
      <c r="B10228" s="121">
        <v>874</v>
      </c>
      <c r="C10228" s="121">
        <v>6</v>
      </c>
      <c r="D10228" s="734">
        <v>139.52353975717654</v>
      </c>
      <c r="E10228" s="733"/>
    </row>
    <row r="10229" spans="2:5">
      <c r="B10229" s="121">
        <v>874</v>
      </c>
      <c r="C10229" s="121">
        <v>7</v>
      </c>
      <c r="D10229" s="734">
        <v>145.64571458834786</v>
      </c>
      <c r="E10229" s="733"/>
    </row>
    <row r="10230" spans="2:5">
      <c r="B10230" s="121">
        <v>874</v>
      </c>
      <c r="C10230" s="121">
        <v>8</v>
      </c>
      <c r="D10230" s="734">
        <v>140.0333023865881</v>
      </c>
      <c r="E10230" s="733"/>
    </row>
    <row r="10231" spans="2:5">
      <c r="B10231" s="121">
        <v>874</v>
      </c>
      <c r="C10231" s="121">
        <v>9</v>
      </c>
      <c r="D10231" s="734">
        <v>140.25858602646343</v>
      </c>
      <c r="E10231" s="733"/>
    </row>
    <row r="10232" spans="2:5">
      <c r="B10232" s="121">
        <v>874</v>
      </c>
      <c r="C10232" s="121">
        <v>10</v>
      </c>
      <c r="D10232" s="734">
        <v>143.05551090168578</v>
      </c>
      <c r="E10232" s="733"/>
    </row>
    <row r="10233" spans="2:5">
      <c r="B10233" s="121">
        <v>874</v>
      </c>
      <c r="C10233" s="121">
        <v>11</v>
      </c>
      <c r="D10233" s="734">
        <v>146.94578109266229</v>
      </c>
      <c r="E10233" s="733"/>
    </row>
    <row r="10234" spans="2:5">
      <c r="B10234" s="121">
        <v>874</v>
      </c>
      <c r="C10234" s="121">
        <v>12</v>
      </c>
      <c r="D10234" s="734">
        <v>146.67904748079357</v>
      </c>
      <c r="E10234" s="733"/>
    </row>
    <row r="10235" spans="2:5">
      <c r="B10235" s="121">
        <v>874</v>
      </c>
      <c r="C10235" s="121">
        <v>13</v>
      </c>
      <c r="D10235" s="734">
        <v>137.89651354435983</v>
      </c>
      <c r="E10235" s="733"/>
    </row>
    <row r="10236" spans="2:5">
      <c r="B10236" s="121">
        <v>874</v>
      </c>
      <c r="C10236" s="121">
        <v>14</v>
      </c>
      <c r="D10236" s="734">
        <v>134.42797012800642</v>
      </c>
      <c r="E10236" s="733"/>
    </row>
    <row r="10237" spans="2:5">
      <c r="B10237" s="121">
        <v>874</v>
      </c>
      <c r="C10237" s="121">
        <v>15</v>
      </c>
      <c r="D10237" s="734">
        <v>145.74283454788448</v>
      </c>
      <c r="E10237" s="733"/>
    </row>
    <row r="10238" spans="2:5">
      <c r="B10238" s="121">
        <v>874</v>
      </c>
      <c r="C10238" s="121">
        <v>16</v>
      </c>
      <c r="D10238" s="734">
        <v>143.90463528198751</v>
      </c>
      <c r="E10238" s="733"/>
    </row>
    <row r="10239" spans="2:5">
      <c r="B10239" s="121">
        <v>874</v>
      </c>
      <c r="C10239" s="121">
        <v>17</v>
      </c>
      <c r="D10239" s="734">
        <v>143.74868752573207</v>
      </c>
      <c r="E10239" s="733"/>
    </row>
    <row r="10240" spans="2:5">
      <c r="B10240" s="121">
        <v>874</v>
      </c>
      <c r="C10240" s="121">
        <v>18</v>
      </c>
      <c r="D10240" s="734">
        <v>138.55414858636328</v>
      </c>
      <c r="E10240" s="733"/>
    </row>
    <row r="10241" spans="2:5">
      <c r="B10241" s="121">
        <v>874</v>
      </c>
      <c r="C10241" s="121">
        <v>19</v>
      </c>
      <c r="D10241" s="734">
        <v>143.74272963577178</v>
      </c>
      <c r="E10241" s="733"/>
    </row>
    <row r="10242" spans="2:5">
      <c r="B10242" s="121">
        <v>874</v>
      </c>
      <c r="C10242" s="121">
        <v>20</v>
      </c>
      <c r="D10242" s="734">
        <v>139.74860766383657</v>
      </c>
      <c r="E10242" s="733"/>
    </row>
    <row r="10243" spans="2:5">
      <c r="B10243" s="121">
        <v>874</v>
      </c>
      <c r="C10243" s="121">
        <v>21</v>
      </c>
      <c r="D10243" s="734">
        <v>143.77269144634369</v>
      </c>
      <c r="E10243" s="733"/>
    </row>
    <row r="10244" spans="2:5">
      <c r="B10244" s="121">
        <v>874</v>
      </c>
      <c r="C10244" s="121">
        <v>22</v>
      </c>
      <c r="D10244" s="734">
        <v>135.61057936663963</v>
      </c>
      <c r="E10244" s="733"/>
    </row>
    <row r="10245" spans="2:5">
      <c r="B10245" s="121">
        <v>874</v>
      </c>
      <c r="C10245" s="121">
        <v>23</v>
      </c>
      <c r="D10245" s="734">
        <v>136.79097701846339</v>
      </c>
      <c r="E10245" s="733"/>
    </row>
    <row r="10246" spans="2:5">
      <c r="B10246" s="121">
        <v>874</v>
      </c>
      <c r="C10246" s="121">
        <v>24</v>
      </c>
      <c r="D10246" s="734">
        <v>134.63764051324955</v>
      </c>
      <c r="E10246" s="733"/>
    </row>
    <row r="10247" spans="2:5">
      <c r="B10247" s="121">
        <v>874</v>
      </c>
      <c r="C10247" s="121">
        <v>25</v>
      </c>
      <c r="D10247" s="734">
        <v>137.29500682922207</v>
      </c>
      <c r="E10247" s="733"/>
    </row>
    <row r="10248" spans="2:5">
      <c r="B10248" s="121">
        <v>874</v>
      </c>
      <c r="C10248" s="121">
        <v>26</v>
      </c>
      <c r="D10248" s="734">
        <v>133.66758729481231</v>
      </c>
      <c r="E10248" s="733"/>
    </row>
    <row r="10249" spans="2:5">
      <c r="B10249" s="121">
        <v>874</v>
      </c>
      <c r="C10249" s="121">
        <v>27</v>
      </c>
      <c r="D10249" s="734">
        <v>146.07448257749846</v>
      </c>
      <c r="E10249" s="733"/>
    </row>
    <row r="10250" spans="2:5">
      <c r="B10250" s="121">
        <v>874</v>
      </c>
      <c r="C10250" s="121">
        <v>28</v>
      </c>
      <c r="D10250" s="734">
        <v>138.33269649143492</v>
      </c>
      <c r="E10250" s="733"/>
    </row>
    <row r="10251" spans="2:5">
      <c r="B10251" s="121">
        <v>874</v>
      </c>
      <c r="C10251" s="121">
        <v>29</v>
      </c>
      <c r="D10251" s="734">
        <v>137.2068679102172</v>
      </c>
      <c r="E10251" s="733"/>
    </row>
    <row r="10252" spans="2:5">
      <c r="B10252" s="121">
        <v>874</v>
      </c>
      <c r="C10252" s="121">
        <v>30</v>
      </c>
      <c r="D10252" s="734">
        <v>145.33170376997242</v>
      </c>
      <c r="E10252" s="733"/>
    </row>
    <row r="10253" spans="2:5">
      <c r="B10253" s="121">
        <v>875</v>
      </c>
      <c r="C10253" s="121">
        <v>1</v>
      </c>
      <c r="D10253" s="734">
        <v>5</v>
      </c>
      <c r="E10253" s="733"/>
    </row>
    <row r="10254" spans="2:5">
      <c r="B10254" s="121">
        <v>875</v>
      </c>
      <c r="C10254" s="121">
        <v>2</v>
      </c>
      <c r="D10254" s="734">
        <v>94.938597718056315</v>
      </c>
      <c r="E10254" s="733"/>
    </row>
    <row r="10255" spans="2:5">
      <c r="B10255" s="121">
        <v>875</v>
      </c>
      <c r="C10255" s="121">
        <v>3</v>
      </c>
      <c r="D10255" s="734">
        <v>117.71430868881571</v>
      </c>
      <c r="E10255" s="733"/>
    </row>
    <row r="10256" spans="2:5">
      <c r="B10256" s="121">
        <v>875</v>
      </c>
      <c r="C10256" s="121">
        <v>4</v>
      </c>
      <c r="D10256" s="734">
        <v>144.66799178239395</v>
      </c>
      <c r="E10256" s="733"/>
    </row>
    <row r="10257" spans="2:5">
      <c r="B10257" s="121">
        <v>875</v>
      </c>
      <c r="C10257" s="121">
        <v>5</v>
      </c>
      <c r="D10257" s="734">
        <v>134.58512844080929</v>
      </c>
      <c r="E10257" s="733"/>
    </row>
    <row r="10258" spans="2:5">
      <c r="B10258" s="121">
        <v>875</v>
      </c>
      <c r="C10258" s="121">
        <v>6</v>
      </c>
      <c r="D10258" s="734">
        <v>138.29893746305044</v>
      </c>
      <c r="E10258" s="733"/>
    </row>
    <row r="10259" spans="2:5">
      <c r="B10259" s="121">
        <v>875</v>
      </c>
      <c r="C10259" s="121">
        <v>7</v>
      </c>
      <c r="D10259" s="734">
        <v>145.70071581166772</v>
      </c>
      <c r="E10259" s="733"/>
    </row>
    <row r="10260" spans="2:5">
      <c r="B10260" s="121">
        <v>875</v>
      </c>
      <c r="C10260" s="121">
        <v>8</v>
      </c>
      <c r="D10260" s="734">
        <v>138.27735306841387</v>
      </c>
      <c r="E10260" s="733"/>
    </row>
    <row r="10261" spans="2:5">
      <c r="B10261" s="121">
        <v>875</v>
      </c>
      <c r="C10261" s="121">
        <v>9</v>
      </c>
      <c r="D10261" s="734">
        <v>133.96615928385916</v>
      </c>
      <c r="E10261" s="733"/>
    </row>
    <row r="10262" spans="2:5">
      <c r="B10262" s="121">
        <v>875</v>
      </c>
      <c r="C10262" s="121">
        <v>10</v>
      </c>
      <c r="D10262" s="734">
        <v>139.32157348170773</v>
      </c>
      <c r="E10262" s="733"/>
    </row>
    <row r="10263" spans="2:5">
      <c r="B10263" s="121">
        <v>875</v>
      </c>
      <c r="C10263" s="121">
        <v>11</v>
      </c>
      <c r="D10263" s="734">
        <v>143.41142814007668</v>
      </c>
      <c r="E10263" s="733"/>
    </row>
    <row r="10264" spans="2:5">
      <c r="B10264" s="121">
        <v>875</v>
      </c>
      <c r="C10264" s="121">
        <v>12</v>
      </c>
      <c r="D10264" s="734">
        <v>142.98734013635533</v>
      </c>
      <c r="E10264" s="733"/>
    </row>
    <row r="10265" spans="2:5">
      <c r="B10265" s="121">
        <v>875</v>
      </c>
      <c r="C10265" s="121">
        <v>13</v>
      </c>
      <c r="D10265" s="734">
        <v>134.79295313162052</v>
      </c>
      <c r="E10265" s="733"/>
    </row>
    <row r="10266" spans="2:5">
      <c r="B10266" s="121">
        <v>875</v>
      </c>
      <c r="C10266" s="121">
        <v>14</v>
      </c>
      <c r="D10266" s="734">
        <v>135.64133132583763</v>
      </c>
      <c r="E10266" s="733"/>
    </row>
    <row r="10267" spans="2:5">
      <c r="B10267" s="121">
        <v>875</v>
      </c>
      <c r="C10267" s="121">
        <v>15</v>
      </c>
      <c r="D10267" s="734">
        <v>141.45423072497968</v>
      </c>
      <c r="E10267" s="733"/>
    </row>
    <row r="10268" spans="2:5">
      <c r="B10268" s="121">
        <v>875</v>
      </c>
      <c r="C10268" s="121">
        <v>16</v>
      </c>
      <c r="D10268" s="734">
        <v>144.79449256513152</v>
      </c>
      <c r="E10268" s="733"/>
    </row>
    <row r="10269" spans="2:5">
      <c r="B10269" s="121">
        <v>875</v>
      </c>
      <c r="C10269" s="121">
        <v>17</v>
      </c>
      <c r="D10269" s="734">
        <v>135.69813375587222</v>
      </c>
      <c r="E10269" s="733"/>
    </row>
    <row r="10270" spans="2:5">
      <c r="B10270" s="121">
        <v>875</v>
      </c>
      <c r="C10270" s="121">
        <v>18</v>
      </c>
      <c r="D10270" s="734">
        <v>142.85141809203</v>
      </c>
      <c r="E10270" s="733"/>
    </row>
    <row r="10271" spans="2:5">
      <c r="B10271" s="121">
        <v>875</v>
      </c>
      <c r="C10271" s="121">
        <v>19</v>
      </c>
      <c r="D10271" s="734">
        <v>138.40509382120493</v>
      </c>
      <c r="E10271" s="733"/>
    </row>
    <row r="10272" spans="2:5">
      <c r="B10272" s="121">
        <v>875</v>
      </c>
      <c r="C10272" s="121">
        <v>20</v>
      </c>
      <c r="D10272" s="734">
        <v>139.68417557651597</v>
      </c>
      <c r="E10272" s="733"/>
    </row>
    <row r="10273" spans="2:5">
      <c r="B10273" s="121">
        <v>875</v>
      </c>
      <c r="C10273" s="121">
        <v>21</v>
      </c>
      <c r="D10273" s="734">
        <v>143.28373003174895</v>
      </c>
      <c r="E10273" s="733"/>
    </row>
    <row r="10274" spans="2:5">
      <c r="B10274" s="121">
        <v>875</v>
      </c>
      <c r="C10274" s="121">
        <v>22</v>
      </c>
      <c r="D10274" s="734">
        <v>134.57233086467775</v>
      </c>
      <c r="E10274" s="733"/>
    </row>
    <row r="10275" spans="2:5">
      <c r="B10275" s="121">
        <v>875</v>
      </c>
      <c r="C10275" s="121">
        <v>23</v>
      </c>
      <c r="D10275" s="734">
        <v>142.45182392396086</v>
      </c>
      <c r="E10275" s="733"/>
    </row>
    <row r="10276" spans="2:5">
      <c r="B10276" s="121">
        <v>875</v>
      </c>
      <c r="C10276" s="121">
        <v>24</v>
      </c>
      <c r="D10276" s="734">
        <v>139.76419549641273</v>
      </c>
      <c r="E10276" s="733"/>
    </row>
    <row r="10277" spans="2:5">
      <c r="B10277" s="121">
        <v>875</v>
      </c>
      <c r="C10277" s="121">
        <v>25</v>
      </c>
      <c r="D10277" s="734">
        <v>140.33299041702551</v>
      </c>
      <c r="E10277" s="733"/>
    </row>
    <row r="10278" spans="2:5">
      <c r="B10278" s="121">
        <v>875</v>
      </c>
      <c r="C10278" s="121">
        <v>26</v>
      </c>
      <c r="D10278" s="734">
        <v>139.81473149435467</v>
      </c>
      <c r="E10278" s="733"/>
    </row>
    <row r="10279" spans="2:5">
      <c r="B10279" s="121">
        <v>875</v>
      </c>
      <c r="C10279" s="121">
        <v>27</v>
      </c>
      <c r="D10279" s="734">
        <v>143.21901120268487</v>
      </c>
      <c r="E10279" s="733"/>
    </row>
    <row r="10280" spans="2:5">
      <c r="B10280" s="121">
        <v>875</v>
      </c>
      <c r="C10280" s="121">
        <v>28</v>
      </c>
      <c r="D10280" s="734">
        <v>134.21368312110636</v>
      </c>
      <c r="E10280" s="733"/>
    </row>
    <row r="10281" spans="2:5">
      <c r="B10281" s="121">
        <v>875</v>
      </c>
      <c r="C10281" s="121">
        <v>29</v>
      </c>
      <c r="D10281" s="734">
        <v>140.59718369472984</v>
      </c>
      <c r="E10281" s="733"/>
    </row>
    <row r="10282" spans="2:5">
      <c r="B10282" s="121">
        <v>875</v>
      </c>
      <c r="C10282" s="121">
        <v>30</v>
      </c>
      <c r="D10282" s="734">
        <v>145.95157789708773</v>
      </c>
      <c r="E10282" s="733"/>
    </row>
    <row r="10283" spans="2:5">
      <c r="B10283" s="121">
        <v>875</v>
      </c>
      <c r="C10283" s="121">
        <v>31</v>
      </c>
      <c r="D10283" s="734">
        <v>139.22024879388417</v>
      </c>
      <c r="E10283" s="733"/>
    </row>
    <row r="10284" spans="2:5">
      <c r="B10284" s="121">
        <v>875</v>
      </c>
      <c r="C10284" s="121">
        <v>32</v>
      </c>
      <c r="D10284" s="734">
        <v>138.73011210150182</v>
      </c>
      <c r="E10284" s="733"/>
    </row>
    <row r="10285" spans="2:5">
      <c r="B10285" s="121">
        <v>875</v>
      </c>
      <c r="C10285" s="121">
        <v>33</v>
      </c>
      <c r="D10285" s="734">
        <v>135.94242201946858</v>
      </c>
      <c r="E10285" s="733"/>
    </row>
    <row r="10286" spans="2:5">
      <c r="B10286" s="121">
        <v>875</v>
      </c>
      <c r="C10286" s="121">
        <v>34</v>
      </c>
      <c r="D10286" s="734">
        <v>141.0234432079402</v>
      </c>
      <c r="E10286" s="733"/>
    </row>
    <row r="10287" spans="2:5">
      <c r="B10287" s="121">
        <v>875</v>
      </c>
      <c r="C10287" s="121">
        <v>35</v>
      </c>
      <c r="D10287" s="734">
        <v>134.17308078216362</v>
      </c>
      <c r="E10287" s="733"/>
    </row>
    <row r="10288" spans="2:5">
      <c r="B10288" s="121">
        <v>875</v>
      </c>
      <c r="C10288" s="121">
        <v>36</v>
      </c>
      <c r="D10288" s="734">
        <v>136.41842039036166</v>
      </c>
      <c r="E10288" s="733"/>
    </row>
    <row r="10289" spans="2:5">
      <c r="B10289" s="121">
        <v>876</v>
      </c>
      <c r="C10289" s="121">
        <v>1</v>
      </c>
      <c r="D10289" s="734">
        <v>5</v>
      </c>
      <c r="E10289" s="733"/>
    </row>
    <row r="10290" spans="2:5">
      <c r="B10290" s="121">
        <v>876</v>
      </c>
      <c r="C10290" s="121">
        <v>2</v>
      </c>
      <c r="D10290" s="734">
        <v>96.766185249134125</v>
      </c>
      <c r="E10290" s="733"/>
    </row>
    <row r="10291" spans="2:5">
      <c r="B10291" s="121">
        <v>876</v>
      </c>
      <c r="C10291" s="121">
        <v>3</v>
      </c>
      <c r="D10291" s="734">
        <v>123.42876757932672</v>
      </c>
      <c r="E10291" s="733"/>
    </row>
    <row r="10292" spans="2:5">
      <c r="B10292" s="121">
        <v>876</v>
      </c>
      <c r="C10292" s="121">
        <v>4</v>
      </c>
      <c r="D10292" s="734">
        <v>136.46198038887209</v>
      </c>
      <c r="E10292" s="733"/>
    </row>
    <row r="10293" spans="2:5">
      <c r="B10293" s="121">
        <v>876</v>
      </c>
      <c r="C10293" s="121">
        <v>5</v>
      </c>
      <c r="D10293" s="734">
        <v>142.78851895693913</v>
      </c>
      <c r="E10293" s="733"/>
    </row>
    <row r="10294" spans="2:5">
      <c r="B10294" s="121">
        <v>876</v>
      </c>
      <c r="C10294" s="121">
        <v>6</v>
      </c>
      <c r="D10294" s="734">
        <v>140.70514356659953</v>
      </c>
      <c r="E10294" s="733"/>
    </row>
    <row r="10295" spans="2:5">
      <c r="B10295" s="121">
        <v>876</v>
      </c>
      <c r="C10295" s="121">
        <v>7</v>
      </c>
      <c r="D10295" s="734">
        <v>136.68035274952268</v>
      </c>
      <c r="E10295" s="733"/>
    </row>
    <row r="10296" spans="2:5">
      <c r="B10296" s="121">
        <v>876</v>
      </c>
      <c r="C10296" s="121">
        <v>8</v>
      </c>
      <c r="D10296" s="734">
        <v>138.93404438744602</v>
      </c>
      <c r="E10296" s="733"/>
    </row>
    <row r="10297" spans="2:5">
      <c r="B10297" s="121">
        <v>876</v>
      </c>
      <c r="C10297" s="121">
        <v>9</v>
      </c>
      <c r="D10297" s="734">
        <v>142.44195409416648</v>
      </c>
      <c r="E10297" s="733"/>
    </row>
    <row r="10298" spans="2:5">
      <c r="B10298" s="121">
        <v>876</v>
      </c>
      <c r="C10298" s="121">
        <v>10</v>
      </c>
      <c r="D10298" s="734">
        <v>140.31267751262888</v>
      </c>
      <c r="E10298" s="733"/>
    </row>
    <row r="10299" spans="2:5">
      <c r="B10299" s="121">
        <v>876</v>
      </c>
      <c r="C10299" s="121">
        <v>11</v>
      </c>
      <c r="D10299" s="734">
        <v>139.43402090506214</v>
      </c>
      <c r="E10299" s="733"/>
    </row>
    <row r="10300" spans="2:5">
      <c r="B10300" s="121">
        <v>876</v>
      </c>
      <c r="C10300" s="121">
        <v>12</v>
      </c>
      <c r="D10300" s="734">
        <v>145.52727446437183</v>
      </c>
      <c r="E10300" s="733"/>
    </row>
    <row r="10301" spans="2:5">
      <c r="B10301" s="121">
        <v>876</v>
      </c>
      <c r="C10301" s="121">
        <v>13</v>
      </c>
      <c r="D10301" s="734">
        <v>138.29731530157656</v>
      </c>
      <c r="E10301" s="733"/>
    </row>
    <row r="10302" spans="2:5">
      <c r="B10302" s="121">
        <v>876</v>
      </c>
      <c r="C10302" s="121">
        <v>14</v>
      </c>
      <c r="D10302" s="734">
        <v>147.22421824187623</v>
      </c>
      <c r="E10302" s="733"/>
    </row>
    <row r="10303" spans="2:5">
      <c r="B10303" s="121">
        <v>876</v>
      </c>
      <c r="C10303" s="121">
        <v>15</v>
      </c>
      <c r="D10303" s="734">
        <v>138.76442818953046</v>
      </c>
      <c r="E10303" s="733"/>
    </row>
    <row r="10304" spans="2:5">
      <c r="B10304" s="121">
        <v>877</v>
      </c>
      <c r="C10304" s="121">
        <v>1</v>
      </c>
      <c r="D10304" s="734">
        <v>5</v>
      </c>
      <c r="E10304" s="733"/>
    </row>
    <row r="10305" spans="2:5">
      <c r="B10305" s="121">
        <v>877</v>
      </c>
      <c r="C10305" s="121">
        <v>2</v>
      </c>
      <c r="D10305" s="734">
        <v>95.091592677763288</v>
      </c>
      <c r="E10305" s="733"/>
    </row>
    <row r="10306" spans="2:5">
      <c r="B10306" s="121">
        <v>877</v>
      </c>
      <c r="C10306" s="121">
        <v>3</v>
      </c>
      <c r="D10306" s="734">
        <v>123.99473158128565</v>
      </c>
      <c r="E10306" s="733"/>
    </row>
    <row r="10307" spans="2:5">
      <c r="B10307" s="121">
        <v>877</v>
      </c>
      <c r="C10307" s="121">
        <v>4</v>
      </c>
      <c r="D10307" s="734">
        <v>134.36455240542193</v>
      </c>
      <c r="E10307" s="733"/>
    </row>
    <row r="10308" spans="2:5">
      <c r="B10308" s="121">
        <v>877</v>
      </c>
      <c r="C10308" s="121">
        <v>5</v>
      </c>
      <c r="D10308" s="734">
        <v>146.47044468104548</v>
      </c>
      <c r="E10308" s="733"/>
    </row>
    <row r="10309" spans="2:5">
      <c r="B10309" s="121">
        <v>878</v>
      </c>
      <c r="C10309" s="121">
        <v>1</v>
      </c>
      <c r="D10309" s="734">
        <v>5</v>
      </c>
      <c r="E10309" s="733"/>
    </row>
    <row r="10310" spans="2:5">
      <c r="B10310" s="121">
        <v>878</v>
      </c>
      <c r="C10310" s="121">
        <v>2</v>
      </c>
      <c r="D10310" s="734">
        <v>98.886602259007631</v>
      </c>
      <c r="E10310" s="733"/>
    </row>
    <row r="10311" spans="2:5">
      <c r="B10311" s="121">
        <v>878</v>
      </c>
      <c r="C10311" s="121">
        <v>3</v>
      </c>
      <c r="D10311" s="734">
        <v>121.67811476219066</v>
      </c>
      <c r="E10311" s="733"/>
    </row>
    <row r="10312" spans="2:5">
      <c r="B10312" s="121">
        <v>878</v>
      </c>
      <c r="C10312" s="121">
        <v>4</v>
      </c>
      <c r="D10312" s="734">
        <v>146.95783869354943</v>
      </c>
      <c r="E10312" s="733"/>
    </row>
    <row r="10313" spans="2:5">
      <c r="B10313" s="121">
        <v>878</v>
      </c>
      <c r="C10313" s="121">
        <v>5</v>
      </c>
      <c r="D10313" s="734">
        <v>133.69522692349668</v>
      </c>
      <c r="E10313" s="733"/>
    </row>
    <row r="10314" spans="2:5">
      <c r="B10314" s="121">
        <v>878</v>
      </c>
      <c r="C10314" s="121">
        <v>6</v>
      </c>
      <c r="D10314" s="734">
        <v>144.97915809350519</v>
      </c>
      <c r="E10314" s="733"/>
    </row>
    <row r="10315" spans="2:5">
      <c r="B10315" s="121">
        <v>878</v>
      </c>
      <c r="C10315" s="121">
        <v>7</v>
      </c>
      <c r="D10315" s="734">
        <v>142.29393891738343</v>
      </c>
      <c r="E10315" s="733"/>
    </row>
    <row r="10316" spans="2:5">
      <c r="B10316" s="121">
        <v>878</v>
      </c>
      <c r="C10316" s="121">
        <v>8</v>
      </c>
      <c r="D10316" s="734">
        <v>135.72641583383322</v>
      </c>
      <c r="E10316" s="733"/>
    </row>
    <row r="10317" spans="2:5">
      <c r="B10317" s="121">
        <v>878</v>
      </c>
      <c r="C10317" s="121">
        <v>9</v>
      </c>
      <c r="D10317" s="734">
        <v>135.43411855528115</v>
      </c>
      <c r="E10317" s="733"/>
    </row>
    <row r="10318" spans="2:5">
      <c r="B10318" s="121">
        <v>878</v>
      </c>
      <c r="C10318" s="121">
        <v>10</v>
      </c>
      <c r="D10318" s="734">
        <v>141.71611058994418</v>
      </c>
      <c r="E10318" s="733"/>
    </row>
    <row r="10319" spans="2:5">
      <c r="B10319" s="121">
        <v>878</v>
      </c>
      <c r="C10319" s="121">
        <v>11</v>
      </c>
      <c r="D10319" s="734">
        <v>133.96060097097069</v>
      </c>
      <c r="E10319" s="733"/>
    </row>
    <row r="10320" spans="2:5">
      <c r="B10320" s="121">
        <v>878</v>
      </c>
      <c r="C10320" s="121">
        <v>12</v>
      </c>
      <c r="D10320" s="734">
        <v>141.73222652234867</v>
      </c>
      <c r="E10320" s="733"/>
    </row>
    <row r="10321" spans="2:5">
      <c r="B10321" s="121">
        <v>878</v>
      </c>
      <c r="C10321" s="121">
        <v>13</v>
      </c>
      <c r="D10321" s="734">
        <v>143.08353077018771</v>
      </c>
      <c r="E10321" s="733"/>
    </row>
    <row r="10322" spans="2:5">
      <c r="B10322" s="121">
        <v>878</v>
      </c>
      <c r="C10322" s="121">
        <v>14</v>
      </c>
      <c r="D10322" s="734">
        <v>144.32018735513989</v>
      </c>
      <c r="E10322" s="733"/>
    </row>
    <row r="10323" spans="2:5">
      <c r="B10323" s="121">
        <v>878</v>
      </c>
      <c r="C10323" s="121">
        <v>15</v>
      </c>
      <c r="D10323" s="734">
        <v>146.2817826912175</v>
      </c>
      <c r="E10323" s="733"/>
    </row>
    <row r="10324" spans="2:5">
      <c r="B10324" s="121">
        <v>878</v>
      </c>
      <c r="C10324" s="121">
        <v>16</v>
      </c>
      <c r="D10324" s="734">
        <v>136.95886952729018</v>
      </c>
      <c r="E10324" s="733"/>
    </row>
    <row r="10325" spans="2:5">
      <c r="B10325" s="121">
        <v>878</v>
      </c>
      <c r="C10325" s="121">
        <v>17</v>
      </c>
      <c r="D10325" s="734">
        <v>141.74813816247863</v>
      </c>
      <c r="E10325" s="733"/>
    </row>
    <row r="10326" spans="2:5">
      <c r="B10326" s="121">
        <v>878</v>
      </c>
      <c r="C10326" s="121">
        <v>18</v>
      </c>
      <c r="D10326" s="734">
        <v>143.78938480232659</v>
      </c>
      <c r="E10326" s="733"/>
    </row>
    <row r="10327" spans="2:5">
      <c r="B10327" s="121">
        <v>878</v>
      </c>
      <c r="C10327" s="121">
        <v>19</v>
      </c>
      <c r="D10327" s="734">
        <v>144.03516548980397</v>
      </c>
      <c r="E10327" s="733"/>
    </row>
    <row r="10328" spans="2:5">
      <c r="B10328" s="121">
        <v>878</v>
      </c>
      <c r="C10328" s="121">
        <v>20</v>
      </c>
      <c r="D10328" s="734">
        <v>139.69385535916601</v>
      </c>
      <c r="E10328" s="733"/>
    </row>
    <row r="10329" spans="2:5">
      <c r="B10329" s="121">
        <v>878</v>
      </c>
      <c r="C10329" s="121">
        <v>21</v>
      </c>
      <c r="D10329" s="734">
        <v>141.73094465474185</v>
      </c>
      <c r="E10329" s="733"/>
    </row>
    <row r="10330" spans="2:5">
      <c r="B10330" s="121">
        <v>879</v>
      </c>
      <c r="C10330" s="121">
        <v>1</v>
      </c>
      <c r="D10330" s="734">
        <v>5</v>
      </c>
      <c r="E10330" s="733"/>
    </row>
    <row r="10331" spans="2:5">
      <c r="B10331" s="121">
        <v>879</v>
      </c>
      <c r="C10331" s="121">
        <v>2</v>
      </c>
      <c r="D10331" s="734">
        <v>98.131270642385658</v>
      </c>
      <c r="E10331" s="733"/>
    </row>
    <row r="10332" spans="2:5">
      <c r="B10332" s="121">
        <v>880</v>
      </c>
      <c r="C10332" s="121">
        <v>1</v>
      </c>
      <c r="D10332" s="734">
        <v>5</v>
      </c>
      <c r="E10332" s="733"/>
    </row>
    <row r="10333" spans="2:5">
      <c r="B10333" s="121">
        <v>880</v>
      </c>
      <c r="C10333" s="121">
        <v>2</v>
      </c>
      <c r="D10333" s="734">
        <v>95.086316323024306</v>
      </c>
      <c r="E10333" s="733"/>
    </row>
    <row r="10334" spans="2:5">
      <c r="B10334" s="121">
        <v>880</v>
      </c>
      <c r="C10334" s="121">
        <v>3</v>
      </c>
      <c r="D10334" s="734">
        <v>121.68254494272806</v>
      </c>
      <c r="E10334" s="733"/>
    </row>
    <row r="10335" spans="2:5">
      <c r="B10335" s="121">
        <v>880</v>
      </c>
      <c r="C10335" s="121">
        <v>4</v>
      </c>
      <c r="D10335" s="734">
        <v>138.05241619216568</v>
      </c>
      <c r="E10335" s="733"/>
    </row>
    <row r="10336" spans="2:5">
      <c r="B10336" s="121">
        <v>880</v>
      </c>
      <c r="C10336" s="121">
        <v>5</v>
      </c>
      <c r="D10336" s="734">
        <v>134.67705071790752</v>
      </c>
      <c r="E10336" s="733"/>
    </row>
    <row r="10337" spans="2:5">
      <c r="B10337" s="121">
        <v>880</v>
      </c>
      <c r="C10337" s="121">
        <v>6</v>
      </c>
      <c r="D10337" s="734">
        <v>146.26595500106546</v>
      </c>
      <c r="E10337" s="733"/>
    </row>
    <row r="10338" spans="2:5">
      <c r="B10338" s="121">
        <v>880</v>
      </c>
      <c r="C10338" s="121">
        <v>7</v>
      </c>
      <c r="D10338" s="734">
        <v>138.77446493697119</v>
      </c>
      <c r="E10338" s="733"/>
    </row>
    <row r="10339" spans="2:5">
      <c r="B10339" s="121">
        <v>880</v>
      </c>
      <c r="C10339" s="121">
        <v>8</v>
      </c>
      <c r="D10339" s="734">
        <v>135.48642401917391</v>
      </c>
      <c r="E10339" s="733"/>
    </row>
    <row r="10340" spans="2:5">
      <c r="B10340" s="121">
        <v>880</v>
      </c>
      <c r="C10340" s="121">
        <v>9</v>
      </c>
      <c r="D10340" s="734">
        <v>135.6452329681677</v>
      </c>
      <c r="E10340" s="733"/>
    </row>
    <row r="10341" spans="2:5">
      <c r="B10341" s="121">
        <v>880</v>
      </c>
      <c r="C10341" s="121">
        <v>10</v>
      </c>
      <c r="D10341" s="734">
        <v>140.22838753640184</v>
      </c>
      <c r="E10341" s="733"/>
    </row>
    <row r="10342" spans="2:5">
      <c r="B10342" s="121">
        <v>880</v>
      </c>
      <c r="C10342" s="121">
        <v>11</v>
      </c>
      <c r="D10342" s="734">
        <v>134.27294114066834</v>
      </c>
      <c r="E10342" s="733"/>
    </row>
    <row r="10343" spans="2:5">
      <c r="B10343" s="121">
        <v>880</v>
      </c>
      <c r="C10343" s="121">
        <v>12</v>
      </c>
      <c r="D10343" s="734">
        <v>144.70271335061625</v>
      </c>
      <c r="E10343" s="733"/>
    </row>
    <row r="10344" spans="2:5">
      <c r="B10344" s="121">
        <v>880</v>
      </c>
      <c r="C10344" s="121">
        <v>13</v>
      </c>
      <c r="D10344" s="734">
        <v>146.86411452075006</v>
      </c>
      <c r="E10344" s="733"/>
    </row>
    <row r="10345" spans="2:5">
      <c r="B10345" s="121">
        <v>880</v>
      </c>
      <c r="C10345" s="121">
        <v>14</v>
      </c>
      <c r="D10345" s="734">
        <v>140.99446858226031</v>
      </c>
      <c r="E10345" s="733"/>
    </row>
    <row r="10346" spans="2:5">
      <c r="B10346" s="121">
        <v>880</v>
      </c>
      <c r="C10346" s="121">
        <v>15</v>
      </c>
      <c r="D10346" s="734">
        <v>140.65997245231148</v>
      </c>
      <c r="E10346" s="733"/>
    </row>
    <row r="10347" spans="2:5">
      <c r="B10347" s="121">
        <v>880</v>
      </c>
      <c r="C10347" s="121">
        <v>16</v>
      </c>
      <c r="D10347" s="734">
        <v>133.70015479801671</v>
      </c>
      <c r="E10347" s="733"/>
    </row>
    <row r="10348" spans="2:5">
      <c r="B10348" s="121">
        <v>880</v>
      </c>
      <c r="C10348" s="121">
        <v>17</v>
      </c>
      <c r="D10348" s="734">
        <v>143.68451015258918</v>
      </c>
      <c r="E10348" s="733"/>
    </row>
    <row r="10349" spans="2:5">
      <c r="B10349" s="121">
        <v>880</v>
      </c>
      <c r="C10349" s="121">
        <v>18</v>
      </c>
      <c r="D10349" s="734">
        <v>146.31627794469759</v>
      </c>
      <c r="E10349" s="733"/>
    </row>
    <row r="10350" spans="2:5">
      <c r="B10350" s="121">
        <v>880</v>
      </c>
      <c r="C10350" s="121">
        <v>19</v>
      </c>
      <c r="D10350" s="734">
        <v>144.37044116350583</v>
      </c>
      <c r="E10350" s="733"/>
    </row>
    <row r="10351" spans="2:5">
      <c r="B10351" s="121">
        <v>880</v>
      </c>
      <c r="C10351" s="121">
        <v>20</v>
      </c>
      <c r="D10351" s="734">
        <v>141.95604522985855</v>
      </c>
      <c r="E10351" s="733"/>
    </row>
    <row r="10352" spans="2:5">
      <c r="B10352" s="121">
        <v>880</v>
      </c>
      <c r="C10352" s="121">
        <v>21</v>
      </c>
      <c r="D10352" s="734">
        <v>135.52637491048594</v>
      </c>
      <c r="E10352" s="733"/>
    </row>
    <row r="10353" spans="2:5">
      <c r="B10353" s="121">
        <v>880</v>
      </c>
      <c r="C10353" s="121">
        <v>22</v>
      </c>
      <c r="D10353" s="734">
        <v>139.41701881615509</v>
      </c>
      <c r="E10353" s="733"/>
    </row>
    <row r="10354" spans="2:5">
      <c r="B10354" s="121">
        <v>880</v>
      </c>
      <c r="C10354" s="121">
        <v>23</v>
      </c>
      <c r="D10354" s="734">
        <v>136.90411999909441</v>
      </c>
      <c r="E10354" s="733"/>
    </row>
    <row r="10355" spans="2:5">
      <c r="B10355" s="121">
        <v>880</v>
      </c>
      <c r="C10355" s="121">
        <v>24</v>
      </c>
      <c r="D10355" s="734">
        <v>137.06383452015976</v>
      </c>
      <c r="E10355" s="733"/>
    </row>
    <row r="10356" spans="2:5">
      <c r="B10356" s="121">
        <v>880</v>
      </c>
      <c r="C10356" s="121">
        <v>25</v>
      </c>
      <c r="D10356" s="734">
        <v>147.02977600585317</v>
      </c>
      <c r="E10356" s="733"/>
    </row>
    <row r="10357" spans="2:5">
      <c r="B10357" s="121">
        <v>880</v>
      </c>
      <c r="C10357" s="121">
        <v>26</v>
      </c>
      <c r="D10357" s="734">
        <v>146.07745416896523</v>
      </c>
      <c r="E10357" s="733"/>
    </row>
    <row r="10358" spans="2:5">
      <c r="B10358" s="121">
        <v>880</v>
      </c>
      <c r="C10358" s="121">
        <v>27</v>
      </c>
      <c r="D10358" s="734">
        <v>145.68109663345172</v>
      </c>
      <c r="E10358" s="733"/>
    </row>
    <row r="10359" spans="2:5">
      <c r="B10359" s="121">
        <v>880</v>
      </c>
      <c r="C10359" s="121">
        <v>28</v>
      </c>
      <c r="D10359" s="734">
        <v>136.63843753373968</v>
      </c>
      <c r="E10359" s="733"/>
    </row>
    <row r="10360" spans="2:5">
      <c r="B10360" s="121">
        <v>880</v>
      </c>
      <c r="C10360" s="121">
        <v>29</v>
      </c>
      <c r="D10360" s="734">
        <v>146.55111733659228</v>
      </c>
      <c r="E10360" s="733"/>
    </row>
    <row r="10361" spans="2:5">
      <c r="B10361" s="121">
        <v>880</v>
      </c>
      <c r="C10361" s="121">
        <v>30</v>
      </c>
      <c r="D10361" s="734">
        <v>141.76017965949944</v>
      </c>
      <c r="E10361" s="733"/>
    </row>
    <row r="10362" spans="2:5">
      <c r="B10362" s="121">
        <v>880</v>
      </c>
      <c r="C10362" s="121">
        <v>31</v>
      </c>
      <c r="D10362" s="734">
        <v>134.82537907832688</v>
      </c>
      <c r="E10362" s="733"/>
    </row>
    <row r="10363" spans="2:5">
      <c r="B10363" s="121">
        <v>880</v>
      </c>
      <c r="C10363" s="121">
        <v>32</v>
      </c>
      <c r="D10363" s="734">
        <v>137.44132834813578</v>
      </c>
      <c r="E10363" s="733"/>
    </row>
    <row r="10364" spans="2:5">
      <c r="B10364" s="121">
        <v>880</v>
      </c>
      <c r="C10364" s="121">
        <v>33</v>
      </c>
      <c r="D10364" s="734">
        <v>136.48532059701233</v>
      </c>
      <c r="E10364" s="733"/>
    </row>
    <row r="10365" spans="2:5">
      <c r="B10365" s="121">
        <v>881</v>
      </c>
      <c r="C10365" s="121">
        <v>1</v>
      </c>
      <c r="D10365" s="734">
        <v>5</v>
      </c>
      <c r="E10365" s="733"/>
    </row>
    <row r="10366" spans="2:5">
      <c r="B10366" s="121">
        <v>881</v>
      </c>
      <c r="C10366" s="121">
        <v>2</v>
      </c>
      <c r="D10366" s="734">
        <v>94.572480355271949</v>
      </c>
      <c r="E10366" s="733"/>
    </row>
    <row r="10367" spans="2:5">
      <c r="B10367" s="121">
        <v>881</v>
      </c>
      <c r="C10367" s="121">
        <v>3</v>
      </c>
      <c r="D10367" s="734">
        <v>121.70279598128606</v>
      </c>
      <c r="E10367" s="733"/>
    </row>
    <row r="10368" spans="2:5">
      <c r="B10368" s="121">
        <v>881</v>
      </c>
      <c r="C10368" s="121">
        <v>4</v>
      </c>
      <c r="D10368" s="734">
        <v>143.99131719351541</v>
      </c>
      <c r="E10368" s="733"/>
    </row>
    <row r="10369" spans="2:5">
      <c r="B10369" s="121">
        <v>881</v>
      </c>
      <c r="C10369" s="121">
        <v>5</v>
      </c>
      <c r="D10369" s="734">
        <v>145.80798745548677</v>
      </c>
      <c r="E10369" s="733"/>
    </row>
    <row r="10370" spans="2:5">
      <c r="B10370" s="121">
        <v>881</v>
      </c>
      <c r="C10370" s="121">
        <v>6</v>
      </c>
      <c r="D10370" s="734">
        <v>134.29746191181451</v>
      </c>
      <c r="E10370" s="733"/>
    </row>
    <row r="10371" spans="2:5">
      <c r="B10371" s="121">
        <v>881</v>
      </c>
      <c r="C10371" s="121">
        <v>7</v>
      </c>
      <c r="D10371" s="734">
        <v>141.4420488197695</v>
      </c>
      <c r="E10371" s="733"/>
    </row>
    <row r="10372" spans="2:5">
      <c r="B10372" s="121">
        <v>881</v>
      </c>
      <c r="C10372" s="121">
        <v>8</v>
      </c>
      <c r="D10372" s="734">
        <v>140.22279082321631</v>
      </c>
      <c r="E10372" s="733"/>
    </row>
    <row r="10373" spans="2:5">
      <c r="B10373" s="121">
        <v>881</v>
      </c>
      <c r="C10373" s="121">
        <v>9</v>
      </c>
      <c r="D10373" s="734">
        <v>141.60590233635119</v>
      </c>
      <c r="E10373" s="733"/>
    </row>
    <row r="10374" spans="2:5">
      <c r="B10374" s="121">
        <v>881</v>
      </c>
      <c r="C10374" s="121">
        <v>10</v>
      </c>
      <c r="D10374" s="734">
        <v>138.55862829140818</v>
      </c>
      <c r="E10374" s="733"/>
    </row>
    <row r="10375" spans="2:5">
      <c r="B10375" s="121">
        <v>881</v>
      </c>
      <c r="C10375" s="121">
        <v>11</v>
      </c>
      <c r="D10375" s="734">
        <v>139.21594939184806</v>
      </c>
      <c r="E10375" s="733"/>
    </row>
    <row r="10376" spans="2:5">
      <c r="B10376" s="121">
        <v>881</v>
      </c>
      <c r="C10376" s="121">
        <v>12</v>
      </c>
      <c r="D10376" s="734">
        <v>138.53610501898547</v>
      </c>
      <c r="E10376" s="733"/>
    </row>
    <row r="10377" spans="2:5">
      <c r="B10377" s="121">
        <v>881</v>
      </c>
      <c r="C10377" s="121">
        <v>13</v>
      </c>
      <c r="D10377" s="734">
        <v>144.76506803221781</v>
      </c>
      <c r="E10377" s="733"/>
    </row>
    <row r="10378" spans="2:5">
      <c r="B10378" s="121">
        <v>881</v>
      </c>
      <c r="C10378" s="121">
        <v>14</v>
      </c>
      <c r="D10378" s="734">
        <v>146.79742879529951</v>
      </c>
      <c r="E10378" s="733"/>
    </row>
    <row r="10379" spans="2:5">
      <c r="B10379" s="121">
        <v>881</v>
      </c>
      <c r="C10379" s="121">
        <v>15</v>
      </c>
      <c r="D10379" s="734">
        <v>144.40763914590937</v>
      </c>
      <c r="E10379" s="733"/>
    </row>
    <row r="10380" spans="2:5">
      <c r="B10380" s="121">
        <v>881</v>
      </c>
      <c r="C10380" s="121">
        <v>16</v>
      </c>
      <c r="D10380" s="734">
        <v>138.71159105970767</v>
      </c>
      <c r="E10380" s="733"/>
    </row>
    <row r="10381" spans="2:5">
      <c r="B10381" s="121">
        <v>882</v>
      </c>
      <c r="C10381" s="121">
        <v>1</v>
      </c>
      <c r="D10381" s="734">
        <v>5</v>
      </c>
      <c r="E10381" s="733"/>
    </row>
    <row r="10382" spans="2:5">
      <c r="B10382" s="121">
        <v>883</v>
      </c>
      <c r="C10382" s="121">
        <v>1</v>
      </c>
      <c r="D10382" s="734">
        <v>5</v>
      </c>
      <c r="E10382" s="733"/>
    </row>
    <row r="10383" spans="2:5">
      <c r="B10383" s="121">
        <v>883</v>
      </c>
      <c r="C10383" s="121">
        <v>2</v>
      </c>
      <c r="D10383" s="734">
        <v>96.97283758598131</v>
      </c>
      <c r="E10383" s="733"/>
    </row>
    <row r="10384" spans="2:5">
      <c r="B10384" s="121">
        <v>883</v>
      </c>
      <c r="C10384" s="121">
        <v>3</v>
      </c>
      <c r="D10384" s="734">
        <v>123.51989231506819</v>
      </c>
      <c r="E10384" s="733"/>
    </row>
    <row r="10385" spans="2:5">
      <c r="B10385" s="121">
        <v>883</v>
      </c>
      <c r="C10385" s="121">
        <v>4</v>
      </c>
      <c r="D10385" s="734">
        <v>140.95736716799252</v>
      </c>
      <c r="E10385" s="733"/>
    </row>
    <row r="10386" spans="2:5">
      <c r="B10386" s="121">
        <v>883</v>
      </c>
      <c r="C10386" s="121">
        <v>5</v>
      </c>
      <c r="D10386" s="734">
        <v>144.45388086614619</v>
      </c>
      <c r="E10386" s="733"/>
    </row>
    <row r="10387" spans="2:5">
      <c r="B10387" s="121">
        <v>883</v>
      </c>
      <c r="C10387" s="121">
        <v>6</v>
      </c>
      <c r="D10387" s="734">
        <v>136.06684637786361</v>
      </c>
      <c r="E10387" s="733"/>
    </row>
    <row r="10388" spans="2:5">
      <c r="B10388" s="121">
        <v>883</v>
      </c>
      <c r="C10388" s="121">
        <v>7</v>
      </c>
      <c r="D10388" s="734">
        <v>142.6416313978558</v>
      </c>
      <c r="E10388" s="733"/>
    </row>
    <row r="10389" spans="2:5">
      <c r="B10389" s="121">
        <v>883</v>
      </c>
      <c r="C10389" s="121">
        <v>8</v>
      </c>
      <c r="D10389" s="734">
        <v>134.4948516177306</v>
      </c>
      <c r="E10389" s="733"/>
    </row>
    <row r="10390" spans="2:5">
      <c r="B10390" s="121">
        <v>883</v>
      </c>
      <c r="C10390" s="121">
        <v>9</v>
      </c>
      <c r="D10390" s="734">
        <v>145.3972014173288</v>
      </c>
      <c r="E10390" s="733"/>
    </row>
    <row r="10391" spans="2:5">
      <c r="B10391" s="121">
        <v>883</v>
      </c>
      <c r="C10391" s="121">
        <v>10</v>
      </c>
      <c r="D10391" s="734">
        <v>139.34122346427091</v>
      </c>
      <c r="E10391" s="733"/>
    </row>
    <row r="10392" spans="2:5">
      <c r="B10392" s="121">
        <v>883</v>
      </c>
      <c r="C10392" s="121">
        <v>11</v>
      </c>
      <c r="D10392" s="734">
        <v>143.6920367906591</v>
      </c>
      <c r="E10392" s="733"/>
    </row>
    <row r="10393" spans="2:5">
      <c r="B10393" s="121">
        <v>883</v>
      </c>
      <c r="C10393" s="121">
        <v>12</v>
      </c>
      <c r="D10393" s="734">
        <v>136.24599885442592</v>
      </c>
      <c r="E10393" s="733"/>
    </row>
    <row r="10394" spans="2:5">
      <c r="B10394" s="121">
        <v>884</v>
      </c>
      <c r="C10394" s="121">
        <v>1</v>
      </c>
      <c r="D10394" s="734">
        <v>5</v>
      </c>
      <c r="E10394" s="733"/>
    </row>
    <row r="10395" spans="2:5">
      <c r="B10395" s="121">
        <v>885</v>
      </c>
      <c r="C10395" s="121">
        <v>1</v>
      </c>
      <c r="D10395" s="734">
        <v>5</v>
      </c>
      <c r="E10395" s="733"/>
    </row>
    <row r="10396" spans="2:5">
      <c r="B10396" s="121">
        <v>886</v>
      </c>
      <c r="C10396" s="121">
        <v>1</v>
      </c>
      <c r="D10396" s="734">
        <v>5</v>
      </c>
      <c r="E10396" s="733"/>
    </row>
    <row r="10397" spans="2:5">
      <c r="B10397" s="121">
        <v>886</v>
      </c>
      <c r="C10397" s="121">
        <v>2</v>
      </c>
      <c r="D10397" s="734">
        <v>102.63897883416119</v>
      </c>
      <c r="E10397" s="733"/>
    </row>
    <row r="10398" spans="2:5">
      <c r="B10398" s="121">
        <v>886</v>
      </c>
      <c r="C10398" s="121">
        <v>3</v>
      </c>
      <c r="D10398" s="734">
        <v>118.63661707322736</v>
      </c>
      <c r="E10398" s="733"/>
    </row>
    <row r="10399" spans="2:5">
      <c r="B10399" s="121">
        <v>886</v>
      </c>
      <c r="C10399" s="121">
        <v>4</v>
      </c>
      <c r="D10399" s="734">
        <v>135.37326406839713</v>
      </c>
      <c r="E10399" s="733"/>
    </row>
    <row r="10400" spans="2:5">
      <c r="B10400" s="121">
        <v>886</v>
      </c>
      <c r="C10400" s="121">
        <v>5</v>
      </c>
      <c r="D10400" s="734">
        <v>145.92835535973327</v>
      </c>
      <c r="E10400" s="733"/>
    </row>
    <row r="10401" spans="2:5">
      <c r="B10401" s="121">
        <v>886</v>
      </c>
      <c r="C10401" s="121">
        <v>6</v>
      </c>
      <c r="D10401" s="734">
        <v>135.40755962840589</v>
      </c>
      <c r="E10401" s="733"/>
    </row>
    <row r="10402" spans="2:5">
      <c r="B10402" s="121">
        <v>886</v>
      </c>
      <c r="C10402" s="121">
        <v>7</v>
      </c>
      <c r="D10402" s="734">
        <v>146.79639633851659</v>
      </c>
      <c r="E10402" s="733"/>
    </row>
    <row r="10403" spans="2:5">
      <c r="B10403" s="121">
        <v>886</v>
      </c>
      <c r="C10403" s="121">
        <v>8</v>
      </c>
      <c r="D10403" s="734">
        <v>134.93572159883971</v>
      </c>
      <c r="E10403" s="733"/>
    </row>
    <row r="10404" spans="2:5">
      <c r="B10404" s="121">
        <v>886</v>
      </c>
      <c r="C10404" s="121">
        <v>9</v>
      </c>
      <c r="D10404" s="734">
        <v>140.70159522418217</v>
      </c>
      <c r="E10404" s="733"/>
    </row>
    <row r="10405" spans="2:5">
      <c r="B10405" s="121">
        <v>887</v>
      </c>
      <c r="C10405" s="121">
        <v>1</v>
      </c>
      <c r="D10405" s="734">
        <v>5</v>
      </c>
      <c r="E10405" s="733"/>
    </row>
    <row r="10406" spans="2:5">
      <c r="B10406" s="121">
        <v>887</v>
      </c>
      <c r="C10406" s="121">
        <v>2</v>
      </c>
      <c r="D10406" s="734">
        <v>100.98442380253547</v>
      </c>
      <c r="E10406" s="733"/>
    </row>
    <row r="10407" spans="2:5">
      <c r="B10407" s="121">
        <v>887</v>
      </c>
      <c r="C10407" s="121">
        <v>3</v>
      </c>
      <c r="D10407" s="734">
        <v>116.02795476947155</v>
      </c>
      <c r="E10407" s="733"/>
    </row>
    <row r="10408" spans="2:5">
      <c r="B10408" s="121">
        <v>887</v>
      </c>
      <c r="C10408" s="121">
        <v>4</v>
      </c>
      <c r="D10408" s="734">
        <v>134.19130252868308</v>
      </c>
      <c r="E10408" s="733"/>
    </row>
    <row r="10409" spans="2:5">
      <c r="B10409" s="121">
        <v>887</v>
      </c>
      <c r="C10409" s="121">
        <v>5</v>
      </c>
      <c r="D10409" s="734">
        <v>136.68845852394992</v>
      </c>
      <c r="E10409" s="733"/>
    </row>
    <row r="10410" spans="2:5">
      <c r="B10410" s="121">
        <v>887</v>
      </c>
      <c r="C10410" s="121">
        <v>6</v>
      </c>
      <c r="D10410" s="734">
        <v>140.68200706993673</v>
      </c>
      <c r="E10410" s="733"/>
    </row>
    <row r="10411" spans="2:5">
      <c r="B10411" s="121">
        <v>887</v>
      </c>
      <c r="C10411" s="121">
        <v>7</v>
      </c>
      <c r="D10411" s="734">
        <v>135.89910748756981</v>
      </c>
      <c r="E10411" s="733"/>
    </row>
    <row r="10412" spans="2:5">
      <c r="B10412" s="121">
        <v>887</v>
      </c>
      <c r="C10412" s="121">
        <v>8</v>
      </c>
      <c r="D10412" s="734">
        <v>146.24788640579737</v>
      </c>
      <c r="E10412" s="733"/>
    </row>
    <row r="10413" spans="2:5">
      <c r="B10413" s="121">
        <v>887</v>
      </c>
      <c r="C10413" s="121">
        <v>9</v>
      </c>
      <c r="D10413" s="734">
        <v>134.61952978789745</v>
      </c>
      <c r="E10413" s="733"/>
    </row>
    <row r="10414" spans="2:5">
      <c r="B10414" s="121">
        <v>887</v>
      </c>
      <c r="C10414" s="121">
        <v>10</v>
      </c>
      <c r="D10414" s="734">
        <v>135.73592351879722</v>
      </c>
      <c r="E10414" s="733"/>
    </row>
    <row r="10415" spans="2:5">
      <c r="B10415" s="121">
        <v>888</v>
      </c>
      <c r="C10415" s="121">
        <v>1</v>
      </c>
      <c r="D10415" s="734">
        <v>5</v>
      </c>
      <c r="E10415" s="733"/>
    </row>
    <row r="10416" spans="2:5">
      <c r="B10416" s="121">
        <v>888</v>
      </c>
      <c r="C10416" s="121">
        <v>2</v>
      </c>
      <c r="D10416" s="734">
        <v>95.762006827843834</v>
      </c>
      <c r="E10416" s="733"/>
    </row>
    <row r="10417" spans="2:5">
      <c r="B10417" s="121">
        <v>889</v>
      </c>
      <c r="C10417" s="121">
        <v>1</v>
      </c>
      <c r="D10417" s="734">
        <v>5</v>
      </c>
      <c r="E10417" s="733"/>
    </row>
    <row r="10418" spans="2:5">
      <c r="B10418" s="121">
        <v>889</v>
      </c>
      <c r="C10418" s="121">
        <v>2</v>
      </c>
      <c r="D10418" s="734">
        <v>94.918149792673915</v>
      </c>
      <c r="E10418" s="733"/>
    </row>
    <row r="10419" spans="2:5">
      <c r="B10419" s="121">
        <v>889</v>
      </c>
      <c r="C10419" s="121">
        <v>3</v>
      </c>
      <c r="D10419" s="734">
        <v>116.99347652163212</v>
      </c>
      <c r="E10419" s="733"/>
    </row>
    <row r="10420" spans="2:5">
      <c r="B10420" s="121">
        <v>889</v>
      </c>
      <c r="C10420" s="121">
        <v>4</v>
      </c>
      <c r="D10420" s="734">
        <v>141.23786500895099</v>
      </c>
      <c r="E10420" s="733"/>
    </row>
    <row r="10421" spans="2:5">
      <c r="B10421" s="121">
        <v>889</v>
      </c>
      <c r="C10421" s="121">
        <v>5</v>
      </c>
      <c r="D10421" s="734">
        <v>134.710102245131</v>
      </c>
      <c r="E10421" s="733"/>
    </row>
    <row r="10422" spans="2:5">
      <c r="B10422" s="121">
        <v>889</v>
      </c>
      <c r="C10422" s="121">
        <v>6</v>
      </c>
      <c r="D10422" s="734">
        <v>140.04554027929507</v>
      </c>
      <c r="E10422" s="733"/>
    </row>
    <row r="10423" spans="2:5">
      <c r="B10423" s="121">
        <v>889</v>
      </c>
      <c r="C10423" s="121">
        <v>7</v>
      </c>
      <c r="D10423" s="734">
        <v>134.52394752429049</v>
      </c>
      <c r="E10423" s="733"/>
    </row>
    <row r="10424" spans="2:5">
      <c r="B10424" s="121">
        <v>889</v>
      </c>
      <c r="C10424" s="121">
        <v>8</v>
      </c>
      <c r="D10424" s="734">
        <v>142.04499220010737</v>
      </c>
      <c r="E10424" s="733"/>
    </row>
    <row r="10425" spans="2:5">
      <c r="B10425" s="121">
        <v>889</v>
      </c>
      <c r="C10425" s="121">
        <v>9</v>
      </c>
      <c r="D10425" s="734">
        <v>139.77789040452544</v>
      </c>
      <c r="E10425" s="733"/>
    </row>
    <row r="10426" spans="2:5">
      <c r="B10426" s="121">
        <v>889</v>
      </c>
      <c r="C10426" s="121">
        <v>10</v>
      </c>
      <c r="D10426" s="734">
        <v>140.28007824940445</v>
      </c>
      <c r="E10426" s="733"/>
    </row>
    <row r="10427" spans="2:5">
      <c r="B10427" s="121">
        <v>889</v>
      </c>
      <c r="C10427" s="121">
        <v>11</v>
      </c>
      <c r="D10427" s="734">
        <v>144.67658161659924</v>
      </c>
      <c r="E10427" s="733"/>
    </row>
    <row r="10428" spans="2:5">
      <c r="B10428" s="121">
        <v>889</v>
      </c>
      <c r="C10428" s="121">
        <v>12</v>
      </c>
      <c r="D10428" s="734">
        <v>137.75983456353913</v>
      </c>
      <c r="E10428" s="733"/>
    </row>
    <row r="10429" spans="2:5">
      <c r="B10429" s="121">
        <v>889</v>
      </c>
      <c r="C10429" s="121">
        <v>13</v>
      </c>
      <c r="D10429" s="734">
        <v>138.6318899810841</v>
      </c>
      <c r="E10429" s="733"/>
    </row>
    <row r="10430" spans="2:5">
      <c r="B10430" s="121">
        <v>889</v>
      </c>
      <c r="C10430" s="121">
        <v>14</v>
      </c>
      <c r="D10430" s="734">
        <v>139.62227912334896</v>
      </c>
      <c r="E10430" s="733"/>
    </row>
    <row r="10431" spans="2:5">
      <c r="B10431" s="121">
        <v>889</v>
      </c>
      <c r="C10431" s="121">
        <v>15</v>
      </c>
      <c r="D10431" s="734">
        <v>142.56229815679529</v>
      </c>
      <c r="E10431" s="733"/>
    </row>
    <row r="10432" spans="2:5">
      <c r="B10432" s="121">
        <v>889</v>
      </c>
      <c r="C10432" s="121">
        <v>16</v>
      </c>
      <c r="D10432" s="734">
        <v>139.87604239453111</v>
      </c>
      <c r="E10432" s="733"/>
    </row>
    <row r="10433" spans="2:5">
      <c r="B10433" s="121">
        <v>889</v>
      </c>
      <c r="C10433" s="121">
        <v>17</v>
      </c>
      <c r="D10433" s="734">
        <v>139.31187298710765</v>
      </c>
      <c r="E10433" s="733"/>
    </row>
    <row r="10434" spans="2:5">
      <c r="B10434" s="121">
        <v>889</v>
      </c>
      <c r="C10434" s="121">
        <v>18</v>
      </c>
      <c r="D10434" s="734">
        <v>144.59781534898585</v>
      </c>
      <c r="E10434" s="733"/>
    </row>
    <row r="10435" spans="2:5">
      <c r="B10435" s="121">
        <v>889</v>
      </c>
      <c r="C10435" s="121">
        <v>19</v>
      </c>
      <c r="D10435" s="734">
        <v>146.7444458161583</v>
      </c>
      <c r="E10435" s="733"/>
    </row>
    <row r="10436" spans="2:5">
      <c r="B10436" s="121">
        <v>889</v>
      </c>
      <c r="C10436" s="121">
        <v>20</v>
      </c>
      <c r="D10436" s="734">
        <v>134.66599749208362</v>
      </c>
      <c r="E10436" s="733"/>
    </row>
    <row r="10437" spans="2:5">
      <c r="B10437" s="121">
        <v>889</v>
      </c>
      <c r="C10437" s="121">
        <v>21</v>
      </c>
      <c r="D10437" s="734">
        <v>145.41249545156862</v>
      </c>
      <c r="E10437" s="733"/>
    </row>
    <row r="10438" spans="2:5">
      <c r="B10438" s="121">
        <v>889</v>
      </c>
      <c r="C10438" s="121">
        <v>22</v>
      </c>
      <c r="D10438" s="734">
        <v>146.72119241000479</v>
      </c>
      <c r="E10438" s="733"/>
    </row>
    <row r="10439" spans="2:5">
      <c r="B10439" s="121">
        <v>889</v>
      </c>
      <c r="C10439" s="121">
        <v>23</v>
      </c>
      <c r="D10439" s="734">
        <v>142.45037681213736</v>
      </c>
      <c r="E10439" s="733"/>
    </row>
    <row r="10440" spans="2:5">
      <c r="B10440" s="121">
        <v>889</v>
      </c>
      <c r="C10440" s="121">
        <v>24</v>
      </c>
      <c r="D10440" s="734">
        <v>144.33942198263458</v>
      </c>
      <c r="E10440" s="733"/>
    </row>
    <row r="10441" spans="2:5">
      <c r="B10441" s="121">
        <v>890</v>
      </c>
      <c r="C10441" s="121">
        <v>1</v>
      </c>
      <c r="D10441" s="734">
        <v>5</v>
      </c>
      <c r="E10441" s="733"/>
    </row>
    <row r="10442" spans="2:5">
      <c r="B10442" s="121">
        <v>890</v>
      </c>
      <c r="C10442" s="121">
        <v>2</v>
      </c>
      <c r="D10442" s="734">
        <v>99.02266136859798</v>
      </c>
      <c r="E10442" s="733"/>
    </row>
    <row r="10443" spans="2:5">
      <c r="B10443" s="121">
        <v>890</v>
      </c>
      <c r="C10443" s="121">
        <v>3</v>
      </c>
      <c r="D10443" s="734">
        <v>123.86127520927792</v>
      </c>
      <c r="E10443" s="733"/>
    </row>
    <row r="10444" spans="2:5">
      <c r="B10444" s="121">
        <v>890</v>
      </c>
      <c r="C10444" s="121">
        <v>4</v>
      </c>
      <c r="D10444" s="734">
        <v>142.35456660993725</v>
      </c>
      <c r="E10444" s="733"/>
    </row>
    <row r="10445" spans="2:5">
      <c r="B10445" s="121">
        <v>890</v>
      </c>
      <c r="C10445" s="121">
        <v>5</v>
      </c>
      <c r="D10445" s="734">
        <v>142.01300658658053</v>
      </c>
      <c r="E10445" s="733"/>
    </row>
    <row r="10446" spans="2:5">
      <c r="B10446" s="121">
        <v>890</v>
      </c>
      <c r="C10446" s="121">
        <v>6</v>
      </c>
      <c r="D10446" s="734">
        <v>140.02327001323809</v>
      </c>
      <c r="E10446" s="733"/>
    </row>
    <row r="10447" spans="2:5">
      <c r="B10447" s="121">
        <v>890</v>
      </c>
      <c r="C10447" s="121">
        <v>7</v>
      </c>
      <c r="D10447" s="734">
        <v>142.59187297276821</v>
      </c>
      <c r="E10447" s="733"/>
    </row>
    <row r="10448" spans="2:5">
      <c r="B10448" s="121">
        <v>890</v>
      </c>
      <c r="C10448" s="121">
        <v>8</v>
      </c>
      <c r="D10448" s="734">
        <v>135.6524444276175</v>
      </c>
      <c r="E10448" s="733"/>
    </row>
    <row r="10449" spans="2:5">
      <c r="B10449" s="121">
        <v>890</v>
      </c>
      <c r="C10449" s="121">
        <v>9</v>
      </c>
      <c r="D10449" s="734">
        <v>142.99633801318572</v>
      </c>
      <c r="E10449" s="733"/>
    </row>
    <row r="10450" spans="2:5">
      <c r="B10450" s="121">
        <v>890</v>
      </c>
      <c r="C10450" s="121">
        <v>10</v>
      </c>
      <c r="D10450" s="734">
        <v>142.74777175282583</v>
      </c>
      <c r="E10450" s="733"/>
    </row>
    <row r="10451" spans="2:5">
      <c r="B10451" s="121">
        <v>890</v>
      </c>
      <c r="C10451" s="121">
        <v>11</v>
      </c>
      <c r="D10451" s="734">
        <v>141.80079474079122</v>
      </c>
      <c r="E10451" s="733"/>
    </row>
    <row r="10452" spans="2:5">
      <c r="B10452" s="121">
        <v>890</v>
      </c>
      <c r="C10452" s="121">
        <v>12</v>
      </c>
      <c r="D10452" s="734">
        <v>134.68196919840852</v>
      </c>
      <c r="E10452" s="733"/>
    </row>
    <row r="10453" spans="2:5">
      <c r="B10453" s="121">
        <v>890</v>
      </c>
      <c r="C10453" s="121">
        <v>13</v>
      </c>
      <c r="D10453" s="734">
        <v>140.39511214312617</v>
      </c>
      <c r="E10453" s="733"/>
    </row>
    <row r="10454" spans="2:5">
      <c r="B10454" s="121">
        <v>890</v>
      </c>
      <c r="C10454" s="121">
        <v>14</v>
      </c>
      <c r="D10454" s="734">
        <v>142.25934357281645</v>
      </c>
      <c r="E10454" s="733"/>
    </row>
    <row r="10455" spans="2:5">
      <c r="B10455" s="121">
        <v>890</v>
      </c>
      <c r="C10455" s="121">
        <v>15</v>
      </c>
      <c r="D10455" s="734">
        <v>141.79208588890955</v>
      </c>
      <c r="E10455" s="733"/>
    </row>
    <row r="10456" spans="2:5">
      <c r="B10456" s="121">
        <v>890</v>
      </c>
      <c r="C10456" s="121">
        <v>16</v>
      </c>
      <c r="D10456" s="734">
        <v>136.82905753558106</v>
      </c>
      <c r="E10456" s="733"/>
    </row>
    <row r="10457" spans="2:5">
      <c r="B10457" s="121">
        <v>890</v>
      </c>
      <c r="C10457" s="121">
        <v>17</v>
      </c>
      <c r="D10457" s="734">
        <v>145.5232206162334</v>
      </c>
      <c r="E10457" s="733"/>
    </row>
    <row r="10458" spans="2:5">
      <c r="B10458" s="121">
        <v>890</v>
      </c>
      <c r="C10458" s="121">
        <v>18</v>
      </c>
      <c r="D10458" s="734">
        <v>139.746860552561</v>
      </c>
      <c r="E10458" s="733"/>
    </row>
    <row r="10459" spans="2:5">
      <c r="B10459" s="121">
        <v>890</v>
      </c>
      <c r="C10459" s="121">
        <v>19</v>
      </c>
      <c r="D10459" s="734">
        <v>144.22240470899914</v>
      </c>
      <c r="E10459" s="733"/>
    </row>
    <row r="10460" spans="2:5">
      <c r="B10460" s="121">
        <v>890</v>
      </c>
      <c r="C10460" s="121">
        <v>20</v>
      </c>
      <c r="D10460" s="734">
        <v>135.02308317514817</v>
      </c>
      <c r="E10460" s="733"/>
    </row>
    <row r="10461" spans="2:5">
      <c r="B10461" s="121">
        <v>890</v>
      </c>
      <c r="C10461" s="121">
        <v>21</v>
      </c>
      <c r="D10461" s="734">
        <v>139.21422934301012</v>
      </c>
      <c r="E10461" s="733"/>
    </row>
    <row r="10462" spans="2:5">
      <c r="B10462" s="121">
        <v>890</v>
      </c>
      <c r="C10462" s="121">
        <v>22</v>
      </c>
      <c r="D10462" s="734">
        <v>145.95329647265834</v>
      </c>
      <c r="E10462" s="733"/>
    </row>
    <row r="10463" spans="2:5">
      <c r="B10463" s="121">
        <v>890</v>
      </c>
      <c r="C10463" s="121">
        <v>23</v>
      </c>
      <c r="D10463" s="734">
        <v>144.54339839065585</v>
      </c>
      <c r="E10463" s="733"/>
    </row>
    <row r="10464" spans="2:5">
      <c r="B10464" s="121">
        <v>890</v>
      </c>
      <c r="C10464" s="121">
        <v>24</v>
      </c>
      <c r="D10464" s="734">
        <v>144.41288996689255</v>
      </c>
      <c r="E10464" s="733"/>
    </row>
    <row r="10465" spans="2:5">
      <c r="B10465" s="121">
        <v>890</v>
      </c>
      <c r="C10465" s="121">
        <v>25</v>
      </c>
      <c r="D10465" s="734">
        <v>134.67231423393162</v>
      </c>
      <c r="E10465" s="733"/>
    </row>
    <row r="10466" spans="2:5">
      <c r="B10466" s="121">
        <v>890</v>
      </c>
      <c r="C10466" s="121">
        <v>26</v>
      </c>
      <c r="D10466" s="734">
        <v>139.70134301533875</v>
      </c>
      <c r="E10466" s="733"/>
    </row>
    <row r="10467" spans="2:5">
      <c r="B10467" s="121">
        <v>890</v>
      </c>
      <c r="C10467" s="121">
        <v>27</v>
      </c>
      <c r="D10467" s="734">
        <v>144.29020717006563</v>
      </c>
      <c r="E10467" s="733"/>
    </row>
    <row r="10468" spans="2:5">
      <c r="B10468" s="121">
        <v>890</v>
      </c>
      <c r="C10468" s="121">
        <v>28</v>
      </c>
      <c r="D10468" s="734">
        <v>134.9773834626854</v>
      </c>
      <c r="E10468" s="733"/>
    </row>
    <row r="10469" spans="2:5">
      <c r="B10469" s="121">
        <v>890</v>
      </c>
      <c r="C10469" s="121">
        <v>29</v>
      </c>
      <c r="D10469" s="734">
        <v>135.20712946766585</v>
      </c>
      <c r="E10469" s="733"/>
    </row>
    <row r="10470" spans="2:5">
      <c r="B10470" s="121">
        <v>890</v>
      </c>
      <c r="C10470" s="121">
        <v>30</v>
      </c>
      <c r="D10470" s="734">
        <v>146.762979909552</v>
      </c>
      <c r="E10470" s="733"/>
    </row>
    <row r="10471" spans="2:5">
      <c r="B10471" s="121">
        <v>890</v>
      </c>
      <c r="C10471" s="121">
        <v>31</v>
      </c>
      <c r="D10471" s="734">
        <v>143.77742516049119</v>
      </c>
      <c r="E10471" s="733"/>
    </row>
    <row r="10472" spans="2:5">
      <c r="B10472" s="121">
        <v>891</v>
      </c>
      <c r="C10472" s="121">
        <v>1</v>
      </c>
      <c r="D10472" s="734">
        <v>5</v>
      </c>
      <c r="E10472" s="733"/>
    </row>
    <row r="10473" spans="2:5">
      <c r="B10473" s="121">
        <v>891</v>
      </c>
      <c r="C10473" s="121">
        <v>2</v>
      </c>
      <c r="D10473" s="734">
        <v>98.254774445351629</v>
      </c>
      <c r="E10473" s="733"/>
    </row>
    <row r="10474" spans="2:5">
      <c r="B10474" s="121">
        <v>891</v>
      </c>
      <c r="C10474" s="121">
        <v>3</v>
      </c>
      <c r="D10474" s="734">
        <v>122.65963635434014</v>
      </c>
      <c r="E10474" s="733"/>
    </row>
    <row r="10475" spans="2:5">
      <c r="B10475" s="121">
        <v>891</v>
      </c>
      <c r="C10475" s="121">
        <v>4</v>
      </c>
      <c r="D10475" s="734">
        <v>143.80540904609782</v>
      </c>
      <c r="E10475" s="733"/>
    </row>
    <row r="10476" spans="2:5">
      <c r="B10476" s="121">
        <v>891</v>
      </c>
      <c r="C10476" s="121">
        <v>5</v>
      </c>
      <c r="D10476" s="734">
        <v>139.02780237739549</v>
      </c>
      <c r="E10476" s="733"/>
    </row>
    <row r="10477" spans="2:5">
      <c r="B10477" s="121">
        <v>891</v>
      </c>
      <c r="C10477" s="121">
        <v>6</v>
      </c>
      <c r="D10477" s="734">
        <v>141.60402536705229</v>
      </c>
      <c r="E10477" s="733"/>
    </row>
    <row r="10478" spans="2:5">
      <c r="B10478" s="121">
        <v>891</v>
      </c>
      <c r="C10478" s="121">
        <v>7</v>
      </c>
      <c r="D10478" s="734">
        <v>142.79249327380208</v>
      </c>
      <c r="E10478" s="733"/>
    </row>
    <row r="10479" spans="2:5">
      <c r="B10479" s="121">
        <v>891</v>
      </c>
      <c r="C10479" s="121">
        <v>8</v>
      </c>
      <c r="D10479" s="734">
        <v>143.27992231944384</v>
      </c>
      <c r="E10479" s="733"/>
    </row>
    <row r="10480" spans="2:5">
      <c r="B10480" s="121">
        <v>891</v>
      </c>
      <c r="C10480" s="121">
        <v>9</v>
      </c>
      <c r="D10480" s="734">
        <v>136.90488353689761</v>
      </c>
      <c r="E10480" s="733"/>
    </row>
    <row r="10481" spans="2:5">
      <c r="B10481" s="121">
        <v>891</v>
      </c>
      <c r="C10481" s="121">
        <v>10</v>
      </c>
      <c r="D10481" s="734">
        <v>138.95909597657376</v>
      </c>
      <c r="E10481" s="733"/>
    </row>
    <row r="10482" spans="2:5">
      <c r="B10482" s="121">
        <v>891</v>
      </c>
      <c r="C10482" s="121">
        <v>11</v>
      </c>
      <c r="D10482" s="734">
        <v>144.65309041233868</v>
      </c>
      <c r="E10482" s="733"/>
    </row>
    <row r="10483" spans="2:5">
      <c r="B10483" s="121">
        <v>891</v>
      </c>
      <c r="C10483" s="121">
        <v>12</v>
      </c>
      <c r="D10483" s="734">
        <v>144.75147600439587</v>
      </c>
      <c r="E10483" s="733"/>
    </row>
    <row r="10484" spans="2:5">
      <c r="B10484" s="121">
        <v>891</v>
      </c>
      <c r="C10484" s="121">
        <v>13</v>
      </c>
      <c r="D10484" s="734">
        <v>140.03406436451007</v>
      </c>
      <c r="E10484" s="733"/>
    </row>
    <row r="10485" spans="2:5">
      <c r="B10485" s="121">
        <v>891</v>
      </c>
      <c r="C10485" s="121">
        <v>14</v>
      </c>
      <c r="D10485" s="734">
        <v>138.90033368690129</v>
      </c>
      <c r="E10485" s="733"/>
    </row>
    <row r="10486" spans="2:5">
      <c r="B10486" s="121">
        <v>891</v>
      </c>
      <c r="C10486" s="121">
        <v>15</v>
      </c>
      <c r="D10486" s="734">
        <v>146.71534653525711</v>
      </c>
      <c r="E10486" s="733"/>
    </row>
    <row r="10487" spans="2:5">
      <c r="B10487" s="121">
        <v>891</v>
      </c>
      <c r="C10487" s="121">
        <v>16</v>
      </c>
      <c r="D10487" s="734">
        <v>140.61565959260804</v>
      </c>
      <c r="E10487" s="733"/>
    </row>
    <row r="10488" spans="2:5">
      <c r="B10488" s="121">
        <v>891</v>
      </c>
      <c r="C10488" s="121">
        <v>17</v>
      </c>
      <c r="D10488" s="734">
        <v>146.078647647585</v>
      </c>
      <c r="E10488" s="733"/>
    </row>
    <row r="10489" spans="2:5">
      <c r="B10489" s="121">
        <v>891</v>
      </c>
      <c r="C10489" s="121">
        <v>18</v>
      </c>
      <c r="D10489" s="734">
        <v>141.40204534940349</v>
      </c>
      <c r="E10489" s="733"/>
    </row>
    <row r="10490" spans="2:5">
      <c r="B10490" s="121">
        <v>891</v>
      </c>
      <c r="C10490" s="121">
        <v>19</v>
      </c>
      <c r="D10490" s="734">
        <v>145.09279574532408</v>
      </c>
      <c r="E10490" s="733"/>
    </row>
    <row r="10491" spans="2:5">
      <c r="B10491" s="121">
        <v>891</v>
      </c>
      <c r="C10491" s="121">
        <v>20</v>
      </c>
      <c r="D10491" s="734">
        <v>139.77875180648914</v>
      </c>
      <c r="E10491" s="733"/>
    </row>
    <row r="10492" spans="2:5">
      <c r="B10492" s="121">
        <v>892</v>
      </c>
      <c r="C10492" s="121">
        <v>1</v>
      </c>
      <c r="D10492" s="734">
        <v>5</v>
      </c>
      <c r="E10492" s="733"/>
    </row>
    <row r="10493" spans="2:5">
      <c r="B10493" s="121">
        <v>892</v>
      </c>
      <c r="C10493" s="121">
        <v>2</v>
      </c>
      <c r="D10493" s="734">
        <v>99.337327217460441</v>
      </c>
      <c r="E10493" s="733"/>
    </row>
    <row r="10494" spans="2:5">
      <c r="B10494" s="121">
        <v>892</v>
      </c>
      <c r="C10494" s="121">
        <v>3</v>
      </c>
      <c r="D10494" s="734">
        <v>117.69801984169936</v>
      </c>
      <c r="E10494" s="733"/>
    </row>
    <row r="10495" spans="2:5">
      <c r="B10495" s="121">
        <v>892</v>
      </c>
      <c r="C10495" s="121">
        <v>4</v>
      </c>
      <c r="D10495" s="734">
        <v>144.03406173601448</v>
      </c>
      <c r="E10495" s="733"/>
    </row>
    <row r="10496" spans="2:5">
      <c r="B10496" s="121">
        <v>892</v>
      </c>
      <c r="C10496" s="121">
        <v>5</v>
      </c>
      <c r="D10496" s="734">
        <v>141.62281913385323</v>
      </c>
      <c r="E10496" s="733"/>
    </row>
    <row r="10497" spans="2:5">
      <c r="B10497" s="121">
        <v>892</v>
      </c>
      <c r="C10497" s="121">
        <v>6</v>
      </c>
      <c r="D10497" s="734">
        <v>138.70577471831109</v>
      </c>
      <c r="E10497" s="733"/>
    </row>
    <row r="10498" spans="2:5">
      <c r="B10498" s="121">
        <v>892</v>
      </c>
      <c r="C10498" s="121">
        <v>7</v>
      </c>
      <c r="D10498" s="734">
        <v>143.74334854020367</v>
      </c>
      <c r="E10498" s="733"/>
    </row>
    <row r="10499" spans="2:5">
      <c r="B10499" s="121">
        <v>892</v>
      </c>
      <c r="C10499" s="121">
        <v>8</v>
      </c>
      <c r="D10499" s="734">
        <v>137.06164584072022</v>
      </c>
      <c r="E10499" s="733"/>
    </row>
    <row r="10500" spans="2:5">
      <c r="B10500" s="121">
        <v>892</v>
      </c>
      <c r="C10500" s="121">
        <v>9</v>
      </c>
      <c r="D10500" s="734">
        <v>143.30025275622481</v>
      </c>
      <c r="E10500" s="733"/>
    </row>
    <row r="10501" spans="2:5">
      <c r="B10501" s="121">
        <v>892</v>
      </c>
      <c r="C10501" s="121">
        <v>10</v>
      </c>
      <c r="D10501" s="734">
        <v>147.00794741668889</v>
      </c>
      <c r="E10501" s="733"/>
    </row>
    <row r="10502" spans="2:5">
      <c r="B10502" s="121">
        <v>893</v>
      </c>
      <c r="C10502" s="121">
        <v>1</v>
      </c>
      <c r="D10502" s="734">
        <v>5</v>
      </c>
      <c r="E10502" s="733"/>
    </row>
    <row r="10503" spans="2:5">
      <c r="B10503" s="121">
        <v>893</v>
      </c>
      <c r="C10503" s="121">
        <v>2</v>
      </c>
      <c r="D10503" s="734">
        <v>99.079399549500593</v>
      </c>
      <c r="E10503" s="733"/>
    </row>
    <row r="10504" spans="2:5">
      <c r="B10504" s="121">
        <v>893</v>
      </c>
      <c r="C10504" s="121">
        <v>3</v>
      </c>
      <c r="D10504" s="734">
        <v>115.54353320134075</v>
      </c>
      <c r="E10504" s="733"/>
    </row>
    <row r="10505" spans="2:5">
      <c r="B10505" s="121">
        <v>893</v>
      </c>
      <c r="C10505" s="121">
        <v>4</v>
      </c>
      <c r="D10505" s="734">
        <v>139.84637840194296</v>
      </c>
      <c r="E10505" s="733"/>
    </row>
    <row r="10506" spans="2:5">
      <c r="B10506" s="121">
        <v>893</v>
      </c>
      <c r="C10506" s="121">
        <v>5</v>
      </c>
      <c r="D10506" s="734">
        <v>144.49301215597964</v>
      </c>
      <c r="E10506" s="733"/>
    </row>
    <row r="10507" spans="2:5">
      <c r="B10507" s="121">
        <v>893</v>
      </c>
      <c r="C10507" s="121">
        <v>6</v>
      </c>
      <c r="D10507" s="734">
        <v>140.01571979196478</v>
      </c>
      <c r="E10507" s="733"/>
    </row>
    <row r="10508" spans="2:5">
      <c r="B10508" s="121">
        <v>893</v>
      </c>
      <c r="C10508" s="121">
        <v>7</v>
      </c>
      <c r="D10508" s="734">
        <v>137.69204455456918</v>
      </c>
      <c r="E10508" s="733"/>
    </row>
    <row r="10509" spans="2:5">
      <c r="B10509" s="121">
        <v>893</v>
      </c>
      <c r="C10509" s="121">
        <v>8</v>
      </c>
      <c r="D10509" s="734">
        <v>144.52670518688174</v>
      </c>
      <c r="E10509" s="733"/>
    </row>
    <row r="10510" spans="2:5">
      <c r="B10510" s="121">
        <v>893</v>
      </c>
      <c r="C10510" s="121">
        <v>9</v>
      </c>
      <c r="D10510" s="734">
        <v>147.09837140675947</v>
      </c>
      <c r="E10510" s="733"/>
    </row>
    <row r="10511" spans="2:5">
      <c r="B10511" s="121">
        <v>893</v>
      </c>
      <c r="C10511" s="121">
        <v>10</v>
      </c>
      <c r="D10511" s="734">
        <v>138.45044550219126</v>
      </c>
      <c r="E10511" s="733"/>
    </row>
    <row r="10512" spans="2:5">
      <c r="B10512" s="121">
        <v>893</v>
      </c>
      <c r="C10512" s="121">
        <v>11</v>
      </c>
      <c r="D10512" s="734">
        <v>134.91569041424862</v>
      </c>
      <c r="E10512" s="733"/>
    </row>
    <row r="10513" spans="2:5">
      <c r="B10513" s="121">
        <v>893</v>
      </c>
      <c r="C10513" s="121">
        <v>12</v>
      </c>
      <c r="D10513" s="734">
        <v>142.28109463308178</v>
      </c>
      <c r="E10513" s="733"/>
    </row>
    <row r="10514" spans="2:5">
      <c r="B10514" s="121">
        <v>893</v>
      </c>
      <c r="C10514" s="121">
        <v>13</v>
      </c>
      <c r="D10514" s="734">
        <v>142.4525345909762</v>
      </c>
      <c r="E10514" s="733"/>
    </row>
    <row r="10515" spans="2:5">
      <c r="B10515" s="121">
        <v>893</v>
      </c>
      <c r="C10515" s="121">
        <v>14</v>
      </c>
      <c r="D10515" s="734">
        <v>137.69374347907993</v>
      </c>
      <c r="E10515" s="733"/>
    </row>
    <row r="10516" spans="2:5">
      <c r="B10516" s="121">
        <v>894</v>
      </c>
      <c r="C10516" s="121">
        <v>1</v>
      </c>
      <c r="D10516" s="734">
        <v>5</v>
      </c>
      <c r="E10516" s="733"/>
    </row>
    <row r="10517" spans="2:5">
      <c r="B10517" s="121">
        <v>895</v>
      </c>
      <c r="C10517" s="121">
        <v>1</v>
      </c>
      <c r="D10517" s="734">
        <v>5</v>
      </c>
      <c r="E10517" s="733"/>
    </row>
    <row r="10518" spans="2:5">
      <c r="B10518" s="121">
        <v>896</v>
      </c>
      <c r="C10518" s="121">
        <v>1</v>
      </c>
      <c r="D10518" s="734">
        <v>5</v>
      </c>
      <c r="E10518" s="733"/>
    </row>
    <row r="10519" spans="2:5">
      <c r="B10519" s="121">
        <v>896</v>
      </c>
      <c r="C10519" s="121">
        <v>2</v>
      </c>
      <c r="D10519" s="734">
        <v>102.08853781139871</v>
      </c>
      <c r="E10519" s="733"/>
    </row>
    <row r="10520" spans="2:5">
      <c r="B10520" s="121">
        <v>896</v>
      </c>
      <c r="C10520" s="121">
        <v>3</v>
      </c>
      <c r="D10520" s="734">
        <v>123.02520996647422</v>
      </c>
      <c r="E10520" s="733"/>
    </row>
    <row r="10521" spans="2:5">
      <c r="B10521" s="121">
        <v>896</v>
      </c>
      <c r="C10521" s="121">
        <v>4</v>
      </c>
      <c r="D10521" s="734">
        <v>136.66278975477582</v>
      </c>
      <c r="E10521" s="733"/>
    </row>
    <row r="10522" spans="2:5">
      <c r="B10522" s="121">
        <v>896</v>
      </c>
      <c r="C10522" s="121">
        <v>5</v>
      </c>
      <c r="D10522" s="734">
        <v>137.02906693203329</v>
      </c>
      <c r="E10522" s="733"/>
    </row>
    <row r="10523" spans="2:5">
      <c r="B10523" s="121">
        <v>896</v>
      </c>
      <c r="C10523" s="121">
        <v>6</v>
      </c>
      <c r="D10523" s="734">
        <v>135.73322300134882</v>
      </c>
      <c r="E10523" s="733"/>
    </row>
    <row r="10524" spans="2:5">
      <c r="B10524" s="121">
        <v>896</v>
      </c>
      <c r="C10524" s="121">
        <v>7</v>
      </c>
      <c r="D10524" s="734">
        <v>142.98575483532252</v>
      </c>
      <c r="E10524" s="733"/>
    </row>
    <row r="10525" spans="2:5">
      <c r="B10525" s="121">
        <v>896</v>
      </c>
      <c r="C10525" s="121">
        <v>8</v>
      </c>
      <c r="D10525" s="734">
        <v>139.60201414701334</v>
      </c>
      <c r="E10525" s="733"/>
    </row>
    <row r="10526" spans="2:5">
      <c r="B10526" s="121">
        <v>896</v>
      </c>
      <c r="C10526" s="121">
        <v>9</v>
      </c>
      <c r="D10526" s="734">
        <v>144.96713430287977</v>
      </c>
      <c r="E10526" s="733"/>
    </row>
    <row r="10527" spans="2:5">
      <c r="B10527" s="121">
        <v>896</v>
      </c>
      <c r="C10527" s="121">
        <v>10</v>
      </c>
      <c r="D10527" s="734">
        <v>146.74027967997824</v>
      </c>
      <c r="E10527" s="733"/>
    </row>
    <row r="10528" spans="2:5">
      <c r="B10528" s="121">
        <v>896</v>
      </c>
      <c r="C10528" s="121">
        <v>11</v>
      </c>
      <c r="D10528" s="734">
        <v>138.60187703757617</v>
      </c>
      <c r="E10528" s="733"/>
    </row>
    <row r="10529" spans="2:5">
      <c r="B10529" s="121">
        <v>896</v>
      </c>
      <c r="C10529" s="121">
        <v>12</v>
      </c>
      <c r="D10529" s="734">
        <v>145.7866443290458</v>
      </c>
      <c r="E10529" s="733"/>
    </row>
    <row r="10530" spans="2:5">
      <c r="B10530" s="121">
        <v>896</v>
      </c>
      <c r="C10530" s="121">
        <v>13</v>
      </c>
      <c r="D10530" s="734">
        <v>136.9000260369657</v>
      </c>
      <c r="E10530" s="733"/>
    </row>
    <row r="10531" spans="2:5">
      <c r="B10531" s="121">
        <v>897</v>
      </c>
      <c r="C10531" s="121">
        <v>1</v>
      </c>
      <c r="D10531" s="734">
        <v>5</v>
      </c>
      <c r="E10531" s="733"/>
    </row>
    <row r="10532" spans="2:5">
      <c r="B10532" s="121">
        <v>898</v>
      </c>
      <c r="C10532" s="121">
        <v>1</v>
      </c>
      <c r="D10532" s="734">
        <v>5</v>
      </c>
      <c r="E10532" s="733"/>
    </row>
    <row r="10533" spans="2:5">
      <c r="B10533" s="121">
        <v>899</v>
      </c>
      <c r="C10533" s="121">
        <v>1</v>
      </c>
      <c r="D10533" s="734">
        <v>5</v>
      </c>
      <c r="E10533" s="733"/>
    </row>
    <row r="10534" spans="2:5">
      <c r="B10534" s="121">
        <v>900</v>
      </c>
      <c r="C10534" s="121">
        <v>1</v>
      </c>
      <c r="D10534" s="734">
        <v>5</v>
      </c>
      <c r="E10534" s="733"/>
    </row>
    <row r="10535" spans="2:5">
      <c r="B10535" s="121">
        <v>900</v>
      </c>
      <c r="C10535" s="121">
        <v>2</v>
      </c>
      <c r="D10535" s="734">
        <v>102.60399595653817</v>
      </c>
      <c r="E10535" s="733"/>
    </row>
    <row r="10536" spans="2:5">
      <c r="B10536" s="121">
        <v>900</v>
      </c>
      <c r="C10536" s="121">
        <v>3</v>
      </c>
      <c r="D10536" s="734">
        <v>121.10007106497164</v>
      </c>
      <c r="E10536" s="733"/>
    </row>
    <row r="10537" spans="2:5">
      <c r="B10537" s="121">
        <v>900</v>
      </c>
      <c r="C10537" s="121">
        <v>4</v>
      </c>
      <c r="D10537" s="734">
        <v>135.69058487784739</v>
      </c>
      <c r="E10537" s="733"/>
    </row>
    <row r="10538" spans="2:5">
      <c r="B10538" s="121">
        <v>900</v>
      </c>
      <c r="C10538" s="121">
        <v>5</v>
      </c>
      <c r="D10538" s="734">
        <v>146.8765569955745</v>
      </c>
      <c r="E10538" s="733"/>
    </row>
    <row r="10539" spans="2:5">
      <c r="B10539" s="121">
        <v>901</v>
      </c>
      <c r="C10539" s="121">
        <v>1</v>
      </c>
      <c r="D10539" s="734">
        <v>5</v>
      </c>
      <c r="E10539" s="733"/>
    </row>
    <row r="10540" spans="2:5">
      <c r="B10540" s="121">
        <v>902</v>
      </c>
      <c r="C10540" s="121">
        <v>1</v>
      </c>
      <c r="D10540" s="734">
        <v>5</v>
      </c>
      <c r="E10540" s="733"/>
    </row>
    <row r="10541" spans="2:5">
      <c r="B10541" s="121">
        <v>902</v>
      </c>
      <c r="C10541" s="121">
        <v>2</v>
      </c>
      <c r="D10541" s="734">
        <v>94.915394590741144</v>
      </c>
      <c r="E10541" s="733"/>
    </row>
    <row r="10542" spans="2:5">
      <c r="B10542" s="121">
        <v>902</v>
      </c>
      <c r="C10542" s="121">
        <v>3</v>
      </c>
      <c r="D10542" s="734">
        <v>117.02037729252444</v>
      </c>
      <c r="E10542" s="733"/>
    </row>
    <row r="10543" spans="2:5">
      <c r="B10543" s="121">
        <v>902</v>
      </c>
      <c r="C10543" s="121">
        <v>4</v>
      </c>
      <c r="D10543" s="734">
        <v>140.42812904753754</v>
      </c>
      <c r="E10543" s="733"/>
    </row>
    <row r="10544" spans="2:5">
      <c r="B10544" s="121">
        <v>902</v>
      </c>
      <c r="C10544" s="121">
        <v>5</v>
      </c>
      <c r="D10544" s="734">
        <v>144.43848405739595</v>
      </c>
      <c r="E10544" s="733"/>
    </row>
    <row r="10545" spans="2:5">
      <c r="B10545" s="121">
        <v>902</v>
      </c>
      <c r="C10545" s="121">
        <v>6</v>
      </c>
      <c r="D10545" s="734">
        <v>146.38323493582956</v>
      </c>
      <c r="E10545" s="733"/>
    </row>
    <row r="10546" spans="2:5">
      <c r="B10546" s="121">
        <v>902</v>
      </c>
      <c r="C10546" s="121">
        <v>7</v>
      </c>
      <c r="D10546" s="734">
        <v>141.05573248830197</v>
      </c>
      <c r="E10546" s="733"/>
    </row>
    <row r="10547" spans="2:5">
      <c r="B10547" s="121">
        <v>902</v>
      </c>
      <c r="C10547" s="121">
        <v>8</v>
      </c>
      <c r="D10547" s="734">
        <v>135.94376985374839</v>
      </c>
      <c r="E10547" s="733"/>
    </row>
    <row r="10548" spans="2:5">
      <c r="B10548" s="121">
        <v>902</v>
      </c>
      <c r="C10548" s="121">
        <v>9</v>
      </c>
      <c r="D10548" s="734">
        <v>134.49708108009057</v>
      </c>
      <c r="E10548" s="733"/>
    </row>
    <row r="10549" spans="2:5">
      <c r="B10549" s="121">
        <v>903</v>
      </c>
      <c r="C10549" s="121">
        <v>1</v>
      </c>
      <c r="D10549" s="734">
        <v>5</v>
      </c>
      <c r="E10549" s="733"/>
    </row>
    <row r="10550" spans="2:5">
      <c r="B10550" s="121">
        <v>904</v>
      </c>
      <c r="C10550" s="121">
        <v>1</v>
      </c>
      <c r="D10550" s="734">
        <v>5</v>
      </c>
      <c r="E10550" s="733"/>
    </row>
    <row r="10551" spans="2:5">
      <c r="B10551" s="121">
        <v>904</v>
      </c>
      <c r="C10551" s="121">
        <v>2</v>
      </c>
      <c r="D10551" s="734">
        <v>97.555424264816239</v>
      </c>
      <c r="E10551" s="733"/>
    </row>
    <row r="10552" spans="2:5">
      <c r="B10552" s="121">
        <v>904</v>
      </c>
      <c r="C10552" s="121">
        <v>3</v>
      </c>
      <c r="D10552" s="734">
        <v>114.48177892886261</v>
      </c>
      <c r="E10552" s="733"/>
    </row>
    <row r="10553" spans="2:5">
      <c r="B10553" s="121">
        <v>904</v>
      </c>
      <c r="C10553" s="121">
        <v>4</v>
      </c>
      <c r="D10553" s="734">
        <v>143.24471084224805</v>
      </c>
      <c r="E10553" s="733"/>
    </row>
    <row r="10554" spans="2:5">
      <c r="B10554" s="121">
        <v>904</v>
      </c>
      <c r="C10554" s="121">
        <v>5</v>
      </c>
      <c r="D10554" s="734">
        <v>145.71185811420239</v>
      </c>
      <c r="E10554" s="733"/>
    </row>
    <row r="10555" spans="2:5">
      <c r="B10555" s="121">
        <v>904</v>
      </c>
      <c r="C10555" s="121">
        <v>6</v>
      </c>
      <c r="D10555" s="734">
        <v>142.81941685397919</v>
      </c>
      <c r="E10555" s="733"/>
    </row>
    <row r="10556" spans="2:5">
      <c r="B10556" s="121">
        <v>904</v>
      </c>
      <c r="C10556" s="121">
        <v>7</v>
      </c>
      <c r="D10556" s="734">
        <v>140.78774451875773</v>
      </c>
      <c r="E10556" s="733"/>
    </row>
    <row r="10557" spans="2:5">
      <c r="B10557" s="121">
        <v>904</v>
      </c>
      <c r="C10557" s="121">
        <v>8</v>
      </c>
      <c r="D10557" s="734">
        <v>139.04915533807107</v>
      </c>
      <c r="E10557" s="733"/>
    </row>
    <row r="10558" spans="2:5">
      <c r="B10558" s="121">
        <v>904</v>
      </c>
      <c r="C10558" s="121">
        <v>9</v>
      </c>
      <c r="D10558" s="734">
        <v>142.0787149056884</v>
      </c>
      <c r="E10558" s="733"/>
    </row>
    <row r="10559" spans="2:5">
      <c r="B10559" s="121">
        <v>904</v>
      </c>
      <c r="C10559" s="121">
        <v>10</v>
      </c>
      <c r="D10559" s="734">
        <v>140.03547179390966</v>
      </c>
      <c r="E10559" s="733"/>
    </row>
    <row r="10560" spans="2:5">
      <c r="B10560" s="121">
        <v>904</v>
      </c>
      <c r="C10560" s="121">
        <v>11</v>
      </c>
      <c r="D10560" s="734">
        <v>145.78381210884368</v>
      </c>
      <c r="E10560" s="733"/>
    </row>
    <row r="10561" spans="2:5">
      <c r="B10561" s="121">
        <v>904</v>
      </c>
      <c r="C10561" s="121">
        <v>12</v>
      </c>
      <c r="D10561" s="734">
        <v>141.88332306334377</v>
      </c>
      <c r="E10561" s="733"/>
    </row>
    <row r="10562" spans="2:5">
      <c r="B10562" s="121">
        <v>904</v>
      </c>
      <c r="C10562" s="121">
        <v>13</v>
      </c>
      <c r="D10562" s="734">
        <v>143.80099246738473</v>
      </c>
      <c r="E10562" s="733"/>
    </row>
    <row r="10563" spans="2:5">
      <c r="B10563" s="121">
        <v>904</v>
      </c>
      <c r="C10563" s="121">
        <v>14</v>
      </c>
      <c r="D10563" s="734">
        <v>142.29877864183845</v>
      </c>
      <c r="E10563" s="733"/>
    </row>
    <row r="10564" spans="2:5">
      <c r="B10564" s="121">
        <v>904</v>
      </c>
      <c r="C10564" s="121">
        <v>15</v>
      </c>
      <c r="D10564" s="734">
        <v>146.69144649129015</v>
      </c>
      <c r="E10564" s="733"/>
    </row>
    <row r="10565" spans="2:5">
      <c r="B10565" s="121">
        <v>904</v>
      </c>
      <c r="C10565" s="121">
        <v>16</v>
      </c>
      <c r="D10565" s="734">
        <v>139.54457324073815</v>
      </c>
      <c r="E10565" s="733"/>
    </row>
    <row r="10566" spans="2:5">
      <c r="B10566" s="121">
        <v>904</v>
      </c>
      <c r="C10566" s="121">
        <v>17</v>
      </c>
      <c r="D10566" s="734">
        <v>146.52672686968859</v>
      </c>
      <c r="E10566" s="733"/>
    </row>
    <row r="10567" spans="2:5">
      <c r="B10567" s="121">
        <v>904</v>
      </c>
      <c r="C10567" s="121">
        <v>18</v>
      </c>
      <c r="D10567" s="734">
        <v>136.55388806962091</v>
      </c>
      <c r="E10567" s="733"/>
    </row>
    <row r="10568" spans="2:5">
      <c r="B10568" s="121">
        <v>904</v>
      </c>
      <c r="C10568" s="121">
        <v>19</v>
      </c>
      <c r="D10568" s="734">
        <v>134.47245083699258</v>
      </c>
      <c r="E10568" s="733"/>
    </row>
    <row r="10569" spans="2:5">
      <c r="B10569" s="121">
        <v>904</v>
      </c>
      <c r="C10569" s="121">
        <v>20</v>
      </c>
      <c r="D10569" s="734">
        <v>133.66547790455914</v>
      </c>
      <c r="E10569" s="733"/>
    </row>
    <row r="10570" spans="2:5">
      <c r="B10570" s="121">
        <v>904</v>
      </c>
      <c r="C10570" s="121">
        <v>21</v>
      </c>
      <c r="D10570" s="734">
        <v>144.61546506047563</v>
      </c>
      <c r="E10570" s="733"/>
    </row>
    <row r="10571" spans="2:5">
      <c r="B10571" s="121">
        <v>904</v>
      </c>
      <c r="C10571" s="121">
        <v>22</v>
      </c>
      <c r="D10571" s="734">
        <v>135.91618020889493</v>
      </c>
      <c r="E10571" s="733"/>
    </row>
    <row r="10572" spans="2:5">
      <c r="B10572" s="121">
        <v>904</v>
      </c>
      <c r="C10572" s="121">
        <v>23</v>
      </c>
      <c r="D10572" s="734">
        <v>134.47550797263179</v>
      </c>
      <c r="E10572" s="733"/>
    </row>
    <row r="10573" spans="2:5">
      <c r="B10573" s="121">
        <v>904</v>
      </c>
      <c r="C10573" s="121">
        <v>24</v>
      </c>
      <c r="D10573" s="734">
        <v>138.67119766216737</v>
      </c>
      <c r="E10573" s="733"/>
    </row>
    <row r="10574" spans="2:5">
      <c r="B10574" s="121">
        <v>904</v>
      </c>
      <c r="C10574" s="121">
        <v>25</v>
      </c>
      <c r="D10574" s="734">
        <v>142.67581371274898</v>
      </c>
      <c r="E10574" s="733"/>
    </row>
    <row r="10575" spans="2:5">
      <c r="B10575" s="121">
        <v>904</v>
      </c>
      <c r="C10575" s="121">
        <v>26</v>
      </c>
      <c r="D10575" s="734">
        <v>146.32223102270561</v>
      </c>
      <c r="E10575" s="733"/>
    </row>
    <row r="10576" spans="2:5">
      <c r="B10576" s="121">
        <v>904</v>
      </c>
      <c r="C10576" s="121">
        <v>27</v>
      </c>
      <c r="D10576" s="734">
        <v>138.37944639778746</v>
      </c>
      <c r="E10576" s="733"/>
    </row>
    <row r="10577" spans="2:5">
      <c r="B10577" s="121">
        <v>904</v>
      </c>
      <c r="C10577" s="121">
        <v>28</v>
      </c>
      <c r="D10577" s="734">
        <v>145.24321926293251</v>
      </c>
      <c r="E10577" s="733"/>
    </row>
    <row r="10578" spans="2:5">
      <c r="B10578" s="121">
        <v>904</v>
      </c>
      <c r="C10578" s="121">
        <v>29</v>
      </c>
      <c r="D10578" s="734">
        <v>145.09812065229039</v>
      </c>
      <c r="E10578" s="733"/>
    </row>
    <row r="10579" spans="2:5">
      <c r="B10579" s="121">
        <v>904</v>
      </c>
      <c r="C10579" s="121">
        <v>30</v>
      </c>
      <c r="D10579" s="734">
        <v>135.41983318451767</v>
      </c>
      <c r="E10579" s="733"/>
    </row>
    <row r="10580" spans="2:5">
      <c r="B10580" s="121">
        <v>904</v>
      </c>
      <c r="C10580" s="121">
        <v>31</v>
      </c>
      <c r="D10580" s="734">
        <v>136.58694257801562</v>
      </c>
      <c r="E10580" s="733"/>
    </row>
    <row r="10581" spans="2:5">
      <c r="B10581" s="121">
        <v>904</v>
      </c>
      <c r="C10581" s="121">
        <v>32</v>
      </c>
      <c r="D10581" s="734">
        <v>142.95156828869278</v>
      </c>
      <c r="E10581" s="733"/>
    </row>
    <row r="10582" spans="2:5">
      <c r="B10582" s="121">
        <v>904</v>
      </c>
      <c r="C10582" s="121">
        <v>33</v>
      </c>
      <c r="D10582" s="734">
        <v>141.80785240399894</v>
      </c>
      <c r="E10582" s="733"/>
    </row>
    <row r="10583" spans="2:5">
      <c r="B10583" s="121">
        <v>904</v>
      </c>
      <c r="C10583" s="121">
        <v>34</v>
      </c>
      <c r="D10583" s="734">
        <v>142.6795130489333</v>
      </c>
      <c r="E10583" s="733"/>
    </row>
    <row r="10584" spans="2:5">
      <c r="B10584" s="121">
        <v>904</v>
      </c>
      <c r="C10584" s="121">
        <v>35</v>
      </c>
      <c r="D10584" s="734">
        <v>133.94344361371279</v>
      </c>
      <c r="E10584" s="733"/>
    </row>
    <row r="10585" spans="2:5">
      <c r="B10585" s="121">
        <v>904</v>
      </c>
      <c r="C10585" s="121">
        <v>36</v>
      </c>
      <c r="D10585" s="734">
        <v>140.88565817431083</v>
      </c>
      <c r="E10585" s="733"/>
    </row>
    <row r="10586" spans="2:5">
      <c r="B10586" s="121">
        <v>905</v>
      </c>
      <c r="C10586" s="121">
        <v>1</v>
      </c>
      <c r="D10586" s="734">
        <v>5</v>
      </c>
      <c r="E10586" s="733"/>
    </row>
    <row r="10587" spans="2:5">
      <c r="B10587" s="121">
        <v>905</v>
      </c>
      <c r="C10587" s="121">
        <v>2</v>
      </c>
      <c r="D10587" s="734">
        <v>102.10321337565441</v>
      </c>
      <c r="E10587" s="733"/>
    </row>
    <row r="10588" spans="2:5">
      <c r="B10588" s="121">
        <v>905</v>
      </c>
      <c r="C10588" s="121">
        <v>3</v>
      </c>
      <c r="D10588" s="734">
        <v>123.11880347805804</v>
      </c>
      <c r="E10588" s="733"/>
    </row>
    <row r="10589" spans="2:5">
      <c r="B10589" s="121">
        <v>905</v>
      </c>
      <c r="C10589" s="121">
        <v>4</v>
      </c>
      <c r="D10589" s="734">
        <v>140.90420766286607</v>
      </c>
      <c r="E10589" s="733"/>
    </row>
    <row r="10590" spans="2:5">
      <c r="B10590" s="121">
        <v>905</v>
      </c>
      <c r="C10590" s="121">
        <v>5</v>
      </c>
      <c r="D10590" s="734">
        <v>139.45816305944456</v>
      </c>
      <c r="E10590" s="733"/>
    </row>
    <row r="10591" spans="2:5">
      <c r="B10591" s="121">
        <v>905</v>
      </c>
      <c r="C10591" s="121">
        <v>6</v>
      </c>
      <c r="D10591" s="734">
        <v>142.58186955071776</v>
      </c>
      <c r="E10591" s="733"/>
    </row>
    <row r="10592" spans="2:5">
      <c r="B10592" s="121">
        <v>905</v>
      </c>
      <c r="C10592" s="121">
        <v>7</v>
      </c>
      <c r="D10592" s="734">
        <v>144.7734371939531</v>
      </c>
      <c r="E10592" s="733"/>
    </row>
    <row r="10593" spans="2:5">
      <c r="B10593" s="121">
        <v>905</v>
      </c>
      <c r="C10593" s="121">
        <v>8</v>
      </c>
      <c r="D10593" s="734">
        <v>137.24348761722828</v>
      </c>
      <c r="E10593" s="733"/>
    </row>
    <row r="10594" spans="2:5">
      <c r="B10594" s="121">
        <v>905</v>
      </c>
      <c r="C10594" s="121">
        <v>9</v>
      </c>
      <c r="D10594" s="734">
        <v>143.79382944262471</v>
      </c>
      <c r="E10594" s="733"/>
    </row>
    <row r="10595" spans="2:5">
      <c r="B10595" s="121">
        <v>905</v>
      </c>
      <c r="C10595" s="121">
        <v>10</v>
      </c>
      <c r="D10595" s="734">
        <v>137.59601464653591</v>
      </c>
      <c r="E10595" s="733"/>
    </row>
    <row r="10596" spans="2:5">
      <c r="B10596" s="121">
        <v>905</v>
      </c>
      <c r="C10596" s="121">
        <v>11</v>
      </c>
      <c r="D10596" s="734">
        <v>143.056045565625</v>
      </c>
      <c r="E10596" s="733"/>
    </row>
    <row r="10597" spans="2:5">
      <c r="B10597" s="121">
        <v>905</v>
      </c>
      <c r="C10597" s="121">
        <v>12</v>
      </c>
      <c r="D10597" s="734">
        <v>141.7142132545446</v>
      </c>
      <c r="E10597" s="733"/>
    </row>
    <row r="10598" spans="2:5">
      <c r="B10598" s="121">
        <v>905</v>
      </c>
      <c r="C10598" s="121">
        <v>13</v>
      </c>
      <c r="D10598" s="734">
        <v>146.76719632315522</v>
      </c>
      <c r="E10598" s="733"/>
    </row>
    <row r="10599" spans="2:5">
      <c r="B10599" s="121">
        <v>905</v>
      </c>
      <c r="C10599" s="121">
        <v>14</v>
      </c>
      <c r="D10599" s="734">
        <v>139.75759481950345</v>
      </c>
      <c r="E10599" s="733"/>
    </row>
    <row r="10600" spans="2:5">
      <c r="B10600" s="121">
        <v>905</v>
      </c>
      <c r="C10600" s="121">
        <v>15</v>
      </c>
      <c r="D10600" s="734">
        <v>145.49348008962519</v>
      </c>
      <c r="E10600" s="733"/>
    </row>
    <row r="10601" spans="2:5">
      <c r="B10601" s="121">
        <v>905</v>
      </c>
      <c r="C10601" s="121">
        <v>16</v>
      </c>
      <c r="D10601" s="734">
        <v>140.71029412583732</v>
      </c>
      <c r="E10601" s="733"/>
    </row>
    <row r="10602" spans="2:5">
      <c r="B10602" s="121">
        <v>905</v>
      </c>
      <c r="C10602" s="121">
        <v>17</v>
      </c>
      <c r="D10602" s="734">
        <v>137.77608743801767</v>
      </c>
      <c r="E10602" s="733"/>
    </row>
    <row r="10603" spans="2:5">
      <c r="B10603" s="121">
        <v>906</v>
      </c>
      <c r="C10603" s="121">
        <v>1</v>
      </c>
      <c r="D10603" s="734">
        <v>5</v>
      </c>
      <c r="E10603" s="733"/>
    </row>
    <row r="10604" spans="2:5">
      <c r="B10604" s="121">
        <v>906</v>
      </c>
      <c r="C10604" s="121">
        <v>2</v>
      </c>
      <c r="D10604" s="734">
        <v>96.079118488646557</v>
      </c>
      <c r="E10604" s="733"/>
    </row>
    <row r="10605" spans="2:5">
      <c r="B10605" s="121">
        <v>906</v>
      </c>
      <c r="C10605" s="121">
        <v>3</v>
      </c>
      <c r="D10605" s="734">
        <v>114.76235385348788</v>
      </c>
      <c r="E10605" s="733"/>
    </row>
    <row r="10606" spans="2:5">
      <c r="B10606" s="121">
        <v>906</v>
      </c>
      <c r="C10606" s="121">
        <v>4</v>
      </c>
      <c r="D10606" s="734">
        <v>135.67793250821128</v>
      </c>
      <c r="E10606" s="733"/>
    </row>
    <row r="10607" spans="2:5">
      <c r="B10607" s="121">
        <v>906</v>
      </c>
      <c r="C10607" s="121">
        <v>5</v>
      </c>
      <c r="D10607" s="734">
        <v>135.41345834811716</v>
      </c>
      <c r="E10607" s="733"/>
    </row>
    <row r="10608" spans="2:5">
      <c r="B10608" s="121">
        <v>906</v>
      </c>
      <c r="C10608" s="121">
        <v>6</v>
      </c>
      <c r="D10608" s="734">
        <v>135.17343451003543</v>
      </c>
      <c r="E10608" s="733"/>
    </row>
    <row r="10609" spans="2:5">
      <c r="B10609" s="121">
        <v>906</v>
      </c>
      <c r="C10609" s="121">
        <v>7</v>
      </c>
      <c r="D10609" s="734">
        <v>135.26522760130911</v>
      </c>
      <c r="E10609" s="733"/>
    </row>
    <row r="10610" spans="2:5">
      <c r="B10610" s="121">
        <v>906</v>
      </c>
      <c r="C10610" s="121">
        <v>8</v>
      </c>
      <c r="D10610" s="734">
        <v>145.6243750748076</v>
      </c>
      <c r="E10610" s="733"/>
    </row>
    <row r="10611" spans="2:5">
      <c r="B10611" s="121">
        <v>906</v>
      </c>
      <c r="C10611" s="121">
        <v>9</v>
      </c>
      <c r="D10611" s="734">
        <v>143.9292911113462</v>
      </c>
      <c r="E10611" s="733"/>
    </row>
    <row r="10612" spans="2:5">
      <c r="B10612" s="121">
        <v>906</v>
      </c>
      <c r="C10612" s="121">
        <v>10</v>
      </c>
      <c r="D10612" s="734">
        <v>141.32820100695605</v>
      </c>
      <c r="E10612" s="733"/>
    </row>
    <row r="10613" spans="2:5">
      <c r="B10613" s="121">
        <v>906</v>
      </c>
      <c r="C10613" s="121">
        <v>11</v>
      </c>
      <c r="D10613" s="734">
        <v>144.76856756862767</v>
      </c>
      <c r="E10613" s="733"/>
    </row>
    <row r="10614" spans="2:5">
      <c r="B10614" s="121">
        <v>906</v>
      </c>
      <c r="C10614" s="121">
        <v>12</v>
      </c>
      <c r="D10614" s="734">
        <v>134.51453995704529</v>
      </c>
      <c r="E10614" s="733"/>
    </row>
    <row r="10615" spans="2:5">
      <c r="B10615" s="121">
        <v>906</v>
      </c>
      <c r="C10615" s="121">
        <v>13</v>
      </c>
      <c r="D10615" s="734">
        <v>133.66155340533368</v>
      </c>
      <c r="E10615" s="733"/>
    </row>
    <row r="10616" spans="2:5">
      <c r="B10616" s="121">
        <v>906</v>
      </c>
      <c r="C10616" s="121">
        <v>14</v>
      </c>
      <c r="D10616" s="734">
        <v>142.4905422232367</v>
      </c>
      <c r="E10616" s="733"/>
    </row>
    <row r="10617" spans="2:5">
      <c r="B10617" s="121">
        <v>906</v>
      </c>
      <c r="C10617" s="121">
        <v>15</v>
      </c>
      <c r="D10617" s="734">
        <v>141.85170066795203</v>
      </c>
      <c r="E10617" s="733"/>
    </row>
    <row r="10618" spans="2:5">
      <c r="B10618" s="121">
        <v>906</v>
      </c>
      <c r="C10618" s="121">
        <v>16</v>
      </c>
      <c r="D10618" s="734">
        <v>138.71515840265477</v>
      </c>
      <c r="E10618" s="733"/>
    </row>
    <row r="10619" spans="2:5">
      <c r="B10619" s="121">
        <v>906</v>
      </c>
      <c r="C10619" s="121">
        <v>17</v>
      </c>
      <c r="D10619" s="734">
        <v>140.24705565209726</v>
      </c>
      <c r="E10619" s="733"/>
    </row>
    <row r="10620" spans="2:5">
      <c r="B10620" s="121">
        <v>906</v>
      </c>
      <c r="C10620" s="121">
        <v>18</v>
      </c>
      <c r="D10620" s="734">
        <v>138.63583387506981</v>
      </c>
      <c r="E10620" s="733"/>
    </row>
    <row r="10621" spans="2:5">
      <c r="B10621" s="121">
        <v>906</v>
      </c>
      <c r="C10621" s="121">
        <v>19</v>
      </c>
      <c r="D10621" s="734">
        <v>140.37269671324543</v>
      </c>
      <c r="E10621" s="733"/>
    </row>
    <row r="10622" spans="2:5">
      <c r="B10622" s="121">
        <v>906</v>
      </c>
      <c r="C10622" s="121">
        <v>20</v>
      </c>
      <c r="D10622" s="734">
        <v>138.69854841286275</v>
      </c>
      <c r="E10622" s="733"/>
    </row>
    <row r="10623" spans="2:5">
      <c r="B10623" s="121">
        <v>906</v>
      </c>
      <c r="C10623" s="121">
        <v>21</v>
      </c>
      <c r="D10623" s="734">
        <v>134.43135774254387</v>
      </c>
      <c r="E10623" s="733"/>
    </row>
    <row r="10624" spans="2:5">
      <c r="B10624" s="121">
        <v>906</v>
      </c>
      <c r="C10624" s="121">
        <v>22</v>
      </c>
      <c r="D10624" s="734">
        <v>144.40257662428931</v>
      </c>
      <c r="E10624" s="733"/>
    </row>
    <row r="10625" spans="2:5">
      <c r="B10625" s="121">
        <v>906</v>
      </c>
      <c r="C10625" s="121">
        <v>23</v>
      </c>
      <c r="D10625" s="734">
        <v>144.57498062597526</v>
      </c>
      <c r="E10625" s="733"/>
    </row>
    <row r="10626" spans="2:5">
      <c r="B10626" s="121">
        <v>906</v>
      </c>
      <c r="C10626" s="121">
        <v>24</v>
      </c>
      <c r="D10626" s="734">
        <v>135.46570643803102</v>
      </c>
      <c r="E10626" s="733"/>
    </row>
    <row r="10627" spans="2:5">
      <c r="B10627" s="121">
        <v>906</v>
      </c>
      <c r="C10627" s="121">
        <v>25</v>
      </c>
      <c r="D10627" s="734">
        <v>137.46952535233456</v>
      </c>
      <c r="E10627" s="733"/>
    </row>
    <row r="10628" spans="2:5">
      <c r="B10628" s="121">
        <v>906</v>
      </c>
      <c r="C10628" s="121">
        <v>26</v>
      </c>
      <c r="D10628" s="734">
        <v>140.26431763412828</v>
      </c>
      <c r="E10628" s="733"/>
    </row>
    <row r="10629" spans="2:5">
      <c r="B10629" s="121">
        <v>906</v>
      </c>
      <c r="C10629" s="121">
        <v>27</v>
      </c>
      <c r="D10629" s="734">
        <v>142.77942747469092</v>
      </c>
      <c r="E10629" s="733"/>
    </row>
    <row r="10630" spans="2:5">
      <c r="B10630" s="121">
        <v>906</v>
      </c>
      <c r="C10630" s="121">
        <v>28</v>
      </c>
      <c r="D10630" s="734">
        <v>142.03270015931176</v>
      </c>
      <c r="E10630" s="733"/>
    </row>
    <row r="10631" spans="2:5">
      <c r="B10631" s="121">
        <v>906</v>
      </c>
      <c r="C10631" s="121">
        <v>29</v>
      </c>
      <c r="D10631" s="734">
        <v>135.85667952957772</v>
      </c>
      <c r="E10631" s="733"/>
    </row>
    <row r="10632" spans="2:5">
      <c r="B10632" s="121">
        <v>906</v>
      </c>
      <c r="C10632" s="121">
        <v>30</v>
      </c>
      <c r="D10632" s="734">
        <v>136.91466430045006</v>
      </c>
      <c r="E10632" s="733"/>
    </row>
    <row r="10633" spans="2:5">
      <c r="B10633" s="121">
        <v>906</v>
      </c>
      <c r="C10633" s="121">
        <v>31</v>
      </c>
      <c r="D10633" s="734">
        <v>135.43381625256052</v>
      </c>
      <c r="E10633" s="733"/>
    </row>
    <row r="10634" spans="2:5">
      <c r="B10634" s="121">
        <v>906</v>
      </c>
      <c r="C10634" s="121">
        <v>32</v>
      </c>
      <c r="D10634" s="734">
        <v>136.33641657531729</v>
      </c>
      <c r="E10634" s="733"/>
    </row>
    <row r="10635" spans="2:5">
      <c r="B10635" s="121">
        <v>906</v>
      </c>
      <c r="C10635" s="121">
        <v>33</v>
      </c>
      <c r="D10635" s="734">
        <v>139.33604382433018</v>
      </c>
      <c r="E10635" s="733"/>
    </row>
    <row r="10636" spans="2:5">
      <c r="B10636" s="121">
        <v>906</v>
      </c>
      <c r="C10636" s="121">
        <v>34</v>
      </c>
      <c r="D10636" s="734">
        <v>145.2225744183495</v>
      </c>
      <c r="E10636" s="733"/>
    </row>
    <row r="10637" spans="2:5">
      <c r="B10637" s="121">
        <v>906</v>
      </c>
      <c r="C10637" s="121">
        <v>35</v>
      </c>
      <c r="D10637" s="734">
        <v>140.83350213570969</v>
      </c>
      <c r="E10637" s="733"/>
    </row>
    <row r="10638" spans="2:5">
      <c r="B10638" s="121">
        <v>906</v>
      </c>
      <c r="C10638" s="121">
        <v>36</v>
      </c>
      <c r="D10638" s="734">
        <v>134.92934375890198</v>
      </c>
      <c r="E10638" s="733"/>
    </row>
    <row r="10639" spans="2:5">
      <c r="B10639" s="121">
        <v>907</v>
      </c>
      <c r="C10639" s="121">
        <v>1</v>
      </c>
      <c r="D10639" s="734">
        <v>5</v>
      </c>
      <c r="E10639" s="733"/>
    </row>
    <row r="10640" spans="2:5">
      <c r="B10640" s="121">
        <v>907</v>
      </c>
      <c r="C10640" s="121">
        <v>2</v>
      </c>
      <c r="D10640" s="734">
        <v>99.987564318593897</v>
      </c>
      <c r="E10640" s="733"/>
    </row>
    <row r="10641" spans="2:5">
      <c r="B10641" s="121">
        <v>907</v>
      </c>
      <c r="C10641" s="121">
        <v>3</v>
      </c>
      <c r="D10641" s="734">
        <v>122.58824159205578</v>
      </c>
      <c r="E10641" s="733"/>
    </row>
    <row r="10642" spans="2:5">
      <c r="B10642" s="121">
        <v>907</v>
      </c>
      <c r="C10642" s="121">
        <v>4</v>
      </c>
      <c r="D10642" s="734">
        <v>145.09493339851375</v>
      </c>
      <c r="E10642" s="733"/>
    </row>
    <row r="10643" spans="2:5">
      <c r="B10643" s="121">
        <v>907</v>
      </c>
      <c r="C10643" s="121">
        <v>5</v>
      </c>
      <c r="D10643" s="734">
        <v>138.3496902661166</v>
      </c>
      <c r="E10643" s="733"/>
    </row>
    <row r="10644" spans="2:5">
      <c r="B10644" s="121">
        <v>907</v>
      </c>
      <c r="C10644" s="121">
        <v>6</v>
      </c>
      <c r="D10644" s="734">
        <v>144.26943904649883</v>
      </c>
      <c r="E10644" s="733"/>
    </row>
    <row r="10645" spans="2:5">
      <c r="B10645" s="121">
        <v>907</v>
      </c>
      <c r="C10645" s="121">
        <v>7</v>
      </c>
      <c r="D10645" s="734">
        <v>134.87079287038128</v>
      </c>
      <c r="E10645" s="733"/>
    </row>
    <row r="10646" spans="2:5">
      <c r="B10646" s="121">
        <v>907</v>
      </c>
      <c r="C10646" s="121">
        <v>8</v>
      </c>
      <c r="D10646" s="734">
        <v>144.55467393874406</v>
      </c>
      <c r="E10646" s="733"/>
    </row>
    <row r="10647" spans="2:5">
      <c r="B10647" s="121">
        <v>907</v>
      </c>
      <c r="C10647" s="121">
        <v>9</v>
      </c>
      <c r="D10647" s="734">
        <v>134.4980718407071</v>
      </c>
      <c r="E10647" s="733"/>
    </row>
    <row r="10648" spans="2:5">
      <c r="B10648" s="121">
        <v>907</v>
      </c>
      <c r="C10648" s="121">
        <v>10</v>
      </c>
      <c r="D10648" s="734">
        <v>134.73051980816516</v>
      </c>
      <c r="E10648" s="733"/>
    </row>
    <row r="10649" spans="2:5">
      <c r="B10649" s="121">
        <v>907</v>
      </c>
      <c r="C10649" s="121">
        <v>11</v>
      </c>
      <c r="D10649" s="734">
        <v>135.9266348272983</v>
      </c>
      <c r="E10649" s="733"/>
    </row>
    <row r="10650" spans="2:5">
      <c r="B10650" s="121">
        <v>907</v>
      </c>
      <c r="C10650" s="121">
        <v>12</v>
      </c>
      <c r="D10650" s="734">
        <v>135.94661894096612</v>
      </c>
      <c r="E10650" s="733"/>
    </row>
    <row r="10651" spans="2:5">
      <c r="B10651" s="121">
        <v>907</v>
      </c>
      <c r="C10651" s="121">
        <v>13</v>
      </c>
      <c r="D10651" s="734">
        <v>137.66457831130242</v>
      </c>
      <c r="E10651" s="733"/>
    </row>
    <row r="10652" spans="2:5">
      <c r="B10652" s="121">
        <v>907</v>
      </c>
      <c r="C10652" s="121">
        <v>14</v>
      </c>
      <c r="D10652" s="734">
        <v>142.42297669871286</v>
      </c>
      <c r="E10652" s="733"/>
    </row>
    <row r="10653" spans="2:5">
      <c r="B10653" s="121">
        <v>907</v>
      </c>
      <c r="C10653" s="121">
        <v>15</v>
      </c>
      <c r="D10653" s="734">
        <v>137.31306555503721</v>
      </c>
      <c r="E10653" s="733"/>
    </row>
    <row r="10654" spans="2:5">
      <c r="B10654" s="121">
        <v>907</v>
      </c>
      <c r="C10654" s="121">
        <v>16</v>
      </c>
      <c r="D10654" s="734">
        <v>139.02669137633922</v>
      </c>
      <c r="E10654" s="733"/>
    </row>
    <row r="10655" spans="2:5">
      <c r="B10655" s="121">
        <v>908</v>
      </c>
      <c r="C10655" s="121">
        <v>1</v>
      </c>
      <c r="D10655" s="734">
        <v>5</v>
      </c>
      <c r="E10655" s="733"/>
    </row>
    <row r="10656" spans="2:5">
      <c r="B10656" s="121">
        <v>908</v>
      </c>
      <c r="C10656" s="121">
        <v>2</v>
      </c>
      <c r="D10656" s="734">
        <v>99.155817778025963</v>
      </c>
      <c r="E10656" s="733"/>
    </row>
    <row r="10657" spans="2:5">
      <c r="B10657" s="121">
        <v>908</v>
      </c>
      <c r="C10657" s="121">
        <v>3</v>
      </c>
      <c r="D10657" s="734">
        <v>121.53584424040415</v>
      </c>
      <c r="E10657" s="733"/>
    </row>
    <row r="10658" spans="2:5">
      <c r="B10658" s="121">
        <v>908</v>
      </c>
      <c r="C10658" s="121">
        <v>4</v>
      </c>
      <c r="D10658" s="734">
        <v>140.20673128570741</v>
      </c>
      <c r="E10658" s="733"/>
    </row>
    <row r="10659" spans="2:5">
      <c r="B10659" s="121">
        <v>909</v>
      </c>
      <c r="C10659" s="121">
        <v>1</v>
      </c>
      <c r="D10659" s="734">
        <v>5</v>
      </c>
      <c r="E10659" s="733"/>
    </row>
    <row r="10660" spans="2:5">
      <c r="B10660" s="121">
        <v>909</v>
      </c>
      <c r="C10660" s="121">
        <v>2</v>
      </c>
      <c r="D10660" s="734">
        <v>100.77917511889348</v>
      </c>
      <c r="E10660" s="733"/>
    </row>
    <row r="10661" spans="2:5">
      <c r="B10661" s="121">
        <v>909</v>
      </c>
      <c r="C10661" s="121">
        <v>3</v>
      </c>
      <c r="D10661" s="734">
        <v>122.91945222821003</v>
      </c>
      <c r="E10661" s="733"/>
    </row>
    <row r="10662" spans="2:5">
      <c r="B10662" s="121">
        <v>909</v>
      </c>
      <c r="C10662" s="121">
        <v>4</v>
      </c>
      <c r="D10662" s="734">
        <v>140.48499141726759</v>
      </c>
      <c r="E10662" s="733"/>
    </row>
    <row r="10663" spans="2:5">
      <c r="B10663" s="121">
        <v>909</v>
      </c>
      <c r="C10663" s="121">
        <v>5</v>
      </c>
      <c r="D10663" s="734">
        <v>146.53060278377868</v>
      </c>
      <c r="E10663" s="733"/>
    </row>
    <row r="10664" spans="2:5">
      <c r="B10664" s="121">
        <v>909</v>
      </c>
      <c r="C10664" s="121">
        <v>6</v>
      </c>
      <c r="D10664" s="734">
        <v>137.617964930862</v>
      </c>
      <c r="E10664" s="733"/>
    </row>
    <row r="10665" spans="2:5">
      <c r="B10665" s="121">
        <v>909</v>
      </c>
      <c r="C10665" s="121">
        <v>7</v>
      </c>
      <c r="D10665" s="734">
        <v>141.78822044017414</v>
      </c>
      <c r="E10665" s="733"/>
    </row>
    <row r="10666" spans="2:5">
      <c r="B10666" s="121">
        <v>909</v>
      </c>
      <c r="C10666" s="121">
        <v>8</v>
      </c>
      <c r="D10666" s="734">
        <v>134.7618406266273</v>
      </c>
      <c r="E10666" s="733"/>
    </row>
    <row r="10667" spans="2:5">
      <c r="B10667" s="121">
        <v>909</v>
      </c>
      <c r="C10667" s="121">
        <v>9</v>
      </c>
      <c r="D10667" s="734">
        <v>146.41159989579043</v>
      </c>
      <c r="E10667" s="733"/>
    </row>
    <row r="10668" spans="2:5">
      <c r="B10668" s="121">
        <v>909</v>
      </c>
      <c r="C10668" s="121">
        <v>10</v>
      </c>
      <c r="D10668" s="734">
        <v>143.51881206909886</v>
      </c>
      <c r="E10668" s="733"/>
    </row>
    <row r="10669" spans="2:5">
      <c r="B10669" s="121">
        <v>910</v>
      </c>
      <c r="C10669" s="121">
        <v>1</v>
      </c>
      <c r="D10669" s="734">
        <v>5</v>
      </c>
      <c r="E10669" s="733"/>
    </row>
    <row r="10670" spans="2:5">
      <c r="B10670" s="121">
        <v>910</v>
      </c>
      <c r="C10670" s="121">
        <v>2</v>
      </c>
      <c r="D10670" s="734">
        <v>95.035300429289961</v>
      </c>
      <c r="E10670" s="733"/>
    </row>
    <row r="10671" spans="2:5">
      <c r="B10671" s="121">
        <v>910</v>
      </c>
      <c r="C10671" s="121">
        <v>3</v>
      </c>
      <c r="D10671" s="734">
        <v>122.29281807977554</v>
      </c>
      <c r="E10671" s="733"/>
    </row>
    <row r="10672" spans="2:5">
      <c r="B10672" s="121">
        <v>910</v>
      </c>
      <c r="C10672" s="121">
        <v>4</v>
      </c>
      <c r="D10672" s="734">
        <v>140.81380943573421</v>
      </c>
      <c r="E10672" s="733"/>
    </row>
    <row r="10673" spans="2:5">
      <c r="B10673" s="121">
        <v>910</v>
      </c>
      <c r="C10673" s="121">
        <v>5</v>
      </c>
      <c r="D10673" s="734">
        <v>141.66640420432878</v>
      </c>
      <c r="E10673" s="733"/>
    </row>
    <row r="10674" spans="2:5">
      <c r="B10674" s="121">
        <v>910</v>
      </c>
      <c r="C10674" s="121">
        <v>6</v>
      </c>
      <c r="D10674" s="734">
        <v>146.79910746557485</v>
      </c>
      <c r="E10674" s="733"/>
    </row>
    <row r="10675" spans="2:5">
      <c r="B10675" s="121">
        <v>910</v>
      </c>
      <c r="C10675" s="121">
        <v>7</v>
      </c>
      <c r="D10675" s="734">
        <v>135.57879236472886</v>
      </c>
      <c r="E10675" s="733"/>
    </row>
    <row r="10676" spans="2:5">
      <c r="B10676" s="121">
        <v>910</v>
      </c>
      <c r="C10676" s="121">
        <v>8</v>
      </c>
      <c r="D10676" s="734">
        <v>139.05538576500763</v>
      </c>
      <c r="E10676" s="733"/>
    </row>
    <row r="10677" spans="2:5">
      <c r="B10677" s="121">
        <v>910</v>
      </c>
      <c r="C10677" s="121">
        <v>9</v>
      </c>
      <c r="D10677" s="734">
        <v>136.2424546601342</v>
      </c>
      <c r="E10677" s="733"/>
    </row>
    <row r="10678" spans="2:5">
      <c r="B10678" s="121">
        <v>910</v>
      </c>
      <c r="C10678" s="121">
        <v>10</v>
      </c>
      <c r="D10678" s="734">
        <v>146.72732759316725</v>
      </c>
      <c r="E10678" s="733"/>
    </row>
    <row r="10679" spans="2:5">
      <c r="B10679" s="121">
        <v>910</v>
      </c>
      <c r="C10679" s="121">
        <v>11</v>
      </c>
      <c r="D10679" s="734">
        <v>135.4588602316737</v>
      </c>
      <c r="E10679" s="733"/>
    </row>
    <row r="10680" spans="2:5">
      <c r="B10680" s="121">
        <v>910</v>
      </c>
      <c r="C10680" s="121">
        <v>12</v>
      </c>
      <c r="D10680" s="734">
        <v>136.42096454995402</v>
      </c>
      <c r="E10680" s="733"/>
    </row>
    <row r="10681" spans="2:5">
      <c r="B10681" s="121">
        <v>910</v>
      </c>
      <c r="C10681" s="121">
        <v>13</v>
      </c>
      <c r="D10681" s="734">
        <v>139.42379517106485</v>
      </c>
      <c r="E10681" s="733"/>
    </row>
    <row r="10682" spans="2:5">
      <c r="B10682" s="121">
        <v>910</v>
      </c>
      <c r="C10682" s="121">
        <v>14</v>
      </c>
      <c r="D10682" s="734">
        <v>137.58645643651241</v>
      </c>
      <c r="E10682" s="733"/>
    </row>
    <row r="10683" spans="2:5">
      <c r="B10683" s="121">
        <v>911</v>
      </c>
      <c r="C10683" s="121">
        <v>1</v>
      </c>
      <c r="D10683" s="734">
        <v>5</v>
      </c>
      <c r="E10683" s="733"/>
    </row>
    <row r="10684" spans="2:5">
      <c r="B10684" s="121">
        <v>912</v>
      </c>
      <c r="C10684" s="121">
        <v>1</v>
      </c>
      <c r="D10684" s="734">
        <v>5</v>
      </c>
      <c r="E10684" s="733"/>
    </row>
    <row r="10685" spans="2:5">
      <c r="B10685" s="121">
        <v>912</v>
      </c>
      <c r="C10685" s="121">
        <v>2</v>
      </c>
      <c r="D10685" s="734">
        <v>94.340556924066831</v>
      </c>
      <c r="E10685" s="733"/>
    </row>
    <row r="10686" spans="2:5">
      <c r="B10686" s="121">
        <v>912</v>
      </c>
      <c r="C10686" s="121">
        <v>3</v>
      </c>
      <c r="D10686" s="734">
        <v>123.91757411110522</v>
      </c>
      <c r="E10686" s="733"/>
    </row>
    <row r="10687" spans="2:5">
      <c r="B10687" s="121">
        <v>912</v>
      </c>
      <c r="C10687" s="121">
        <v>4</v>
      </c>
      <c r="D10687" s="734">
        <v>141.99672318322138</v>
      </c>
      <c r="E10687" s="733"/>
    </row>
    <row r="10688" spans="2:5">
      <c r="B10688" s="121">
        <v>912</v>
      </c>
      <c r="C10688" s="121">
        <v>5</v>
      </c>
      <c r="D10688" s="734">
        <v>136.53078540282752</v>
      </c>
      <c r="E10688" s="733"/>
    </row>
    <row r="10689" spans="2:5">
      <c r="B10689" s="121">
        <v>912</v>
      </c>
      <c r="C10689" s="121">
        <v>6</v>
      </c>
      <c r="D10689" s="734">
        <v>138.30933171576618</v>
      </c>
      <c r="E10689" s="733"/>
    </row>
    <row r="10690" spans="2:5">
      <c r="B10690" s="121">
        <v>912</v>
      </c>
      <c r="C10690" s="121">
        <v>7</v>
      </c>
      <c r="D10690" s="734">
        <v>144.70800849005116</v>
      </c>
      <c r="E10690" s="733"/>
    </row>
    <row r="10691" spans="2:5">
      <c r="B10691" s="121">
        <v>912</v>
      </c>
      <c r="C10691" s="121">
        <v>8</v>
      </c>
      <c r="D10691" s="734">
        <v>142.55167237766076</v>
      </c>
      <c r="E10691" s="733"/>
    </row>
    <row r="10692" spans="2:5">
      <c r="B10692" s="121">
        <v>912</v>
      </c>
      <c r="C10692" s="121">
        <v>9</v>
      </c>
      <c r="D10692" s="734">
        <v>146.73580045328359</v>
      </c>
      <c r="E10692" s="733"/>
    </row>
    <row r="10693" spans="2:5">
      <c r="B10693" s="121">
        <v>912</v>
      </c>
      <c r="C10693" s="121">
        <v>10</v>
      </c>
      <c r="D10693" s="734">
        <v>141.32504027826855</v>
      </c>
      <c r="E10693" s="733"/>
    </row>
    <row r="10694" spans="2:5">
      <c r="B10694" s="121">
        <v>912</v>
      </c>
      <c r="C10694" s="121">
        <v>11</v>
      </c>
      <c r="D10694" s="734">
        <v>136.64504414167618</v>
      </c>
      <c r="E10694" s="733"/>
    </row>
    <row r="10695" spans="2:5">
      <c r="B10695" s="121">
        <v>912</v>
      </c>
      <c r="C10695" s="121">
        <v>12</v>
      </c>
      <c r="D10695" s="734">
        <v>141.86630378843438</v>
      </c>
      <c r="E10695" s="733"/>
    </row>
    <row r="10696" spans="2:5">
      <c r="B10696" s="121">
        <v>912</v>
      </c>
      <c r="C10696" s="121">
        <v>13</v>
      </c>
      <c r="D10696" s="734">
        <v>142.75650012096369</v>
      </c>
      <c r="E10696" s="733"/>
    </row>
    <row r="10697" spans="2:5">
      <c r="B10697" s="121">
        <v>912</v>
      </c>
      <c r="C10697" s="121">
        <v>14</v>
      </c>
      <c r="D10697" s="734">
        <v>140.37609342085807</v>
      </c>
      <c r="E10697" s="733"/>
    </row>
    <row r="10698" spans="2:5">
      <c r="B10698" s="121">
        <v>912</v>
      </c>
      <c r="C10698" s="121">
        <v>15</v>
      </c>
      <c r="D10698" s="734">
        <v>138.03977507323339</v>
      </c>
      <c r="E10698" s="733"/>
    </row>
    <row r="10699" spans="2:5">
      <c r="B10699" s="121">
        <v>912</v>
      </c>
      <c r="C10699" s="121">
        <v>16</v>
      </c>
      <c r="D10699" s="734">
        <v>144.31574974768913</v>
      </c>
      <c r="E10699" s="733"/>
    </row>
    <row r="10700" spans="2:5">
      <c r="B10700" s="121">
        <v>912</v>
      </c>
      <c r="C10700" s="121">
        <v>17</v>
      </c>
      <c r="D10700" s="734">
        <v>144.79832015614974</v>
      </c>
      <c r="E10700" s="733"/>
    </row>
    <row r="10701" spans="2:5">
      <c r="B10701" s="121">
        <v>912</v>
      </c>
      <c r="C10701" s="121">
        <v>18</v>
      </c>
      <c r="D10701" s="734">
        <v>136.94930748091946</v>
      </c>
      <c r="E10701" s="733"/>
    </row>
    <row r="10702" spans="2:5">
      <c r="B10702" s="121">
        <v>912</v>
      </c>
      <c r="C10702" s="121">
        <v>19</v>
      </c>
      <c r="D10702" s="734">
        <v>144.74567705430439</v>
      </c>
      <c r="E10702" s="733"/>
    </row>
    <row r="10703" spans="2:5">
      <c r="B10703" s="121">
        <v>912</v>
      </c>
      <c r="C10703" s="121">
        <v>20</v>
      </c>
      <c r="D10703" s="734">
        <v>146.81360763810929</v>
      </c>
      <c r="E10703" s="733"/>
    </row>
    <row r="10704" spans="2:5">
      <c r="B10704" s="121">
        <v>912</v>
      </c>
      <c r="C10704" s="121">
        <v>21</v>
      </c>
      <c r="D10704" s="734">
        <v>141.70192593874216</v>
      </c>
      <c r="E10704" s="733"/>
    </row>
    <row r="10705" spans="2:5">
      <c r="B10705" s="121">
        <v>912</v>
      </c>
      <c r="C10705" s="121">
        <v>22</v>
      </c>
      <c r="D10705" s="734">
        <v>147.08000956138207</v>
      </c>
      <c r="E10705" s="733"/>
    </row>
    <row r="10706" spans="2:5">
      <c r="B10706" s="121">
        <v>912</v>
      </c>
      <c r="C10706" s="121">
        <v>23</v>
      </c>
      <c r="D10706" s="734">
        <v>142.25069465801644</v>
      </c>
      <c r="E10706" s="733"/>
    </row>
    <row r="10707" spans="2:5">
      <c r="B10707" s="121">
        <v>912</v>
      </c>
      <c r="C10707" s="121">
        <v>24</v>
      </c>
      <c r="D10707" s="734">
        <v>142.59680593466891</v>
      </c>
      <c r="E10707" s="733"/>
    </row>
    <row r="10708" spans="2:5">
      <c r="B10708" s="121">
        <v>912</v>
      </c>
      <c r="C10708" s="121">
        <v>25</v>
      </c>
      <c r="D10708" s="734">
        <v>143.47429795425413</v>
      </c>
      <c r="E10708" s="733"/>
    </row>
    <row r="10709" spans="2:5">
      <c r="B10709" s="121">
        <v>912</v>
      </c>
      <c r="C10709" s="121">
        <v>26</v>
      </c>
      <c r="D10709" s="734">
        <v>136.85085630266451</v>
      </c>
      <c r="E10709" s="733"/>
    </row>
    <row r="10710" spans="2:5">
      <c r="B10710" s="121">
        <v>912</v>
      </c>
      <c r="C10710" s="121">
        <v>27</v>
      </c>
      <c r="D10710" s="734">
        <v>138.64598069623455</v>
      </c>
      <c r="E10710" s="733"/>
    </row>
    <row r="10711" spans="2:5">
      <c r="B10711" s="121">
        <v>912</v>
      </c>
      <c r="C10711" s="121">
        <v>28</v>
      </c>
      <c r="D10711" s="734">
        <v>146.76732339780045</v>
      </c>
      <c r="E10711" s="733"/>
    </row>
    <row r="10712" spans="2:5">
      <c r="B10712" s="121">
        <v>912</v>
      </c>
      <c r="C10712" s="121">
        <v>29</v>
      </c>
      <c r="D10712" s="734">
        <v>140.06399506664425</v>
      </c>
      <c r="E10712" s="733"/>
    </row>
    <row r="10713" spans="2:5">
      <c r="B10713" s="121">
        <v>913</v>
      </c>
      <c r="C10713" s="121">
        <v>1</v>
      </c>
      <c r="D10713" s="734">
        <v>5</v>
      </c>
      <c r="E10713" s="733"/>
    </row>
    <row r="10714" spans="2:5">
      <c r="B10714" s="121">
        <v>914</v>
      </c>
      <c r="C10714" s="121">
        <v>1</v>
      </c>
      <c r="D10714" s="734">
        <v>5</v>
      </c>
      <c r="E10714" s="733"/>
    </row>
    <row r="10715" spans="2:5">
      <c r="B10715" s="121">
        <v>914</v>
      </c>
      <c r="C10715" s="121">
        <v>2</v>
      </c>
      <c r="D10715" s="734">
        <v>100.97684199828039</v>
      </c>
      <c r="E10715" s="733"/>
    </row>
    <row r="10716" spans="2:5">
      <c r="B10716" s="121">
        <v>914</v>
      </c>
      <c r="C10716" s="121">
        <v>3</v>
      </c>
      <c r="D10716" s="734">
        <v>116.21635376375019</v>
      </c>
      <c r="E10716" s="733"/>
    </row>
    <row r="10717" spans="2:5">
      <c r="B10717" s="121">
        <v>914</v>
      </c>
      <c r="C10717" s="121">
        <v>4</v>
      </c>
      <c r="D10717" s="734">
        <v>141.58377788168562</v>
      </c>
      <c r="E10717" s="733"/>
    </row>
    <row r="10718" spans="2:5">
      <c r="B10718" s="121">
        <v>914</v>
      </c>
      <c r="C10718" s="121">
        <v>5</v>
      </c>
      <c r="D10718" s="734">
        <v>140.29582913833059</v>
      </c>
      <c r="E10718" s="733"/>
    </row>
    <row r="10719" spans="2:5">
      <c r="B10719" s="121">
        <v>914</v>
      </c>
      <c r="C10719" s="121">
        <v>6</v>
      </c>
      <c r="D10719" s="734">
        <v>137.80761270617637</v>
      </c>
      <c r="E10719" s="733"/>
    </row>
    <row r="10720" spans="2:5">
      <c r="B10720" s="121">
        <v>914</v>
      </c>
      <c r="C10720" s="121">
        <v>7</v>
      </c>
      <c r="D10720" s="734">
        <v>135.58818643226911</v>
      </c>
      <c r="E10720" s="733"/>
    </row>
    <row r="10721" spans="2:5">
      <c r="B10721" s="121">
        <v>914</v>
      </c>
      <c r="C10721" s="121">
        <v>8</v>
      </c>
      <c r="D10721" s="734">
        <v>140.27565245191221</v>
      </c>
      <c r="E10721" s="733"/>
    </row>
    <row r="10722" spans="2:5">
      <c r="B10722" s="121">
        <v>914</v>
      </c>
      <c r="C10722" s="121">
        <v>9</v>
      </c>
      <c r="D10722" s="734">
        <v>138.97595442239751</v>
      </c>
      <c r="E10722" s="733"/>
    </row>
    <row r="10723" spans="2:5">
      <c r="B10723" s="121">
        <v>914</v>
      </c>
      <c r="C10723" s="121">
        <v>10</v>
      </c>
      <c r="D10723" s="734">
        <v>138.61013096549738</v>
      </c>
      <c r="E10723" s="733"/>
    </row>
    <row r="10724" spans="2:5">
      <c r="B10724" s="121">
        <v>914</v>
      </c>
      <c r="C10724" s="121">
        <v>11</v>
      </c>
      <c r="D10724" s="734">
        <v>144.62214358005761</v>
      </c>
      <c r="E10724" s="733"/>
    </row>
    <row r="10725" spans="2:5">
      <c r="B10725" s="121">
        <v>914</v>
      </c>
      <c r="C10725" s="121">
        <v>12</v>
      </c>
      <c r="D10725" s="734">
        <v>140.73718858932887</v>
      </c>
      <c r="E10725" s="733"/>
    </row>
    <row r="10726" spans="2:5">
      <c r="B10726" s="121">
        <v>914</v>
      </c>
      <c r="C10726" s="121">
        <v>13</v>
      </c>
      <c r="D10726" s="734">
        <v>144.87413293314185</v>
      </c>
      <c r="E10726" s="733"/>
    </row>
    <row r="10727" spans="2:5">
      <c r="B10727" s="121">
        <v>914</v>
      </c>
      <c r="C10727" s="121">
        <v>14</v>
      </c>
      <c r="D10727" s="734">
        <v>143.50940821551305</v>
      </c>
      <c r="E10727" s="733"/>
    </row>
    <row r="10728" spans="2:5">
      <c r="B10728" s="121">
        <v>914</v>
      </c>
      <c r="C10728" s="121">
        <v>15</v>
      </c>
      <c r="D10728" s="734">
        <v>142.34659595383295</v>
      </c>
      <c r="E10728" s="733"/>
    </row>
    <row r="10729" spans="2:5">
      <c r="B10729" s="121">
        <v>914</v>
      </c>
      <c r="C10729" s="121">
        <v>16</v>
      </c>
      <c r="D10729" s="734">
        <v>137.21311186645946</v>
      </c>
      <c r="E10729" s="733"/>
    </row>
    <row r="10730" spans="2:5">
      <c r="B10730" s="121">
        <v>914</v>
      </c>
      <c r="C10730" s="121">
        <v>17</v>
      </c>
      <c r="D10730" s="734">
        <v>145.96721603034354</v>
      </c>
      <c r="E10730" s="733"/>
    </row>
    <row r="10731" spans="2:5">
      <c r="B10731" s="121">
        <v>914</v>
      </c>
      <c r="C10731" s="121">
        <v>18</v>
      </c>
      <c r="D10731" s="734">
        <v>133.89722447887567</v>
      </c>
      <c r="E10731" s="733"/>
    </row>
    <row r="10732" spans="2:5">
      <c r="B10732" s="121">
        <v>914</v>
      </c>
      <c r="C10732" s="121">
        <v>19</v>
      </c>
      <c r="D10732" s="734">
        <v>135.99716772083434</v>
      </c>
      <c r="E10732" s="733"/>
    </row>
    <row r="10733" spans="2:5">
      <c r="B10733" s="121">
        <v>914</v>
      </c>
      <c r="C10733" s="121">
        <v>20</v>
      </c>
      <c r="D10733" s="734">
        <v>142.23631835985972</v>
      </c>
      <c r="E10733" s="733"/>
    </row>
    <row r="10734" spans="2:5">
      <c r="B10734" s="121">
        <v>914</v>
      </c>
      <c r="C10734" s="121">
        <v>21</v>
      </c>
      <c r="D10734" s="734">
        <v>137.92127852631998</v>
      </c>
      <c r="E10734" s="733"/>
    </row>
    <row r="10735" spans="2:5">
      <c r="B10735" s="121">
        <v>914</v>
      </c>
      <c r="C10735" s="121">
        <v>22</v>
      </c>
      <c r="D10735" s="734">
        <v>143.75728979106617</v>
      </c>
      <c r="E10735" s="733"/>
    </row>
    <row r="10736" spans="2:5">
      <c r="B10736" s="121">
        <v>914</v>
      </c>
      <c r="C10736" s="121">
        <v>23</v>
      </c>
      <c r="D10736" s="734">
        <v>144.98955061746111</v>
      </c>
      <c r="E10736" s="733"/>
    </row>
    <row r="10737" spans="2:5">
      <c r="B10737" s="121">
        <v>914</v>
      </c>
      <c r="C10737" s="121">
        <v>24</v>
      </c>
      <c r="D10737" s="734">
        <v>136.66104393884885</v>
      </c>
      <c r="E10737" s="733"/>
    </row>
    <row r="10738" spans="2:5">
      <c r="B10738" s="121">
        <v>914</v>
      </c>
      <c r="C10738" s="121">
        <v>25</v>
      </c>
      <c r="D10738" s="734">
        <v>136.57798769905517</v>
      </c>
      <c r="E10738" s="733"/>
    </row>
    <row r="10739" spans="2:5">
      <c r="B10739" s="121">
        <v>915</v>
      </c>
      <c r="C10739" s="121">
        <v>1</v>
      </c>
      <c r="D10739" s="734">
        <v>5</v>
      </c>
      <c r="E10739" s="733"/>
    </row>
    <row r="10740" spans="2:5">
      <c r="B10740" s="121">
        <v>915</v>
      </c>
      <c r="C10740" s="121">
        <v>2</v>
      </c>
      <c r="D10740" s="734">
        <v>100.10457636523888</v>
      </c>
      <c r="E10740" s="733"/>
    </row>
    <row r="10741" spans="2:5">
      <c r="B10741" s="121">
        <v>915</v>
      </c>
      <c r="C10741" s="121">
        <v>3</v>
      </c>
      <c r="D10741" s="734">
        <v>118.45371020499729</v>
      </c>
      <c r="E10741" s="733"/>
    </row>
    <row r="10742" spans="2:5">
      <c r="B10742" s="121">
        <v>915</v>
      </c>
      <c r="C10742" s="121">
        <v>4</v>
      </c>
      <c r="D10742" s="734">
        <v>134.28663764424746</v>
      </c>
      <c r="E10742" s="733"/>
    </row>
    <row r="10743" spans="2:5">
      <c r="B10743" s="121">
        <v>915</v>
      </c>
      <c r="C10743" s="121">
        <v>5</v>
      </c>
      <c r="D10743" s="734">
        <v>136.3026093896442</v>
      </c>
      <c r="E10743" s="733"/>
    </row>
    <row r="10744" spans="2:5">
      <c r="B10744" s="121">
        <v>915</v>
      </c>
      <c r="C10744" s="121">
        <v>6</v>
      </c>
      <c r="D10744" s="734">
        <v>146.31605684622923</v>
      </c>
      <c r="E10744" s="733"/>
    </row>
    <row r="10745" spans="2:5">
      <c r="B10745" s="121">
        <v>915</v>
      </c>
      <c r="C10745" s="121">
        <v>7</v>
      </c>
      <c r="D10745" s="734">
        <v>146.11075745594871</v>
      </c>
      <c r="E10745" s="733"/>
    </row>
    <row r="10746" spans="2:5">
      <c r="B10746" s="121">
        <v>915</v>
      </c>
      <c r="C10746" s="121">
        <v>8</v>
      </c>
      <c r="D10746" s="734">
        <v>143.22156259063738</v>
      </c>
      <c r="E10746" s="733"/>
    </row>
    <row r="10747" spans="2:5">
      <c r="B10747" s="121">
        <v>915</v>
      </c>
      <c r="C10747" s="121">
        <v>9</v>
      </c>
      <c r="D10747" s="734">
        <v>136.7299311094423</v>
      </c>
      <c r="E10747" s="733"/>
    </row>
    <row r="10748" spans="2:5">
      <c r="B10748" s="121">
        <v>915</v>
      </c>
      <c r="C10748" s="121">
        <v>10</v>
      </c>
      <c r="D10748" s="734">
        <v>145.85533356152172</v>
      </c>
      <c r="E10748" s="733"/>
    </row>
    <row r="10749" spans="2:5">
      <c r="B10749" s="121">
        <v>915</v>
      </c>
      <c r="C10749" s="121">
        <v>11</v>
      </c>
      <c r="D10749" s="734">
        <v>145.38420578804943</v>
      </c>
      <c r="E10749" s="733"/>
    </row>
    <row r="10750" spans="2:5">
      <c r="B10750" s="121">
        <v>915</v>
      </c>
      <c r="C10750" s="121">
        <v>12</v>
      </c>
      <c r="D10750" s="734">
        <v>142.77616028138914</v>
      </c>
      <c r="E10750" s="733"/>
    </row>
    <row r="10751" spans="2:5">
      <c r="B10751" s="121">
        <v>915</v>
      </c>
      <c r="C10751" s="121">
        <v>13</v>
      </c>
      <c r="D10751" s="734">
        <v>136.75290536445627</v>
      </c>
      <c r="E10751" s="733"/>
    </row>
    <row r="10752" spans="2:5">
      <c r="B10752" s="121">
        <v>915</v>
      </c>
      <c r="C10752" s="121">
        <v>14</v>
      </c>
      <c r="D10752" s="734">
        <v>138.72895992389419</v>
      </c>
      <c r="E10752" s="733"/>
    </row>
    <row r="10753" spans="2:5">
      <c r="B10753" s="121">
        <v>915</v>
      </c>
      <c r="C10753" s="121">
        <v>15</v>
      </c>
      <c r="D10753" s="734">
        <v>140.33770645574751</v>
      </c>
      <c r="E10753" s="733"/>
    </row>
    <row r="10754" spans="2:5">
      <c r="B10754" s="121">
        <v>915</v>
      </c>
      <c r="C10754" s="121">
        <v>16</v>
      </c>
      <c r="D10754" s="734">
        <v>136.42266319571885</v>
      </c>
      <c r="E10754" s="733"/>
    </row>
    <row r="10755" spans="2:5">
      <c r="B10755" s="121">
        <v>915</v>
      </c>
      <c r="C10755" s="121">
        <v>17</v>
      </c>
      <c r="D10755" s="734">
        <v>140.38402635704273</v>
      </c>
      <c r="E10755" s="733"/>
    </row>
    <row r="10756" spans="2:5">
      <c r="B10756" s="121">
        <v>915</v>
      </c>
      <c r="C10756" s="121">
        <v>18</v>
      </c>
      <c r="D10756" s="734">
        <v>142.41732105485332</v>
      </c>
      <c r="E10756" s="733"/>
    </row>
    <row r="10757" spans="2:5">
      <c r="B10757" s="121">
        <v>915</v>
      </c>
      <c r="C10757" s="121">
        <v>19</v>
      </c>
      <c r="D10757" s="734">
        <v>138.26937428490527</v>
      </c>
      <c r="E10757" s="733"/>
    </row>
    <row r="10758" spans="2:5">
      <c r="B10758" s="121">
        <v>915</v>
      </c>
      <c r="C10758" s="121">
        <v>20</v>
      </c>
      <c r="D10758" s="734">
        <v>138.01918487122637</v>
      </c>
      <c r="E10758" s="733"/>
    </row>
    <row r="10759" spans="2:5">
      <c r="B10759" s="121">
        <v>915</v>
      </c>
      <c r="C10759" s="121">
        <v>21</v>
      </c>
      <c r="D10759" s="734">
        <v>143.20205269662856</v>
      </c>
      <c r="E10759" s="733"/>
    </row>
    <row r="10760" spans="2:5">
      <c r="B10760" s="121">
        <v>915</v>
      </c>
      <c r="C10760" s="121">
        <v>22</v>
      </c>
      <c r="D10760" s="734">
        <v>140.82783520458324</v>
      </c>
      <c r="E10760" s="733"/>
    </row>
    <row r="10761" spans="2:5">
      <c r="B10761" s="121">
        <v>915</v>
      </c>
      <c r="C10761" s="121">
        <v>23</v>
      </c>
      <c r="D10761" s="734">
        <v>145.85842298147111</v>
      </c>
      <c r="E10761" s="733"/>
    </row>
    <row r="10762" spans="2:5">
      <c r="B10762" s="121">
        <v>915</v>
      </c>
      <c r="C10762" s="121">
        <v>24</v>
      </c>
      <c r="D10762" s="734">
        <v>136.76751039424801</v>
      </c>
      <c r="E10762" s="733"/>
    </row>
    <row r="10763" spans="2:5">
      <c r="B10763" s="121">
        <v>915</v>
      </c>
      <c r="C10763" s="121">
        <v>25</v>
      </c>
      <c r="D10763" s="734">
        <v>140.27827905525845</v>
      </c>
      <c r="E10763" s="733"/>
    </row>
    <row r="10764" spans="2:5">
      <c r="B10764" s="121">
        <v>915</v>
      </c>
      <c r="C10764" s="121">
        <v>26</v>
      </c>
      <c r="D10764" s="734">
        <v>144.46122138946743</v>
      </c>
      <c r="E10764" s="733"/>
    </row>
    <row r="10765" spans="2:5">
      <c r="B10765" s="121">
        <v>915</v>
      </c>
      <c r="C10765" s="121">
        <v>27</v>
      </c>
      <c r="D10765" s="734">
        <v>134.41274241871861</v>
      </c>
      <c r="E10765" s="733"/>
    </row>
    <row r="10766" spans="2:5">
      <c r="B10766" s="121">
        <v>915</v>
      </c>
      <c r="C10766" s="121">
        <v>28</v>
      </c>
      <c r="D10766" s="734">
        <v>141.42560923871881</v>
      </c>
      <c r="E10766" s="733"/>
    </row>
    <row r="10767" spans="2:5">
      <c r="B10767" s="121">
        <v>915</v>
      </c>
      <c r="C10767" s="121">
        <v>29</v>
      </c>
      <c r="D10767" s="734">
        <v>134.26036050055143</v>
      </c>
      <c r="E10767" s="733"/>
    </row>
    <row r="10768" spans="2:5">
      <c r="B10768" s="121">
        <v>915</v>
      </c>
      <c r="C10768" s="121">
        <v>30</v>
      </c>
      <c r="D10768" s="734">
        <v>146.24348546467508</v>
      </c>
      <c r="E10768" s="733"/>
    </row>
    <row r="10769" spans="2:5">
      <c r="B10769" s="121">
        <v>915</v>
      </c>
      <c r="C10769" s="121">
        <v>31</v>
      </c>
      <c r="D10769" s="734">
        <v>139.35176944498389</v>
      </c>
      <c r="E10769" s="733"/>
    </row>
    <row r="10770" spans="2:5">
      <c r="B10770" s="121">
        <v>915</v>
      </c>
      <c r="C10770" s="121">
        <v>32</v>
      </c>
      <c r="D10770" s="734">
        <v>135.37478081990415</v>
      </c>
      <c r="E10770" s="733"/>
    </row>
    <row r="10771" spans="2:5">
      <c r="B10771" s="121">
        <v>916</v>
      </c>
      <c r="C10771" s="121">
        <v>1</v>
      </c>
      <c r="D10771" s="734">
        <v>5</v>
      </c>
      <c r="E10771" s="733"/>
    </row>
    <row r="10772" spans="2:5">
      <c r="B10772" s="121">
        <v>917</v>
      </c>
      <c r="C10772" s="121">
        <v>1</v>
      </c>
      <c r="D10772" s="734">
        <v>5</v>
      </c>
      <c r="E10772" s="733"/>
    </row>
    <row r="10773" spans="2:5">
      <c r="B10773" s="121">
        <v>917</v>
      </c>
      <c r="C10773" s="121">
        <v>2</v>
      </c>
      <c r="D10773" s="734">
        <v>98.078436015879902</v>
      </c>
      <c r="E10773" s="733"/>
    </row>
    <row r="10774" spans="2:5">
      <c r="B10774" s="121">
        <v>917</v>
      </c>
      <c r="C10774" s="121">
        <v>3</v>
      </c>
      <c r="D10774" s="734">
        <v>124.5259030750581</v>
      </c>
      <c r="E10774" s="733"/>
    </row>
    <row r="10775" spans="2:5">
      <c r="B10775" s="121">
        <v>917</v>
      </c>
      <c r="C10775" s="121">
        <v>4</v>
      </c>
      <c r="D10775" s="734">
        <v>136.211602219708</v>
      </c>
      <c r="E10775" s="733"/>
    </row>
    <row r="10776" spans="2:5">
      <c r="B10776" s="121">
        <v>917</v>
      </c>
      <c r="C10776" s="121">
        <v>5</v>
      </c>
      <c r="D10776" s="734">
        <v>138.20055566206531</v>
      </c>
      <c r="E10776" s="733"/>
    </row>
    <row r="10777" spans="2:5">
      <c r="B10777" s="121">
        <v>917</v>
      </c>
      <c r="C10777" s="121">
        <v>6</v>
      </c>
      <c r="D10777" s="734">
        <v>135.49257510744727</v>
      </c>
      <c r="E10777" s="733"/>
    </row>
    <row r="10778" spans="2:5">
      <c r="B10778" s="121">
        <v>917</v>
      </c>
      <c r="C10778" s="121">
        <v>7</v>
      </c>
      <c r="D10778" s="734">
        <v>140.95166032094184</v>
      </c>
      <c r="E10778" s="733"/>
    </row>
    <row r="10779" spans="2:5">
      <c r="B10779" s="121">
        <v>917</v>
      </c>
      <c r="C10779" s="121">
        <v>8</v>
      </c>
      <c r="D10779" s="734">
        <v>134.91979329210366</v>
      </c>
      <c r="E10779" s="733"/>
    </row>
    <row r="10780" spans="2:5">
      <c r="B10780" s="121">
        <v>917</v>
      </c>
      <c r="C10780" s="121">
        <v>9</v>
      </c>
      <c r="D10780" s="734">
        <v>136.19991803742874</v>
      </c>
      <c r="E10780" s="733"/>
    </row>
    <row r="10781" spans="2:5">
      <c r="B10781" s="121">
        <v>917</v>
      </c>
      <c r="C10781" s="121">
        <v>10</v>
      </c>
      <c r="D10781" s="734">
        <v>146.87307786123506</v>
      </c>
      <c r="E10781" s="733"/>
    </row>
    <row r="10782" spans="2:5">
      <c r="B10782" s="121">
        <v>917</v>
      </c>
      <c r="C10782" s="121">
        <v>11</v>
      </c>
      <c r="D10782" s="734">
        <v>138.69285400129272</v>
      </c>
      <c r="E10782" s="733"/>
    </row>
    <row r="10783" spans="2:5">
      <c r="B10783" s="121">
        <v>917</v>
      </c>
      <c r="C10783" s="121">
        <v>12</v>
      </c>
      <c r="D10783" s="734">
        <v>136.95685772555501</v>
      </c>
      <c r="E10783" s="733"/>
    </row>
    <row r="10784" spans="2:5">
      <c r="B10784" s="121">
        <v>917</v>
      </c>
      <c r="C10784" s="121">
        <v>13</v>
      </c>
      <c r="D10784" s="734">
        <v>144.6913832238493</v>
      </c>
      <c r="E10784" s="733"/>
    </row>
    <row r="10785" spans="2:5">
      <c r="B10785" s="121">
        <v>917</v>
      </c>
      <c r="C10785" s="121">
        <v>14</v>
      </c>
      <c r="D10785" s="734">
        <v>134.87032658025763</v>
      </c>
      <c r="E10785" s="733"/>
    </row>
    <row r="10786" spans="2:5">
      <c r="B10786" s="121">
        <v>918</v>
      </c>
      <c r="C10786" s="121">
        <v>1</v>
      </c>
      <c r="D10786" s="734">
        <v>5</v>
      </c>
      <c r="E10786" s="733"/>
    </row>
    <row r="10787" spans="2:5">
      <c r="B10787" s="121">
        <v>918</v>
      </c>
      <c r="C10787" s="121">
        <v>2</v>
      </c>
      <c r="D10787" s="734">
        <v>94.667554298996421</v>
      </c>
      <c r="E10787" s="733"/>
    </row>
    <row r="10788" spans="2:5">
      <c r="B10788" s="121">
        <v>918</v>
      </c>
      <c r="C10788" s="121">
        <v>3</v>
      </c>
      <c r="D10788" s="734">
        <v>119.63006772983572</v>
      </c>
      <c r="E10788" s="733"/>
    </row>
    <row r="10789" spans="2:5">
      <c r="B10789" s="121">
        <v>918</v>
      </c>
      <c r="C10789" s="121">
        <v>4</v>
      </c>
      <c r="D10789" s="734">
        <v>141.67193541978961</v>
      </c>
      <c r="E10789" s="733"/>
    </row>
    <row r="10790" spans="2:5">
      <c r="B10790" s="121">
        <v>918</v>
      </c>
      <c r="C10790" s="121">
        <v>5</v>
      </c>
      <c r="D10790" s="734">
        <v>142.61109522154487</v>
      </c>
      <c r="E10790" s="733"/>
    </row>
    <row r="10791" spans="2:5">
      <c r="B10791" s="121">
        <v>918</v>
      </c>
      <c r="C10791" s="121">
        <v>6</v>
      </c>
      <c r="D10791" s="734">
        <v>143.55843265026255</v>
      </c>
      <c r="E10791" s="733"/>
    </row>
    <row r="10792" spans="2:5">
      <c r="B10792" s="121">
        <v>918</v>
      </c>
      <c r="C10792" s="121">
        <v>7</v>
      </c>
      <c r="D10792" s="734">
        <v>140.30720256873278</v>
      </c>
      <c r="E10792" s="733"/>
    </row>
    <row r="10793" spans="2:5">
      <c r="B10793" s="121">
        <v>918</v>
      </c>
      <c r="C10793" s="121">
        <v>8</v>
      </c>
      <c r="D10793" s="734">
        <v>146.23806963028883</v>
      </c>
      <c r="E10793" s="733"/>
    </row>
    <row r="10794" spans="2:5">
      <c r="B10794" s="121">
        <v>918</v>
      </c>
      <c r="C10794" s="121">
        <v>9</v>
      </c>
      <c r="D10794" s="734">
        <v>142.59827933701885</v>
      </c>
      <c r="E10794" s="733"/>
    </row>
    <row r="10795" spans="2:5">
      <c r="B10795" s="121">
        <v>918</v>
      </c>
      <c r="C10795" s="121">
        <v>10</v>
      </c>
      <c r="D10795" s="734">
        <v>146.71422203849184</v>
      </c>
      <c r="E10795" s="733"/>
    </row>
    <row r="10796" spans="2:5">
      <c r="B10796" s="121">
        <v>918</v>
      </c>
      <c r="C10796" s="121">
        <v>11</v>
      </c>
      <c r="D10796" s="734">
        <v>142.64666241611496</v>
      </c>
      <c r="E10796" s="733"/>
    </row>
    <row r="10797" spans="2:5">
      <c r="B10797" s="121">
        <v>918</v>
      </c>
      <c r="C10797" s="121">
        <v>12</v>
      </c>
      <c r="D10797" s="734">
        <v>134.75557125229983</v>
      </c>
      <c r="E10797" s="733"/>
    </row>
    <row r="10798" spans="2:5">
      <c r="B10798" s="121">
        <v>918</v>
      </c>
      <c r="C10798" s="121">
        <v>13</v>
      </c>
      <c r="D10798" s="734">
        <v>140.58683553230185</v>
      </c>
      <c r="E10798" s="733"/>
    </row>
    <row r="10799" spans="2:5">
      <c r="B10799" s="121">
        <v>918</v>
      </c>
      <c r="C10799" s="121">
        <v>14</v>
      </c>
      <c r="D10799" s="734">
        <v>139.74202240473431</v>
      </c>
      <c r="E10799" s="733"/>
    </row>
    <row r="10800" spans="2:5">
      <c r="B10800" s="121">
        <v>918</v>
      </c>
      <c r="C10800" s="121">
        <v>15</v>
      </c>
      <c r="D10800" s="734">
        <v>139.37614897679242</v>
      </c>
      <c r="E10800" s="733"/>
    </row>
    <row r="10801" spans="2:5">
      <c r="B10801" s="121">
        <v>918</v>
      </c>
      <c r="C10801" s="121">
        <v>16</v>
      </c>
      <c r="D10801" s="734">
        <v>137.85139727773355</v>
      </c>
      <c r="E10801" s="733"/>
    </row>
    <row r="10802" spans="2:5">
      <c r="B10802" s="121">
        <v>919</v>
      </c>
      <c r="C10802" s="121">
        <v>1</v>
      </c>
      <c r="D10802" s="734">
        <v>5</v>
      </c>
      <c r="E10802" s="733"/>
    </row>
    <row r="10803" spans="2:5">
      <c r="B10803" s="121">
        <v>919</v>
      </c>
      <c r="C10803" s="121">
        <v>2</v>
      </c>
      <c r="D10803" s="734">
        <v>100.00069642800533</v>
      </c>
      <c r="E10803" s="733"/>
    </row>
    <row r="10804" spans="2:5">
      <c r="B10804" s="121">
        <v>919</v>
      </c>
      <c r="C10804" s="121">
        <v>3</v>
      </c>
      <c r="D10804" s="734">
        <v>116.73122946312338</v>
      </c>
      <c r="E10804" s="733"/>
    </row>
    <row r="10805" spans="2:5">
      <c r="B10805" s="121">
        <v>919</v>
      </c>
      <c r="C10805" s="121">
        <v>4</v>
      </c>
      <c r="D10805" s="734">
        <v>137.76591639370798</v>
      </c>
      <c r="E10805" s="733"/>
    </row>
    <row r="10806" spans="2:5">
      <c r="B10806" s="121">
        <v>919</v>
      </c>
      <c r="C10806" s="121">
        <v>5</v>
      </c>
      <c r="D10806" s="734">
        <v>142.01525364343405</v>
      </c>
      <c r="E10806" s="733"/>
    </row>
    <row r="10807" spans="2:5">
      <c r="B10807" s="121">
        <v>919</v>
      </c>
      <c r="C10807" s="121">
        <v>6</v>
      </c>
      <c r="D10807" s="734">
        <v>136.00643580838135</v>
      </c>
      <c r="E10807" s="733"/>
    </row>
    <row r="10808" spans="2:5">
      <c r="B10808" s="121">
        <v>919</v>
      </c>
      <c r="C10808" s="121">
        <v>7</v>
      </c>
      <c r="D10808" s="734">
        <v>136.62593533166918</v>
      </c>
      <c r="E10808" s="733"/>
    </row>
    <row r="10809" spans="2:5">
      <c r="B10809" s="121">
        <v>919</v>
      </c>
      <c r="C10809" s="121">
        <v>8</v>
      </c>
      <c r="D10809" s="734">
        <v>142.72657301969858</v>
      </c>
      <c r="E10809" s="733"/>
    </row>
    <row r="10810" spans="2:5">
      <c r="B10810" s="121">
        <v>919</v>
      </c>
      <c r="C10810" s="121">
        <v>9</v>
      </c>
      <c r="D10810" s="734">
        <v>140.34376647491524</v>
      </c>
      <c r="E10810" s="733"/>
    </row>
    <row r="10811" spans="2:5">
      <c r="B10811" s="121">
        <v>919</v>
      </c>
      <c r="C10811" s="121">
        <v>10</v>
      </c>
      <c r="D10811" s="734">
        <v>140.53723081026968</v>
      </c>
      <c r="E10811" s="733"/>
    </row>
    <row r="10812" spans="2:5">
      <c r="B10812" s="121">
        <v>919</v>
      </c>
      <c r="C10812" s="121">
        <v>11</v>
      </c>
      <c r="D10812" s="734">
        <v>142.06738158678542</v>
      </c>
      <c r="E10812" s="733"/>
    </row>
    <row r="10813" spans="2:5">
      <c r="B10813" s="121">
        <v>919</v>
      </c>
      <c r="C10813" s="121">
        <v>12</v>
      </c>
      <c r="D10813" s="734">
        <v>137.57892340632463</v>
      </c>
      <c r="E10813" s="733"/>
    </row>
    <row r="10814" spans="2:5">
      <c r="B10814" s="121">
        <v>919</v>
      </c>
      <c r="C10814" s="121">
        <v>13</v>
      </c>
      <c r="D10814" s="734">
        <v>138.06547829221</v>
      </c>
      <c r="E10814" s="733"/>
    </row>
    <row r="10815" spans="2:5">
      <c r="B10815" s="121">
        <v>919</v>
      </c>
      <c r="C10815" s="121">
        <v>14</v>
      </c>
      <c r="D10815" s="734">
        <v>144.85364491967334</v>
      </c>
      <c r="E10815" s="733"/>
    </row>
    <row r="10816" spans="2:5">
      <c r="B10816" s="121">
        <v>919</v>
      </c>
      <c r="C10816" s="121">
        <v>15</v>
      </c>
      <c r="D10816" s="734">
        <v>143.92439260874835</v>
      </c>
      <c r="E10816" s="733"/>
    </row>
    <row r="10817" spans="2:5">
      <c r="B10817" s="121">
        <v>919</v>
      </c>
      <c r="C10817" s="121">
        <v>16</v>
      </c>
      <c r="D10817" s="734">
        <v>141.97854363029688</v>
      </c>
      <c r="E10817" s="733"/>
    </row>
    <row r="10818" spans="2:5">
      <c r="B10818" s="121">
        <v>919</v>
      </c>
      <c r="C10818" s="121">
        <v>17</v>
      </c>
      <c r="D10818" s="734">
        <v>135.46165341233345</v>
      </c>
      <c r="E10818" s="733"/>
    </row>
    <row r="10819" spans="2:5">
      <c r="B10819" s="121">
        <v>919</v>
      </c>
      <c r="C10819" s="121">
        <v>18</v>
      </c>
      <c r="D10819" s="734">
        <v>141.55530855483886</v>
      </c>
      <c r="E10819" s="733"/>
    </row>
    <row r="10820" spans="2:5">
      <c r="B10820" s="121">
        <v>919</v>
      </c>
      <c r="C10820" s="121">
        <v>19</v>
      </c>
      <c r="D10820" s="734">
        <v>137.90725009606311</v>
      </c>
      <c r="E10820" s="733"/>
    </row>
    <row r="10821" spans="2:5">
      <c r="B10821" s="121">
        <v>919</v>
      </c>
      <c r="C10821" s="121">
        <v>20</v>
      </c>
      <c r="D10821" s="734">
        <v>137.00341973576246</v>
      </c>
      <c r="E10821" s="733"/>
    </row>
    <row r="10822" spans="2:5">
      <c r="B10822" s="121">
        <v>919</v>
      </c>
      <c r="C10822" s="121">
        <v>21</v>
      </c>
      <c r="D10822" s="734">
        <v>137.74542554299546</v>
      </c>
      <c r="E10822" s="733"/>
    </row>
    <row r="10823" spans="2:5">
      <c r="B10823" s="121">
        <v>919</v>
      </c>
      <c r="C10823" s="121">
        <v>22</v>
      </c>
      <c r="D10823" s="734">
        <v>142.76158259865377</v>
      </c>
      <c r="E10823" s="733"/>
    </row>
    <row r="10824" spans="2:5">
      <c r="B10824" s="121">
        <v>920</v>
      </c>
      <c r="C10824" s="121">
        <v>1</v>
      </c>
      <c r="D10824" s="734">
        <v>5</v>
      </c>
      <c r="E10824" s="733"/>
    </row>
    <row r="10825" spans="2:5">
      <c r="B10825" s="121">
        <v>920</v>
      </c>
      <c r="C10825" s="121">
        <v>2</v>
      </c>
      <c r="D10825" s="734">
        <v>98.242001030349883</v>
      </c>
      <c r="E10825" s="733"/>
    </row>
    <row r="10826" spans="2:5">
      <c r="B10826" s="121">
        <v>920</v>
      </c>
      <c r="C10826" s="121">
        <v>3</v>
      </c>
      <c r="D10826" s="734">
        <v>115.98801389211452</v>
      </c>
      <c r="E10826" s="733"/>
    </row>
    <row r="10827" spans="2:5">
      <c r="B10827" s="121">
        <v>920</v>
      </c>
      <c r="C10827" s="121">
        <v>4</v>
      </c>
      <c r="D10827" s="734">
        <v>137.91459541624272</v>
      </c>
      <c r="E10827" s="733"/>
    </row>
    <row r="10828" spans="2:5">
      <c r="B10828" s="121">
        <v>920</v>
      </c>
      <c r="C10828" s="121">
        <v>5</v>
      </c>
      <c r="D10828" s="734">
        <v>138.03991002285892</v>
      </c>
      <c r="E10828" s="733"/>
    </row>
    <row r="10829" spans="2:5">
      <c r="B10829" s="121">
        <v>920</v>
      </c>
      <c r="C10829" s="121">
        <v>6</v>
      </c>
      <c r="D10829" s="734">
        <v>143.32603232283606</v>
      </c>
      <c r="E10829" s="733"/>
    </row>
    <row r="10830" spans="2:5">
      <c r="B10830" s="121">
        <v>920</v>
      </c>
      <c r="C10830" s="121">
        <v>7</v>
      </c>
      <c r="D10830" s="734">
        <v>135.45136353743553</v>
      </c>
      <c r="E10830" s="733"/>
    </row>
    <row r="10831" spans="2:5">
      <c r="B10831" s="121">
        <v>920</v>
      </c>
      <c r="C10831" s="121">
        <v>8</v>
      </c>
      <c r="D10831" s="734">
        <v>145.31920663195015</v>
      </c>
      <c r="E10831" s="733"/>
    </row>
    <row r="10832" spans="2:5">
      <c r="B10832" s="121">
        <v>920</v>
      </c>
      <c r="C10832" s="121">
        <v>9</v>
      </c>
      <c r="D10832" s="734">
        <v>136.70480132065799</v>
      </c>
      <c r="E10832" s="733"/>
    </row>
    <row r="10833" spans="2:5">
      <c r="B10833" s="121">
        <v>920</v>
      </c>
      <c r="C10833" s="121">
        <v>10</v>
      </c>
      <c r="D10833" s="734">
        <v>144.33108194775627</v>
      </c>
      <c r="E10833" s="733"/>
    </row>
    <row r="10834" spans="2:5">
      <c r="B10834" s="121">
        <v>920</v>
      </c>
      <c r="C10834" s="121">
        <v>11</v>
      </c>
      <c r="D10834" s="734">
        <v>138.7249499818428</v>
      </c>
      <c r="E10834" s="733"/>
    </row>
    <row r="10835" spans="2:5">
      <c r="B10835" s="121">
        <v>920</v>
      </c>
      <c r="C10835" s="121">
        <v>12</v>
      </c>
      <c r="D10835" s="734">
        <v>137.7615268408158</v>
      </c>
      <c r="E10835" s="733"/>
    </row>
    <row r="10836" spans="2:5">
      <c r="B10836" s="121">
        <v>920</v>
      </c>
      <c r="C10836" s="121">
        <v>13</v>
      </c>
      <c r="D10836" s="734">
        <v>142.78039170360191</v>
      </c>
      <c r="E10836" s="733"/>
    </row>
    <row r="10837" spans="2:5">
      <c r="B10837" s="121">
        <v>920</v>
      </c>
      <c r="C10837" s="121">
        <v>14</v>
      </c>
      <c r="D10837" s="734">
        <v>144.6602620780219</v>
      </c>
      <c r="E10837" s="733"/>
    </row>
    <row r="10838" spans="2:5">
      <c r="B10838" s="121">
        <v>920</v>
      </c>
      <c r="C10838" s="121">
        <v>15</v>
      </c>
      <c r="D10838" s="734">
        <v>144.38250366180122</v>
      </c>
      <c r="E10838" s="733"/>
    </row>
    <row r="10839" spans="2:5">
      <c r="B10839" s="121">
        <v>920</v>
      </c>
      <c r="C10839" s="121">
        <v>16</v>
      </c>
      <c r="D10839" s="734">
        <v>140.97286316270689</v>
      </c>
      <c r="E10839" s="733"/>
    </row>
    <row r="10840" spans="2:5">
      <c r="B10840" s="121">
        <v>920</v>
      </c>
      <c r="C10840" s="121">
        <v>17</v>
      </c>
      <c r="D10840" s="734">
        <v>133.6693088689747</v>
      </c>
      <c r="E10840" s="733"/>
    </row>
    <row r="10841" spans="2:5">
      <c r="B10841" s="121">
        <v>920</v>
      </c>
      <c r="C10841" s="121">
        <v>18</v>
      </c>
      <c r="D10841" s="734">
        <v>134.00914969154223</v>
      </c>
      <c r="E10841" s="733"/>
    </row>
    <row r="10842" spans="2:5">
      <c r="B10842" s="121">
        <v>920</v>
      </c>
      <c r="C10842" s="121">
        <v>19</v>
      </c>
      <c r="D10842" s="734">
        <v>141.2478572312103</v>
      </c>
      <c r="E10842" s="733"/>
    </row>
    <row r="10843" spans="2:5">
      <c r="B10843" s="121">
        <v>920</v>
      </c>
      <c r="C10843" s="121">
        <v>20</v>
      </c>
      <c r="D10843" s="734">
        <v>145.87078866900134</v>
      </c>
      <c r="E10843" s="733"/>
    </row>
    <row r="10844" spans="2:5">
      <c r="B10844" s="121">
        <v>920</v>
      </c>
      <c r="C10844" s="121">
        <v>21</v>
      </c>
      <c r="D10844" s="734">
        <v>145.51341411516574</v>
      </c>
      <c r="E10844" s="733"/>
    </row>
    <row r="10845" spans="2:5">
      <c r="B10845" s="121">
        <v>920</v>
      </c>
      <c r="C10845" s="121">
        <v>22</v>
      </c>
      <c r="D10845" s="734">
        <v>144.67740912433064</v>
      </c>
      <c r="E10845" s="733"/>
    </row>
    <row r="10846" spans="2:5">
      <c r="B10846" s="121">
        <v>920</v>
      </c>
      <c r="C10846" s="121">
        <v>23</v>
      </c>
      <c r="D10846" s="734">
        <v>142.46921070669458</v>
      </c>
      <c r="E10846" s="733"/>
    </row>
    <row r="10847" spans="2:5">
      <c r="B10847" s="121">
        <v>921</v>
      </c>
      <c r="C10847" s="121">
        <v>1</v>
      </c>
      <c r="D10847" s="734">
        <v>5</v>
      </c>
      <c r="E10847" s="733"/>
    </row>
    <row r="10848" spans="2:5">
      <c r="B10848" s="121">
        <v>921</v>
      </c>
      <c r="C10848" s="121">
        <v>2</v>
      </c>
      <c r="D10848" s="734">
        <v>95.751632296679588</v>
      </c>
      <c r="E10848" s="733"/>
    </row>
    <row r="10849" spans="2:5">
      <c r="B10849" s="121">
        <v>921</v>
      </c>
      <c r="C10849" s="121">
        <v>3</v>
      </c>
      <c r="D10849" s="734">
        <v>114.76831848628271</v>
      </c>
      <c r="E10849" s="733"/>
    </row>
    <row r="10850" spans="2:5">
      <c r="B10850" s="121">
        <v>921</v>
      </c>
      <c r="C10850" s="121">
        <v>4</v>
      </c>
      <c r="D10850" s="734">
        <v>135.03631562418161</v>
      </c>
      <c r="E10850" s="733"/>
    </row>
    <row r="10851" spans="2:5">
      <c r="B10851" s="121">
        <v>921</v>
      </c>
      <c r="C10851" s="121">
        <v>5</v>
      </c>
      <c r="D10851" s="734">
        <v>143.89309904377549</v>
      </c>
      <c r="E10851" s="733"/>
    </row>
    <row r="10852" spans="2:5">
      <c r="B10852" s="121">
        <v>921</v>
      </c>
      <c r="C10852" s="121">
        <v>6</v>
      </c>
      <c r="D10852" s="734">
        <v>138.25099965442399</v>
      </c>
      <c r="E10852" s="733"/>
    </row>
    <row r="10853" spans="2:5">
      <c r="B10853" s="121">
        <v>921</v>
      </c>
      <c r="C10853" s="121">
        <v>7</v>
      </c>
      <c r="D10853" s="734">
        <v>135.95469763495055</v>
      </c>
      <c r="E10853" s="733"/>
    </row>
    <row r="10854" spans="2:5">
      <c r="B10854" s="121">
        <v>921</v>
      </c>
      <c r="C10854" s="121">
        <v>8</v>
      </c>
      <c r="D10854" s="734">
        <v>135.93065345486502</v>
      </c>
      <c r="E10854" s="733"/>
    </row>
    <row r="10855" spans="2:5">
      <c r="B10855" s="121">
        <v>921</v>
      </c>
      <c r="C10855" s="121">
        <v>9</v>
      </c>
      <c r="D10855" s="734">
        <v>135.76963973428116</v>
      </c>
      <c r="E10855" s="733"/>
    </row>
    <row r="10856" spans="2:5">
      <c r="B10856" s="121">
        <v>921</v>
      </c>
      <c r="C10856" s="121">
        <v>10</v>
      </c>
      <c r="D10856" s="734">
        <v>137.34418102970776</v>
      </c>
      <c r="E10856" s="733"/>
    </row>
    <row r="10857" spans="2:5">
      <c r="B10857" s="121">
        <v>921</v>
      </c>
      <c r="C10857" s="121">
        <v>11</v>
      </c>
      <c r="D10857" s="734">
        <v>134.40560650923544</v>
      </c>
      <c r="E10857" s="733"/>
    </row>
    <row r="10858" spans="2:5">
      <c r="B10858" s="121">
        <v>921</v>
      </c>
      <c r="C10858" s="121">
        <v>12</v>
      </c>
      <c r="D10858" s="734">
        <v>144.96587527054726</v>
      </c>
      <c r="E10858" s="733"/>
    </row>
    <row r="10859" spans="2:5">
      <c r="B10859" s="121">
        <v>921</v>
      </c>
      <c r="C10859" s="121">
        <v>13</v>
      </c>
      <c r="D10859" s="734">
        <v>140.71521550584126</v>
      </c>
      <c r="E10859" s="733"/>
    </row>
    <row r="10860" spans="2:5">
      <c r="B10860" s="121">
        <v>922</v>
      </c>
      <c r="C10860" s="121">
        <v>1</v>
      </c>
      <c r="D10860" s="734">
        <v>5</v>
      </c>
      <c r="E10860" s="733"/>
    </row>
    <row r="10861" spans="2:5">
      <c r="B10861" s="121">
        <v>922</v>
      </c>
      <c r="C10861" s="121">
        <v>2</v>
      </c>
      <c r="D10861" s="734">
        <v>102.04229604041434</v>
      </c>
      <c r="E10861" s="733"/>
    </row>
    <row r="10862" spans="2:5">
      <c r="B10862" s="121">
        <v>922</v>
      </c>
      <c r="C10862" s="121">
        <v>3</v>
      </c>
      <c r="D10862" s="734">
        <v>125.09855061971217</v>
      </c>
      <c r="E10862" s="733"/>
    </row>
    <row r="10863" spans="2:5">
      <c r="B10863" s="121">
        <v>922</v>
      </c>
      <c r="C10863" s="121">
        <v>4</v>
      </c>
      <c r="D10863" s="734">
        <v>146.50306012406224</v>
      </c>
      <c r="E10863" s="733"/>
    </row>
    <row r="10864" spans="2:5">
      <c r="B10864" s="121">
        <v>922</v>
      </c>
      <c r="C10864" s="121">
        <v>5</v>
      </c>
      <c r="D10864" s="734">
        <v>142.75677080922199</v>
      </c>
      <c r="E10864" s="733"/>
    </row>
    <row r="10865" spans="2:5">
      <c r="B10865" s="121">
        <v>922</v>
      </c>
      <c r="C10865" s="121">
        <v>6</v>
      </c>
      <c r="D10865" s="734">
        <v>135.73062355281886</v>
      </c>
      <c r="E10865" s="733"/>
    </row>
    <row r="10866" spans="2:5">
      <c r="B10866" s="121">
        <v>922</v>
      </c>
      <c r="C10866" s="121">
        <v>7</v>
      </c>
      <c r="D10866" s="734">
        <v>145.53322327596834</v>
      </c>
      <c r="E10866" s="733"/>
    </row>
    <row r="10867" spans="2:5">
      <c r="B10867" s="121">
        <v>922</v>
      </c>
      <c r="C10867" s="121">
        <v>8</v>
      </c>
      <c r="D10867" s="734">
        <v>142.01453599248754</v>
      </c>
      <c r="E10867" s="733"/>
    </row>
    <row r="10868" spans="2:5">
      <c r="B10868" s="121">
        <v>922</v>
      </c>
      <c r="C10868" s="121">
        <v>9</v>
      </c>
      <c r="D10868" s="734">
        <v>137.97493677704512</v>
      </c>
      <c r="E10868" s="733"/>
    </row>
    <row r="10869" spans="2:5">
      <c r="B10869" s="121">
        <v>922</v>
      </c>
      <c r="C10869" s="121">
        <v>10</v>
      </c>
      <c r="D10869" s="734">
        <v>136.82972057649314</v>
      </c>
      <c r="E10869" s="733"/>
    </row>
    <row r="10870" spans="2:5">
      <c r="B10870" s="121">
        <v>922</v>
      </c>
      <c r="C10870" s="121">
        <v>11</v>
      </c>
      <c r="D10870" s="734">
        <v>145.26735611779114</v>
      </c>
      <c r="E10870" s="733"/>
    </row>
    <row r="10871" spans="2:5">
      <c r="B10871" s="121">
        <v>922</v>
      </c>
      <c r="C10871" s="121">
        <v>12</v>
      </c>
      <c r="D10871" s="734">
        <v>137.00267342031589</v>
      </c>
      <c r="E10871" s="733"/>
    </row>
    <row r="10872" spans="2:5">
      <c r="B10872" s="121">
        <v>922</v>
      </c>
      <c r="C10872" s="121">
        <v>13</v>
      </c>
      <c r="D10872" s="734">
        <v>143.07082547289465</v>
      </c>
      <c r="E10872" s="733"/>
    </row>
    <row r="10873" spans="2:5">
      <c r="B10873" s="121">
        <v>922</v>
      </c>
      <c r="C10873" s="121">
        <v>14</v>
      </c>
      <c r="D10873" s="734">
        <v>142.32715877615948</v>
      </c>
      <c r="E10873" s="733"/>
    </row>
    <row r="10874" spans="2:5">
      <c r="B10874" s="121">
        <v>922</v>
      </c>
      <c r="C10874" s="121">
        <v>15</v>
      </c>
      <c r="D10874" s="734">
        <v>138.71303613126221</v>
      </c>
      <c r="E10874" s="733"/>
    </row>
    <row r="10875" spans="2:5">
      <c r="B10875" s="121">
        <v>922</v>
      </c>
      <c r="C10875" s="121">
        <v>16</v>
      </c>
      <c r="D10875" s="734">
        <v>142.96047511044887</v>
      </c>
      <c r="E10875" s="733"/>
    </row>
    <row r="10876" spans="2:5">
      <c r="B10876" s="121">
        <v>922</v>
      </c>
      <c r="C10876" s="121">
        <v>17</v>
      </c>
      <c r="D10876" s="734">
        <v>140.04679091016115</v>
      </c>
      <c r="E10876" s="733"/>
    </row>
    <row r="10877" spans="2:5">
      <c r="B10877" s="121">
        <v>922</v>
      </c>
      <c r="C10877" s="121">
        <v>18</v>
      </c>
      <c r="D10877" s="734">
        <v>138.76132198738492</v>
      </c>
      <c r="E10877" s="733"/>
    </row>
    <row r="10878" spans="2:5">
      <c r="B10878" s="121">
        <v>922</v>
      </c>
      <c r="C10878" s="121">
        <v>19</v>
      </c>
      <c r="D10878" s="734">
        <v>146.04154470421142</v>
      </c>
      <c r="E10878" s="733"/>
    </row>
    <row r="10879" spans="2:5">
      <c r="B10879" s="121">
        <v>922</v>
      </c>
      <c r="C10879" s="121">
        <v>20</v>
      </c>
      <c r="D10879" s="734">
        <v>138.19507223363576</v>
      </c>
      <c r="E10879" s="733"/>
    </row>
    <row r="10880" spans="2:5">
      <c r="B10880" s="121">
        <v>922</v>
      </c>
      <c r="C10880" s="121">
        <v>21</v>
      </c>
      <c r="D10880" s="734">
        <v>144.8546368136314</v>
      </c>
      <c r="E10880" s="733"/>
    </row>
    <row r="10881" spans="2:5">
      <c r="B10881" s="121">
        <v>922</v>
      </c>
      <c r="C10881" s="121">
        <v>22</v>
      </c>
      <c r="D10881" s="734">
        <v>134.96645173995208</v>
      </c>
      <c r="E10881" s="733"/>
    </row>
    <row r="10882" spans="2:5">
      <c r="B10882" s="121">
        <v>922</v>
      </c>
      <c r="C10882" s="121">
        <v>23</v>
      </c>
      <c r="D10882" s="734">
        <v>137.3126468543804</v>
      </c>
      <c r="E10882" s="733"/>
    </row>
    <row r="10883" spans="2:5">
      <c r="B10883" s="121">
        <v>922</v>
      </c>
      <c r="C10883" s="121">
        <v>24</v>
      </c>
      <c r="D10883" s="734">
        <v>143.21170512470454</v>
      </c>
      <c r="E10883" s="733"/>
    </row>
    <row r="10884" spans="2:5">
      <c r="B10884" s="121">
        <v>922</v>
      </c>
      <c r="C10884" s="121">
        <v>25</v>
      </c>
      <c r="D10884" s="734">
        <v>134.73902244753728</v>
      </c>
      <c r="E10884" s="733"/>
    </row>
    <row r="10885" spans="2:5">
      <c r="B10885" s="121">
        <v>922</v>
      </c>
      <c r="C10885" s="121">
        <v>26</v>
      </c>
      <c r="D10885" s="734">
        <v>146.58443640853605</v>
      </c>
      <c r="E10885" s="733"/>
    </row>
    <row r="10886" spans="2:5">
      <c r="B10886" s="121">
        <v>922</v>
      </c>
      <c r="C10886" s="121">
        <v>27</v>
      </c>
      <c r="D10886" s="734">
        <v>134.93801663836203</v>
      </c>
      <c r="E10886" s="733"/>
    </row>
    <row r="10887" spans="2:5">
      <c r="B10887" s="121">
        <v>922</v>
      </c>
      <c r="C10887" s="121">
        <v>28</v>
      </c>
      <c r="D10887" s="734">
        <v>136.39031212088554</v>
      </c>
      <c r="E10887" s="733"/>
    </row>
    <row r="10888" spans="2:5">
      <c r="B10888" s="121">
        <v>922</v>
      </c>
      <c r="C10888" s="121">
        <v>29</v>
      </c>
      <c r="D10888" s="734">
        <v>144.75852099140363</v>
      </c>
      <c r="E10888" s="733"/>
    </row>
    <row r="10889" spans="2:5">
      <c r="B10889" s="121">
        <v>922</v>
      </c>
      <c r="C10889" s="121">
        <v>30</v>
      </c>
      <c r="D10889" s="734">
        <v>138.73385693189826</v>
      </c>
      <c r="E10889" s="733"/>
    </row>
    <row r="10890" spans="2:5">
      <c r="B10890" s="121">
        <v>922</v>
      </c>
      <c r="C10890" s="121">
        <v>31</v>
      </c>
      <c r="D10890" s="734">
        <v>133.67277068748325</v>
      </c>
      <c r="E10890" s="733"/>
    </row>
    <row r="10891" spans="2:5">
      <c r="B10891" s="121">
        <v>922</v>
      </c>
      <c r="C10891" s="121">
        <v>32</v>
      </c>
      <c r="D10891" s="734">
        <v>141.73921813206118</v>
      </c>
      <c r="E10891" s="733"/>
    </row>
    <row r="10892" spans="2:5">
      <c r="B10892" s="121">
        <v>922</v>
      </c>
      <c r="C10892" s="121">
        <v>33</v>
      </c>
      <c r="D10892" s="734">
        <v>137.73623723349431</v>
      </c>
      <c r="E10892" s="733"/>
    </row>
    <row r="10893" spans="2:5">
      <c r="B10893" s="121">
        <v>922</v>
      </c>
      <c r="C10893" s="121">
        <v>34</v>
      </c>
      <c r="D10893" s="734">
        <v>136.00406666336366</v>
      </c>
      <c r="E10893" s="733"/>
    </row>
    <row r="10894" spans="2:5">
      <c r="B10894" s="121">
        <v>922</v>
      </c>
      <c r="C10894" s="121">
        <v>35</v>
      </c>
      <c r="D10894" s="734">
        <v>136.88557207156919</v>
      </c>
      <c r="E10894" s="733"/>
    </row>
    <row r="10895" spans="2:5">
      <c r="B10895" s="121">
        <v>922</v>
      </c>
      <c r="C10895" s="121">
        <v>36</v>
      </c>
      <c r="D10895" s="734">
        <v>139.53048682799326</v>
      </c>
      <c r="E10895" s="733"/>
    </row>
    <row r="10896" spans="2:5">
      <c r="B10896" s="121">
        <v>923</v>
      </c>
      <c r="C10896" s="121">
        <v>1</v>
      </c>
      <c r="D10896" s="734">
        <v>5</v>
      </c>
      <c r="E10896" s="733"/>
    </row>
    <row r="10897" spans="2:5">
      <c r="B10897" s="121">
        <v>923</v>
      </c>
      <c r="C10897" s="121">
        <v>2</v>
      </c>
      <c r="D10897" s="734">
        <v>100.99205576146386</v>
      </c>
      <c r="E10897" s="733"/>
    </row>
    <row r="10898" spans="2:5">
      <c r="B10898" s="121">
        <v>924</v>
      </c>
      <c r="C10898" s="121">
        <v>1</v>
      </c>
      <c r="D10898" s="734">
        <v>5</v>
      </c>
      <c r="E10898" s="733"/>
    </row>
    <row r="10899" spans="2:5">
      <c r="B10899" s="121">
        <v>924</v>
      </c>
      <c r="C10899" s="121">
        <v>2</v>
      </c>
      <c r="D10899" s="734">
        <v>97.058575411130747</v>
      </c>
      <c r="E10899" s="733"/>
    </row>
    <row r="10900" spans="2:5">
      <c r="B10900" s="121">
        <v>924</v>
      </c>
      <c r="C10900" s="121">
        <v>3</v>
      </c>
      <c r="D10900" s="734">
        <v>116.07817863549162</v>
      </c>
      <c r="E10900" s="733"/>
    </row>
    <row r="10901" spans="2:5">
      <c r="B10901" s="121">
        <v>924</v>
      </c>
      <c r="C10901" s="121">
        <v>4</v>
      </c>
      <c r="D10901" s="734">
        <v>134.03534661775609</v>
      </c>
      <c r="E10901" s="733"/>
    </row>
    <row r="10902" spans="2:5">
      <c r="B10902" s="121">
        <v>924</v>
      </c>
      <c r="C10902" s="121">
        <v>5</v>
      </c>
      <c r="D10902" s="734">
        <v>146.09566220169197</v>
      </c>
      <c r="E10902" s="733"/>
    </row>
    <row r="10903" spans="2:5">
      <c r="B10903" s="121">
        <v>924</v>
      </c>
      <c r="C10903" s="121">
        <v>6</v>
      </c>
      <c r="D10903" s="734">
        <v>147.2339452997177</v>
      </c>
      <c r="E10903" s="733"/>
    </row>
    <row r="10904" spans="2:5">
      <c r="B10904" s="121">
        <v>924</v>
      </c>
      <c r="C10904" s="121">
        <v>7</v>
      </c>
      <c r="D10904" s="734">
        <v>138.63748589947295</v>
      </c>
      <c r="E10904" s="733"/>
    </row>
    <row r="10905" spans="2:5">
      <c r="B10905" s="121">
        <v>924</v>
      </c>
      <c r="C10905" s="121">
        <v>8</v>
      </c>
      <c r="D10905" s="734">
        <v>140.65478753329458</v>
      </c>
      <c r="E10905" s="733"/>
    </row>
    <row r="10906" spans="2:5">
      <c r="B10906" s="121">
        <v>925</v>
      </c>
      <c r="C10906" s="121">
        <v>1</v>
      </c>
      <c r="D10906" s="734">
        <v>5</v>
      </c>
      <c r="E10906" s="733"/>
    </row>
    <row r="10907" spans="2:5">
      <c r="B10907" s="121">
        <v>926</v>
      </c>
      <c r="C10907" s="121">
        <v>1</v>
      </c>
      <c r="D10907" s="734">
        <v>5</v>
      </c>
      <c r="E10907" s="733"/>
    </row>
    <row r="10908" spans="2:5">
      <c r="B10908" s="121">
        <v>926</v>
      </c>
      <c r="C10908" s="121">
        <v>2</v>
      </c>
      <c r="D10908" s="734">
        <v>98.036897698600342</v>
      </c>
      <c r="E10908" s="733"/>
    </row>
    <row r="10909" spans="2:5">
      <c r="B10909" s="121">
        <v>926</v>
      </c>
      <c r="C10909" s="121">
        <v>3</v>
      </c>
      <c r="D10909" s="734">
        <v>118.85189946381281</v>
      </c>
      <c r="E10909" s="733"/>
    </row>
    <row r="10910" spans="2:5">
      <c r="B10910" s="121">
        <v>926</v>
      </c>
      <c r="C10910" s="121">
        <v>4</v>
      </c>
      <c r="D10910" s="734">
        <v>144.73956939866133</v>
      </c>
      <c r="E10910" s="733"/>
    </row>
    <row r="10911" spans="2:5">
      <c r="B10911" s="121">
        <v>926</v>
      </c>
      <c r="C10911" s="121">
        <v>5</v>
      </c>
      <c r="D10911" s="734">
        <v>138.84953033504803</v>
      </c>
      <c r="E10911" s="733"/>
    </row>
    <row r="10912" spans="2:5">
      <c r="B10912" s="121">
        <v>926</v>
      </c>
      <c r="C10912" s="121">
        <v>6</v>
      </c>
      <c r="D10912" s="734">
        <v>140.76317503999638</v>
      </c>
      <c r="E10912" s="733"/>
    </row>
    <row r="10913" spans="2:5">
      <c r="B10913" s="121">
        <v>927</v>
      </c>
      <c r="C10913" s="121">
        <v>1</v>
      </c>
      <c r="D10913" s="734">
        <v>5</v>
      </c>
      <c r="E10913" s="733"/>
    </row>
    <row r="10914" spans="2:5">
      <c r="B10914" s="121">
        <v>928</v>
      </c>
      <c r="C10914" s="121">
        <v>1</v>
      </c>
      <c r="D10914" s="734">
        <v>5</v>
      </c>
      <c r="E10914" s="733"/>
    </row>
    <row r="10915" spans="2:5">
      <c r="B10915" s="121">
        <v>928</v>
      </c>
      <c r="C10915" s="121">
        <v>2</v>
      </c>
      <c r="D10915" s="734">
        <v>101.53415167446009</v>
      </c>
      <c r="E10915" s="733"/>
    </row>
    <row r="10916" spans="2:5">
      <c r="B10916" s="121">
        <v>928</v>
      </c>
      <c r="C10916" s="121">
        <v>3</v>
      </c>
      <c r="D10916" s="734">
        <v>125.3043918936236</v>
      </c>
      <c r="E10916" s="733"/>
    </row>
    <row r="10917" spans="2:5">
      <c r="B10917" s="121">
        <v>928</v>
      </c>
      <c r="C10917" s="121">
        <v>4</v>
      </c>
      <c r="D10917" s="734">
        <v>137.69280297734176</v>
      </c>
      <c r="E10917" s="733"/>
    </row>
    <row r="10918" spans="2:5">
      <c r="B10918" s="121">
        <v>928</v>
      </c>
      <c r="C10918" s="121">
        <v>5</v>
      </c>
      <c r="D10918" s="734">
        <v>135.92165613136436</v>
      </c>
      <c r="E10918" s="733"/>
    </row>
    <row r="10919" spans="2:5">
      <c r="B10919" s="121">
        <v>928</v>
      </c>
      <c r="C10919" s="121">
        <v>6</v>
      </c>
      <c r="D10919" s="734">
        <v>136.74662897160579</v>
      </c>
      <c r="E10919" s="733"/>
    </row>
    <row r="10920" spans="2:5">
      <c r="B10920" s="121">
        <v>928</v>
      </c>
      <c r="C10920" s="121">
        <v>7</v>
      </c>
      <c r="D10920" s="734">
        <v>135.7398887420745</v>
      </c>
      <c r="E10920" s="733"/>
    </row>
    <row r="10921" spans="2:5">
      <c r="B10921" s="121">
        <v>928</v>
      </c>
      <c r="C10921" s="121">
        <v>8</v>
      </c>
      <c r="D10921" s="734">
        <v>135.79702027283636</v>
      </c>
      <c r="E10921" s="733"/>
    </row>
    <row r="10922" spans="2:5">
      <c r="B10922" s="121">
        <v>928</v>
      </c>
      <c r="C10922" s="121">
        <v>9</v>
      </c>
      <c r="D10922" s="734">
        <v>145.96107815461022</v>
      </c>
      <c r="E10922" s="733"/>
    </row>
    <row r="10923" spans="2:5">
      <c r="B10923" s="121">
        <v>928</v>
      </c>
      <c r="C10923" s="121">
        <v>10</v>
      </c>
      <c r="D10923" s="734">
        <v>141.78283096560585</v>
      </c>
      <c r="E10923" s="733"/>
    </row>
    <row r="10924" spans="2:5">
      <c r="B10924" s="121">
        <v>928</v>
      </c>
      <c r="C10924" s="121">
        <v>11</v>
      </c>
      <c r="D10924" s="734">
        <v>134.24894842939005</v>
      </c>
      <c r="E10924" s="733"/>
    </row>
    <row r="10925" spans="2:5">
      <c r="B10925" s="121">
        <v>928</v>
      </c>
      <c r="C10925" s="121">
        <v>12</v>
      </c>
      <c r="D10925" s="734">
        <v>142.3798891701789</v>
      </c>
      <c r="E10925" s="733"/>
    </row>
    <row r="10926" spans="2:5">
      <c r="B10926" s="121">
        <v>929</v>
      </c>
      <c r="C10926" s="121">
        <v>1</v>
      </c>
      <c r="D10926" s="734">
        <v>5</v>
      </c>
      <c r="E10926" s="733"/>
    </row>
    <row r="10927" spans="2:5">
      <c r="B10927" s="121">
        <v>929</v>
      </c>
      <c r="C10927" s="121">
        <v>2</v>
      </c>
      <c r="D10927" s="734">
        <v>102.26113599803392</v>
      </c>
      <c r="E10927" s="733"/>
    </row>
    <row r="10928" spans="2:5">
      <c r="B10928" s="121">
        <v>929</v>
      </c>
      <c r="C10928" s="121">
        <v>3</v>
      </c>
      <c r="D10928" s="734">
        <v>125.050851101028</v>
      </c>
      <c r="E10928" s="733"/>
    </row>
    <row r="10929" spans="2:5">
      <c r="B10929" s="121">
        <v>929</v>
      </c>
      <c r="C10929" s="121">
        <v>4</v>
      </c>
      <c r="D10929" s="734">
        <v>141.58726355779348</v>
      </c>
      <c r="E10929" s="733"/>
    </row>
    <row r="10930" spans="2:5">
      <c r="B10930" s="121">
        <v>930</v>
      </c>
      <c r="C10930" s="121">
        <v>1</v>
      </c>
      <c r="D10930" s="734">
        <v>5</v>
      </c>
      <c r="E10930" s="733"/>
    </row>
    <row r="10931" spans="2:5">
      <c r="B10931" s="121">
        <v>930</v>
      </c>
      <c r="C10931" s="121">
        <v>2</v>
      </c>
      <c r="D10931" s="734">
        <v>95.8029994660847</v>
      </c>
      <c r="E10931" s="733"/>
    </row>
    <row r="10932" spans="2:5">
      <c r="B10932" s="121">
        <v>930</v>
      </c>
      <c r="C10932" s="121">
        <v>3</v>
      </c>
      <c r="D10932" s="734">
        <v>118.78888356063962</v>
      </c>
      <c r="E10932" s="733"/>
    </row>
    <row r="10933" spans="2:5">
      <c r="B10933" s="121">
        <v>930</v>
      </c>
      <c r="C10933" s="121">
        <v>4</v>
      </c>
      <c r="D10933" s="734">
        <v>143.06930047472579</v>
      </c>
      <c r="E10933" s="733"/>
    </row>
    <row r="10934" spans="2:5">
      <c r="B10934" s="121">
        <v>930</v>
      </c>
      <c r="C10934" s="121">
        <v>5</v>
      </c>
      <c r="D10934" s="734">
        <v>142.22000824386294</v>
      </c>
      <c r="E10934" s="733"/>
    </row>
    <row r="10935" spans="2:5">
      <c r="B10935" s="121">
        <v>930</v>
      </c>
      <c r="C10935" s="121">
        <v>6</v>
      </c>
      <c r="D10935" s="734">
        <v>137.39390887295659</v>
      </c>
      <c r="E10935" s="733"/>
    </row>
    <row r="10936" spans="2:5">
      <c r="B10936" s="121">
        <v>931</v>
      </c>
      <c r="C10936" s="121">
        <v>1</v>
      </c>
      <c r="D10936" s="734">
        <v>5</v>
      </c>
      <c r="E10936" s="733"/>
    </row>
    <row r="10937" spans="2:5">
      <c r="B10937" s="121">
        <v>932</v>
      </c>
      <c r="C10937" s="121">
        <v>1</v>
      </c>
      <c r="D10937" s="734">
        <v>5</v>
      </c>
      <c r="E10937" s="733"/>
    </row>
    <row r="10938" spans="2:5">
      <c r="B10938" s="121">
        <v>932</v>
      </c>
      <c r="C10938" s="121">
        <v>2</v>
      </c>
      <c r="D10938" s="734">
        <v>96.576947792268442</v>
      </c>
      <c r="E10938" s="733"/>
    </row>
    <row r="10939" spans="2:5">
      <c r="B10939" s="121">
        <v>932</v>
      </c>
      <c r="C10939" s="121">
        <v>3</v>
      </c>
      <c r="D10939" s="734">
        <v>116.88847420825036</v>
      </c>
      <c r="E10939" s="733"/>
    </row>
    <row r="10940" spans="2:5">
      <c r="B10940" s="121">
        <v>933</v>
      </c>
      <c r="C10940" s="121">
        <v>1</v>
      </c>
      <c r="D10940" s="734">
        <v>5</v>
      </c>
      <c r="E10940" s="733"/>
    </row>
    <row r="10941" spans="2:5">
      <c r="B10941" s="121">
        <v>934</v>
      </c>
      <c r="C10941" s="121">
        <v>1</v>
      </c>
      <c r="D10941" s="734">
        <v>5</v>
      </c>
      <c r="E10941" s="733"/>
    </row>
    <row r="10942" spans="2:5">
      <c r="B10942" s="121">
        <v>934</v>
      </c>
      <c r="C10942" s="121">
        <v>2</v>
      </c>
      <c r="D10942" s="734">
        <v>97.049744166601002</v>
      </c>
      <c r="E10942" s="733"/>
    </row>
    <row r="10943" spans="2:5">
      <c r="B10943" s="121">
        <v>934</v>
      </c>
      <c r="C10943" s="121">
        <v>3</v>
      </c>
      <c r="D10943" s="734">
        <v>117.66236106479853</v>
      </c>
      <c r="E10943" s="733"/>
    </row>
    <row r="10944" spans="2:5">
      <c r="B10944" s="121">
        <v>934</v>
      </c>
      <c r="C10944" s="121">
        <v>4</v>
      </c>
      <c r="D10944" s="734">
        <v>140.64037737291775</v>
      </c>
      <c r="E10944" s="733"/>
    </row>
    <row r="10945" spans="2:5">
      <c r="B10945" s="121">
        <v>934</v>
      </c>
      <c r="C10945" s="121">
        <v>5</v>
      </c>
      <c r="D10945" s="734">
        <v>134.75735844185434</v>
      </c>
      <c r="E10945" s="733"/>
    </row>
    <row r="10946" spans="2:5">
      <c r="B10946" s="121">
        <v>934</v>
      </c>
      <c r="C10946" s="121">
        <v>6</v>
      </c>
      <c r="D10946" s="734">
        <v>142.24440072240915</v>
      </c>
      <c r="E10946" s="733"/>
    </row>
    <row r="10947" spans="2:5">
      <c r="B10947" s="121">
        <v>934</v>
      </c>
      <c r="C10947" s="121">
        <v>7</v>
      </c>
      <c r="D10947" s="734">
        <v>141.25228096563967</v>
      </c>
      <c r="E10947" s="733"/>
    </row>
    <row r="10948" spans="2:5">
      <c r="B10948" s="121">
        <v>934</v>
      </c>
      <c r="C10948" s="121">
        <v>8</v>
      </c>
      <c r="D10948" s="734">
        <v>145.91199892922469</v>
      </c>
      <c r="E10948" s="733"/>
    </row>
    <row r="10949" spans="2:5">
      <c r="B10949" s="121">
        <v>934</v>
      </c>
      <c r="C10949" s="121">
        <v>9</v>
      </c>
      <c r="D10949" s="734">
        <v>140.36320881626415</v>
      </c>
      <c r="E10949" s="733"/>
    </row>
    <row r="10950" spans="2:5">
      <c r="B10950" s="121">
        <v>934</v>
      </c>
      <c r="C10950" s="121">
        <v>10</v>
      </c>
      <c r="D10950" s="734">
        <v>135.78159377626423</v>
      </c>
      <c r="E10950" s="733"/>
    </row>
    <row r="10951" spans="2:5">
      <c r="B10951" s="121">
        <v>934</v>
      </c>
      <c r="C10951" s="121">
        <v>11</v>
      </c>
      <c r="D10951" s="734">
        <v>135.49854298748386</v>
      </c>
      <c r="E10951" s="733"/>
    </row>
    <row r="10952" spans="2:5">
      <c r="B10952" s="121">
        <v>934</v>
      </c>
      <c r="C10952" s="121">
        <v>12</v>
      </c>
      <c r="D10952" s="734">
        <v>137.26191216458989</v>
      </c>
      <c r="E10952" s="733"/>
    </row>
    <row r="10953" spans="2:5">
      <c r="B10953" s="121">
        <v>934</v>
      </c>
      <c r="C10953" s="121">
        <v>13</v>
      </c>
      <c r="D10953" s="734">
        <v>136.6897986161247</v>
      </c>
      <c r="E10953" s="733"/>
    </row>
    <row r="10954" spans="2:5">
      <c r="B10954" s="121">
        <v>934</v>
      </c>
      <c r="C10954" s="121">
        <v>14</v>
      </c>
      <c r="D10954" s="734">
        <v>142.70522339683615</v>
      </c>
      <c r="E10954" s="733"/>
    </row>
    <row r="10955" spans="2:5">
      <c r="B10955" s="121">
        <v>934</v>
      </c>
      <c r="C10955" s="121">
        <v>15</v>
      </c>
      <c r="D10955" s="734">
        <v>136.52740704044029</v>
      </c>
      <c r="E10955" s="733"/>
    </row>
    <row r="10956" spans="2:5">
      <c r="B10956" s="121">
        <v>934</v>
      </c>
      <c r="C10956" s="121">
        <v>16</v>
      </c>
      <c r="D10956" s="734">
        <v>138.34096011200506</v>
      </c>
      <c r="E10956" s="733"/>
    </row>
    <row r="10957" spans="2:5">
      <c r="B10957" s="121">
        <v>935</v>
      </c>
      <c r="C10957" s="121">
        <v>1</v>
      </c>
      <c r="D10957" s="734">
        <v>5</v>
      </c>
      <c r="E10957" s="733"/>
    </row>
    <row r="10958" spans="2:5">
      <c r="B10958" s="121">
        <v>935</v>
      </c>
      <c r="C10958" s="121">
        <v>2</v>
      </c>
      <c r="D10958" s="734">
        <v>97.564863564776985</v>
      </c>
      <c r="E10958" s="733"/>
    </row>
    <row r="10959" spans="2:5">
      <c r="B10959" s="121">
        <v>935</v>
      </c>
      <c r="C10959" s="121">
        <v>3</v>
      </c>
      <c r="D10959" s="734">
        <v>122.73343783359174</v>
      </c>
      <c r="E10959" s="733"/>
    </row>
    <row r="10960" spans="2:5">
      <c r="B10960" s="121">
        <v>935</v>
      </c>
      <c r="C10960" s="121">
        <v>4</v>
      </c>
      <c r="D10960" s="734">
        <v>138.74753067851432</v>
      </c>
      <c r="E10960" s="733"/>
    </row>
    <row r="10961" spans="2:5">
      <c r="B10961" s="121">
        <v>935</v>
      </c>
      <c r="C10961" s="121">
        <v>5</v>
      </c>
      <c r="D10961" s="734">
        <v>134.85024481255309</v>
      </c>
      <c r="E10961" s="733"/>
    </row>
    <row r="10962" spans="2:5">
      <c r="B10962" s="121">
        <v>935</v>
      </c>
      <c r="C10962" s="121">
        <v>6</v>
      </c>
      <c r="D10962" s="734">
        <v>146.90920492299816</v>
      </c>
      <c r="E10962" s="733"/>
    </row>
    <row r="10963" spans="2:5">
      <c r="B10963" s="121">
        <v>935</v>
      </c>
      <c r="C10963" s="121">
        <v>7</v>
      </c>
      <c r="D10963" s="734">
        <v>134.47992346909447</v>
      </c>
      <c r="E10963" s="733"/>
    </row>
    <row r="10964" spans="2:5">
      <c r="B10964" s="121">
        <v>935</v>
      </c>
      <c r="C10964" s="121">
        <v>8</v>
      </c>
      <c r="D10964" s="734">
        <v>138.06349370858069</v>
      </c>
      <c r="E10964" s="733"/>
    </row>
    <row r="10965" spans="2:5">
      <c r="B10965" s="121">
        <v>935</v>
      </c>
      <c r="C10965" s="121">
        <v>9</v>
      </c>
      <c r="D10965" s="734">
        <v>141.5796131997196</v>
      </c>
      <c r="E10965" s="733"/>
    </row>
    <row r="10966" spans="2:5">
      <c r="B10966" s="121">
        <v>936</v>
      </c>
      <c r="C10966" s="121">
        <v>1</v>
      </c>
      <c r="D10966" s="734">
        <v>5</v>
      </c>
      <c r="E10966" s="733"/>
    </row>
    <row r="10967" spans="2:5">
      <c r="B10967" s="121">
        <v>936</v>
      </c>
      <c r="C10967" s="121">
        <v>2</v>
      </c>
      <c r="D10967" s="734">
        <v>98.063898515404418</v>
      </c>
      <c r="E10967" s="733"/>
    </row>
    <row r="10968" spans="2:5">
      <c r="B10968" s="121">
        <v>936</v>
      </c>
      <c r="C10968" s="121">
        <v>3</v>
      </c>
      <c r="D10968" s="734">
        <v>120.53434453247534</v>
      </c>
      <c r="E10968" s="733"/>
    </row>
    <row r="10969" spans="2:5">
      <c r="B10969" s="121">
        <v>936</v>
      </c>
      <c r="C10969" s="121">
        <v>4</v>
      </c>
      <c r="D10969" s="734">
        <v>136.4344709511486</v>
      </c>
      <c r="E10969" s="733"/>
    </row>
    <row r="10970" spans="2:5">
      <c r="B10970" s="121">
        <v>936</v>
      </c>
      <c r="C10970" s="121">
        <v>5</v>
      </c>
      <c r="D10970" s="734">
        <v>136.38067158483111</v>
      </c>
      <c r="E10970" s="733"/>
    </row>
    <row r="10971" spans="2:5">
      <c r="B10971" s="121">
        <v>936</v>
      </c>
      <c r="C10971" s="121">
        <v>6</v>
      </c>
      <c r="D10971" s="734">
        <v>142.43771359477569</v>
      </c>
      <c r="E10971" s="733"/>
    </row>
    <row r="10972" spans="2:5">
      <c r="B10972" s="121">
        <v>936</v>
      </c>
      <c r="C10972" s="121">
        <v>7</v>
      </c>
      <c r="D10972" s="734">
        <v>143.9186334256795</v>
      </c>
      <c r="E10972" s="733"/>
    </row>
    <row r="10973" spans="2:5">
      <c r="B10973" s="121">
        <v>936</v>
      </c>
      <c r="C10973" s="121">
        <v>8</v>
      </c>
      <c r="D10973" s="734">
        <v>146.63640578139209</v>
      </c>
      <c r="E10973" s="733"/>
    </row>
    <row r="10974" spans="2:5">
      <c r="B10974" s="121">
        <v>936</v>
      </c>
      <c r="C10974" s="121">
        <v>9</v>
      </c>
      <c r="D10974" s="734">
        <v>133.9340738805069</v>
      </c>
      <c r="E10974" s="733"/>
    </row>
    <row r="10975" spans="2:5">
      <c r="B10975" s="121">
        <v>936</v>
      </c>
      <c r="C10975" s="121">
        <v>10</v>
      </c>
      <c r="D10975" s="734">
        <v>146.79653471755924</v>
      </c>
      <c r="E10975" s="733"/>
    </row>
    <row r="10976" spans="2:5">
      <c r="B10976" s="121">
        <v>936</v>
      </c>
      <c r="C10976" s="121">
        <v>11</v>
      </c>
      <c r="D10976" s="734">
        <v>134.72480397824998</v>
      </c>
      <c r="E10976" s="733"/>
    </row>
    <row r="10977" spans="2:5">
      <c r="B10977" s="121">
        <v>936</v>
      </c>
      <c r="C10977" s="121">
        <v>12</v>
      </c>
      <c r="D10977" s="734">
        <v>141.34004010646646</v>
      </c>
      <c r="E10977" s="733"/>
    </row>
    <row r="10978" spans="2:5">
      <c r="B10978" s="121">
        <v>936</v>
      </c>
      <c r="C10978" s="121">
        <v>13</v>
      </c>
      <c r="D10978" s="734">
        <v>139.7685624489759</v>
      </c>
      <c r="E10978" s="733"/>
    </row>
    <row r="10979" spans="2:5">
      <c r="B10979" s="121">
        <v>936</v>
      </c>
      <c r="C10979" s="121">
        <v>14</v>
      </c>
      <c r="D10979" s="734">
        <v>141.59849968368795</v>
      </c>
      <c r="E10979" s="733"/>
    </row>
    <row r="10980" spans="2:5">
      <c r="B10980" s="121">
        <v>936</v>
      </c>
      <c r="C10980" s="121">
        <v>15</v>
      </c>
      <c r="D10980" s="734">
        <v>134.31234187760367</v>
      </c>
      <c r="E10980" s="733"/>
    </row>
    <row r="10981" spans="2:5">
      <c r="B10981" s="121">
        <v>936</v>
      </c>
      <c r="C10981" s="121">
        <v>16</v>
      </c>
      <c r="D10981" s="734">
        <v>139.22323554369814</v>
      </c>
      <c r="E10981" s="733"/>
    </row>
    <row r="10982" spans="2:5">
      <c r="B10982" s="121">
        <v>936</v>
      </c>
      <c r="C10982" s="121">
        <v>17</v>
      </c>
      <c r="D10982" s="734">
        <v>139.26513155416075</v>
      </c>
      <c r="E10982" s="733"/>
    </row>
    <row r="10983" spans="2:5">
      <c r="B10983" s="121">
        <v>936</v>
      </c>
      <c r="C10983" s="121">
        <v>18</v>
      </c>
      <c r="D10983" s="734">
        <v>143.77639773121382</v>
      </c>
      <c r="E10983" s="733"/>
    </row>
    <row r="10984" spans="2:5">
      <c r="B10984" s="121">
        <v>936</v>
      </c>
      <c r="C10984" s="121">
        <v>19</v>
      </c>
      <c r="D10984" s="734">
        <v>144.68312809421894</v>
      </c>
      <c r="E10984" s="733"/>
    </row>
    <row r="10985" spans="2:5">
      <c r="B10985" s="121">
        <v>936</v>
      </c>
      <c r="C10985" s="121">
        <v>20</v>
      </c>
      <c r="D10985" s="734">
        <v>143.73231314381491</v>
      </c>
      <c r="E10985" s="733"/>
    </row>
    <row r="10986" spans="2:5">
      <c r="B10986" s="121">
        <v>936</v>
      </c>
      <c r="C10986" s="121">
        <v>21</v>
      </c>
      <c r="D10986" s="734">
        <v>142.72177929368357</v>
      </c>
      <c r="E10986" s="733"/>
    </row>
    <row r="10987" spans="2:5">
      <c r="B10987" s="121">
        <v>936</v>
      </c>
      <c r="C10987" s="121">
        <v>22</v>
      </c>
      <c r="D10987" s="734">
        <v>146.77253979721473</v>
      </c>
      <c r="E10987" s="733"/>
    </row>
    <row r="10988" spans="2:5">
      <c r="B10988" s="121">
        <v>936</v>
      </c>
      <c r="C10988" s="121">
        <v>23</v>
      </c>
      <c r="D10988" s="734">
        <v>139.52400416129251</v>
      </c>
      <c r="E10988" s="733"/>
    </row>
    <row r="10989" spans="2:5">
      <c r="B10989" s="121">
        <v>936</v>
      </c>
      <c r="C10989" s="121">
        <v>24</v>
      </c>
      <c r="D10989" s="734">
        <v>142.20483578477962</v>
      </c>
      <c r="E10989" s="733"/>
    </row>
    <row r="10990" spans="2:5">
      <c r="B10990" s="121">
        <v>936</v>
      </c>
      <c r="C10990" s="121">
        <v>25</v>
      </c>
      <c r="D10990" s="734">
        <v>134.7056845716649</v>
      </c>
      <c r="E10990" s="733"/>
    </row>
    <row r="10991" spans="2:5">
      <c r="B10991" s="121">
        <v>936</v>
      </c>
      <c r="C10991" s="121">
        <v>26</v>
      </c>
      <c r="D10991" s="734">
        <v>139.4446697848031</v>
      </c>
      <c r="E10991" s="733"/>
    </row>
    <row r="10992" spans="2:5">
      <c r="B10992" s="121">
        <v>936</v>
      </c>
      <c r="C10992" s="121">
        <v>27</v>
      </c>
      <c r="D10992" s="734">
        <v>135.69400653843149</v>
      </c>
      <c r="E10992" s="733"/>
    </row>
    <row r="10993" spans="2:5">
      <c r="B10993" s="121">
        <v>936</v>
      </c>
      <c r="C10993" s="121">
        <v>28</v>
      </c>
      <c r="D10993" s="734">
        <v>141.04247532830041</v>
      </c>
      <c r="E10993" s="733"/>
    </row>
    <row r="10994" spans="2:5">
      <c r="B10994" s="121">
        <v>936</v>
      </c>
      <c r="C10994" s="121">
        <v>29</v>
      </c>
      <c r="D10994" s="734">
        <v>136.93728118452518</v>
      </c>
      <c r="E10994" s="733"/>
    </row>
    <row r="10995" spans="2:5">
      <c r="B10995" s="121">
        <v>936</v>
      </c>
      <c r="C10995" s="121">
        <v>30</v>
      </c>
      <c r="D10995" s="734">
        <v>142.2087649348598</v>
      </c>
      <c r="E10995" s="733"/>
    </row>
    <row r="10996" spans="2:5">
      <c r="B10996" s="121">
        <v>936</v>
      </c>
      <c r="C10996" s="121">
        <v>31</v>
      </c>
      <c r="D10996" s="734">
        <v>143.75399332887801</v>
      </c>
      <c r="E10996" s="733"/>
    </row>
    <row r="10997" spans="2:5">
      <c r="B10997" s="121">
        <v>936</v>
      </c>
      <c r="C10997" s="121">
        <v>32</v>
      </c>
      <c r="D10997" s="734">
        <v>143.64073192813558</v>
      </c>
      <c r="E10997" s="733"/>
    </row>
    <row r="10998" spans="2:5">
      <c r="B10998" s="121">
        <v>936</v>
      </c>
      <c r="C10998" s="121">
        <v>33</v>
      </c>
      <c r="D10998" s="734">
        <v>145.73977385656079</v>
      </c>
      <c r="E10998" s="733"/>
    </row>
    <row r="10999" spans="2:5">
      <c r="B10999" s="121">
        <v>936</v>
      </c>
      <c r="C10999" s="121">
        <v>34</v>
      </c>
      <c r="D10999" s="734">
        <v>139.42511043433214</v>
      </c>
      <c r="E10999" s="733"/>
    </row>
    <row r="11000" spans="2:5">
      <c r="B11000" s="121">
        <v>936</v>
      </c>
      <c r="C11000" s="121">
        <v>35</v>
      </c>
      <c r="D11000" s="734">
        <v>139.45085340334586</v>
      </c>
      <c r="E11000" s="733"/>
    </row>
    <row r="11001" spans="2:5">
      <c r="B11001" s="121">
        <v>936</v>
      </c>
      <c r="C11001" s="121">
        <v>36</v>
      </c>
      <c r="D11001" s="734">
        <v>139.53383695560586</v>
      </c>
      <c r="E11001" s="733"/>
    </row>
    <row r="11002" spans="2:5">
      <c r="B11002" s="121">
        <v>937</v>
      </c>
      <c r="C11002" s="121">
        <v>1</v>
      </c>
      <c r="D11002" s="734">
        <v>5</v>
      </c>
      <c r="E11002" s="733"/>
    </row>
    <row r="11003" spans="2:5">
      <c r="B11003" s="121">
        <v>937</v>
      </c>
      <c r="C11003" s="121">
        <v>2</v>
      </c>
      <c r="D11003" s="734">
        <v>102.12116639924051</v>
      </c>
      <c r="E11003" s="733"/>
    </row>
    <row r="11004" spans="2:5">
      <c r="B11004" s="121">
        <v>938</v>
      </c>
      <c r="C11004" s="121">
        <v>1</v>
      </c>
      <c r="D11004" s="734">
        <v>5</v>
      </c>
      <c r="E11004" s="733"/>
    </row>
    <row r="11005" spans="2:5">
      <c r="B11005" s="121">
        <v>938</v>
      </c>
      <c r="C11005" s="121">
        <v>2</v>
      </c>
      <c r="D11005" s="734">
        <v>103.14680555455131</v>
      </c>
      <c r="E11005" s="733"/>
    </row>
    <row r="11006" spans="2:5">
      <c r="B11006" s="121">
        <v>938</v>
      </c>
      <c r="C11006" s="121">
        <v>3</v>
      </c>
      <c r="D11006" s="734">
        <v>123.58177073768319</v>
      </c>
      <c r="E11006" s="733"/>
    </row>
    <row r="11007" spans="2:5">
      <c r="B11007" s="121">
        <v>938</v>
      </c>
      <c r="C11007" s="121">
        <v>4</v>
      </c>
      <c r="D11007" s="734">
        <v>145.80348979206408</v>
      </c>
      <c r="E11007" s="733"/>
    </row>
    <row r="11008" spans="2:5">
      <c r="B11008" s="121">
        <v>938</v>
      </c>
      <c r="C11008" s="121">
        <v>5</v>
      </c>
      <c r="D11008" s="734">
        <v>147.23795223545508</v>
      </c>
      <c r="E11008" s="733"/>
    </row>
    <row r="11009" spans="2:5">
      <c r="B11009" s="121">
        <v>938</v>
      </c>
      <c r="C11009" s="121">
        <v>6</v>
      </c>
      <c r="D11009" s="734">
        <v>136.18277243891626</v>
      </c>
      <c r="E11009" s="733"/>
    </row>
    <row r="11010" spans="2:5">
      <c r="B11010" s="121">
        <v>938</v>
      </c>
      <c r="C11010" s="121">
        <v>7</v>
      </c>
      <c r="D11010" s="734">
        <v>135.85030772122875</v>
      </c>
      <c r="E11010" s="733"/>
    </row>
    <row r="11011" spans="2:5">
      <c r="B11011" s="121">
        <v>938</v>
      </c>
      <c r="C11011" s="121">
        <v>8</v>
      </c>
      <c r="D11011" s="734">
        <v>140.48350913494883</v>
      </c>
      <c r="E11011" s="733"/>
    </row>
    <row r="11012" spans="2:5">
      <c r="B11012" s="121">
        <v>938</v>
      </c>
      <c r="C11012" s="121">
        <v>9</v>
      </c>
      <c r="D11012" s="734">
        <v>135.32884048828853</v>
      </c>
      <c r="E11012" s="733"/>
    </row>
    <row r="11013" spans="2:5">
      <c r="B11013" s="121">
        <v>938</v>
      </c>
      <c r="C11013" s="121">
        <v>10</v>
      </c>
      <c r="D11013" s="734">
        <v>146.05605572720071</v>
      </c>
      <c r="E11013" s="733"/>
    </row>
    <row r="11014" spans="2:5">
      <c r="B11014" s="121">
        <v>938</v>
      </c>
      <c r="C11014" s="121">
        <v>11</v>
      </c>
      <c r="D11014" s="734">
        <v>134.58490045763781</v>
      </c>
      <c r="E11014" s="733"/>
    </row>
    <row r="11015" spans="2:5">
      <c r="B11015" s="121">
        <v>938</v>
      </c>
      <c r="C11015" s="121">
        <v>12</v>
      </c>
      <c r="D11015" s="734">
        <v>146.03423318088326</v>
      </c>
      <c r="E11015" s="733"/>
    </row>
    <row r="11016" spans="2:5">
      <c r="B11016" s="121">
        <v>938</v>
      </c>
      <c r="C11016" s="121">
        <v>13</v>
      </c>
      <c r="D11016" s="734">
        <v>141.87110853692687</v>
      </c>
      <c r="E11016" s="733"/>
    </row>
    <row r="11017" spans="2:5">
      <c r="B11017" s="121">
        <v>938</v>
      </c>
      <c r="C11017" s="121">
        <v>14</v>
      </c>
      <c r="D11017" s="734">
        <v>138.28864165179201</v>
      </c>
      <c r="E11017" s="733"/>
    </row>
    <row r="11018" spans="2:5">
      <c r="B11018" s="121">
        <v>938</v>
      </c>
      <c r="C11018" s="121">
        <v>15</v>
      </c>
      <c r="D11018" s="734">
        <v>146.58822784992461</v>
      </c>
      <c r="E11018" s="733"/>
    </row>
    <row r="11019" spans="2:5">
      <c r="B11019" s="121">
        <v>938</v>
      </c>
      <c r="C11019" s="121">
        <v>16</v>
      </c>
      <c r="D11019" s="734">
        <v>144.77606890483875</v>
      </c>
      <c r="E11019" s="733"/>
    </row>
    <row r="11020" spans="2:5">
      <c r="B11020" s="121">
        <v>938</v>
      </c>
      <c r="C11020" s="121">
        <v>17</v>
      </c>
      <c r="D11020" s="734">
        <v>136.20703550474158</v>
      </c>
      <c r="E11020" s="733"/>
    </row>
    <row r="11021" spans="2:5">
      <c r="B11021" s="121">
        <v>938</v>
      </c>
      <c r="C11021" s="121">
        <v>18</v>
      </c>
      <c r="D11021" s="734">
        <v>144.97925948290222</v>
      </c>
      <c r="E11021" s="733"/>
    </row>
    <row r="11022" spans="2:5">
      <c r="B11022" s="121">
        <v>938</v>
      </c>
      <c r="C11022" s="121">
        <v>19</v>
      </c>
      <c r="D11022" s="734">
        <v>144.92209329403286</v>
      </c>
      <c r="E11022" s="733"/>
    </row>
    <row r="11023" spans="2:5">
      <c r="B11023" s="121">
        <v>938</v>
      </c>
      <c r="C11023" s="121">
        <v>20</v>
      </c>
      <c r="D11023" s="734">
        <v>143.02363834657103</v>
      </c>
      <c r="E11023" s="733"/>
    </row>
    <row r="11024" spans="2:5">
      <c r="B11024" s="121">
        <v>938</v>
      </c>
      <c r="C11024" s="121">
        <v>21</v>
      </c>
      <c r="D11024" s="734">
        <v>137.54133791876529</v>
      </c>
      <c r="E11024" s="733"/>
    </row>
    <row r="11025" spans="2:5">
      <c r="B11025" s="121">
        <v>938</v>
      </c>
      <c r="C11025" s="121">
        <v>22</v>
      </c>
      <c r="D11025" s="734">
        <v>142.60444644105064</v>
      </c>
      <c r="E11025" s="733"/>
    </row>
    <row r="11026" spans="2:5">
      <c r="B11026" s="121">
        <v>938</v>
      </c>
      <c r="C11026" s="121">
        <v>23</v>
      </c>
      <c r="D11026" s="734">
        <v>138.74954263997745</v>
      </c>
      <c r="E11026" s="733"/>
    </row>
    <row r="11027" spans="2:5">
      <c r="B11027" s="121">
        <v>938</v>
      </c>
      <c r="C11027" s="121">
        <v>24</v>
      </c>
      <c r="D11027" s="734">
        <v>143.67759399872358</v>
      </c>
      <c r="E11027" s="733"/>
    </row>
    <row r="11028" spans="2:5">
      <c r="B11028" s="121">
        <v>938</v>
      </c>
      <c r="C11028" s="121">
        <v>25</v>
      </c>
      <c r="D11028" s="734">
        <v>137.02933485199978</v>
      </c>
      <c r="E11028" s="733"/>
    </row>
    <row r="11029" spans="2:5">
      <c r="B11029" s="121">
        <v>938</v>
      </c>
      <c r="C11029" s="121">
        <v>26</v>
      </c>
      <c r="D11029" s="734">
        <v>141.85861042802725</v>
      </c>
      <c r="E11029" s="733"/>
    </row>
    <row r="11030" spans="2:5">
      <c r="B11030" s="121">
        <v>938</v>
      </c>
      <c r="C11030" s="121">
        <v>27</v>
      </c>
      <c r="D11030" s="734">
        <v>144.75537955843595</v>
      </c>
      <c r="E11030" s="733"/>
    </row>
    <row r="11031" spans="2:5">
      <c r="B11031" s="121">
        <v>938</v>
      </c>
      <c r="C11031" s="121">
        <v>28</v>
      </c>
      <c r="D11031" s="734">
        <v>145.06477185191488</v>
      </c>
      <c r="E11031" s="733"/>
    </row>
    <row r="11032" spans="2:5">
      <c r="B11032" s="121">
        <v>938</v>
      </c>
      <c r="C11032" s="121">
        <v>29</v>
      </c>
      <c r="D11032" s="734">
        <v>137.24075949055114</v>
      </c>
      <c r="E11032" s="733"/>
    </row>
    <row r="11033" spans="2:5">
      <c r="B11033" s="121">
        <v>938</v>
      </c>
      <c r="C11033" s="121">
        <v>30</v>
      </c>
      <c r="D11033" s="734">
        <v>140.70716380882297</v>
      </c>
      <c r="E11033" s="733"/>
    </row>
    <row r="11034" spans="2:5">
      <c r="B11034" s="121">
        <v>938</v>
      </c>
      <c r="C11034" s="121">
        <v>31</v>
      </c>
      <c r="D11034" s="734">
        <v>140.53680291383455</v>
      </c>
      <c r="E11034" s="733"/>
    </row>
    <row r="11035" spans="2:5">
      <c r="B11035" s="121">
        <v>938</v>
      </c>
      <c r="C11035" s="121">
        <v>32</v>
      </c>
      <c r="D11035" s="734">
        <v>134.38918271955981</v>
      </c>
      <c r="E11035" s="733"/>
    </row>
    <row r="11036" spans="2:5">
      <c r="B11036" s="121">
        <v>938</v>
      </c>
      <c r="C11036" s="121">
        <v>33</v>
      </c>
      <c r="D11036" s="734">
        <v>139.57016315187406</v>
      </c>
      <c r="E11036" s="733"/>
    </row>
    <row r="11037" spans="2:5">
      <c r="B11037" s="121">
        <v>938</v>
      </c>
      <c r="C11037" s="121">
        <v>34</v>
      </c>
      <c r="D11037" s="734">
        <v>137.04204366692886</v>
      </c>
      <c r="E11037" s="733"/>
    </row>
    <row r="11038" spans="2:5">
      <c r="B11038" s="121">
        <v>938</v>
      </c>
      <c r="C11038" s="121">
        <v>35</v>
      </c>
      <c r="D11038" s="734">
        <v>134.05095012249396</v>
      </c>
      <c r="E11038" s="733"/>
    </row>
    <row r="11039" spans="2:5">
      <c r="B11039" s="121">
        <v>938</v>
      </c>
      <c r="C11039" s="121">
        <v>36</v>
      </c>
      <c r="D11039" s="734">
        <v>141.70174351882136</v>
      </c>
      <c r="E11039" s="733"/>
    </row>
    <row r="11040" spans="2:5">
      <c r="B11040" s="121">
        <v>939</v>
      </c>
      <c r="C11040" s="121">
        <v>1</v>
      </c>
      <c r="D11040" s="734">
        <v>5</v>
      </c>
      <c r="E11040" s="733"/>
    </row>
    <row r="11041" spans="2:5">
      <c r="B11041" s="121">
        <v>939</v>
      </c>
      <c r="C11041" s="121">
        <v>2</v>
      </c>
      <c r="D11041" s="734">
        <v>101.35291399908648</v>
      </c>
      <c r="E11041" s="733"/>
    </row>
    <row r="11042" spans="2:5">
      <c r="B11042" s="121">
        <v>939</v>
      </c>
      <c r="C11042" s="121">
        <v>3</v>
      </c>
      <c r="D11042" s="734">
        <v>117.74846940321071</v>
      </c>
      <c r="E11042" s="733"/>
    </row>
    <row r="11043" spans="2:5">
      <c r="B11043" s="121">
        <v>939</v>
      </c>
      <c r="C11043" s="121">
        <v>4</v>
      </c>
      <c r="D11043" s="734">
        <v>140.73002585117274</v>
      </c>
      <c r="E11043" s="733"/>
    </row>
    <row r="11044" spans="2:5">
      <c r="B11044" s="121">
        <v>939</v>
      </c>
      <c r="C11044" s="121">
        <v>5</v>
      </c>
      <c r="D11044" s="734">
        <v>146.74285082575705</v>
      </c>
      <c r="E11044" s="733"/>
    </row>
    <row r="11045" spans="2:5">
      <c r="B11045" s="121">
        <v>939</v>
      </c>
      <c r="C11045" s="121">
        <v>6</v>
      </c>
      <c r="D11045" s="734">
        <v>143.02567709662813</v>
      </c>
      <c r="E11045" s="733"/>
    </row>
    <row r="11046" spans="2:5">
      <c r="B11046" s="121">
        <v>940</v>
      </c>
      <c r="C11046" s="121">
        <v>1</v>
      </c>
      <c r="D11046" s="734">
        <v>5</v>
      </c>
      <c r="E11046" s="733"/>
    </row>
    <row r="11047" spans="2:5">
      <c r="B11047" s="121">
        <v>940</v>
      </c>
      <c r="C11047" s="121">
        <v>2</v>
      </c>
      <c r="D11047" s="734">
        <v>100.07209170519238</v>
      </c>
      <c r="E11047" s="733"/>
    </row>
    <row r="11048" spans="2:5">
      <c r="B11048" s="121">
        <v>940</v>
      </c>
      <c r="C11048" s="121">
        <v>3</v>
      </c>
      <c r="D11048" s="734">
        <v>118.57450965930975</v>
      </c>
      <c r="E11048" s="733"/>
    </row>
    <row r="11049" spans="2:5">
      <c r="B11049" s="121">
        <v>941</v>
      </c>
      <c r="C11049" s="121">
        <v>1</v>
      </c>
      <c r="D11049" s="734">
        <v>5</v>
      </c>
      <c r="E11049" s="733"/>
    </row>
    <row r="11050" spans="2:5">
      <c r="B11050" s="121">
        <v>941</v>
      </c>
      <c r="C11050" s="121">
        <v>2</v>
      </c>
      <c r="D11050" s="734">
        <v>101.173285902101</v>
      </c>
      <c r="E11050" s="733"/>
    </row>
    <row r="11051" spans="2:5">
      <c r="B11051" s="121">
        <v>941</v>
      </c>
      <c r="C11051" s="121">
        <v>3</v>
      </c>
      <c r="D11051" s="734">
        <v>122.97027692552915</v>
      </c>
      <c r="E11051" s="733"/>
    </row>
    <row r="11052" spans="2:5">
      <c r="B11052" s="121">
        <v>941</v>
      </c>
      <c r="C11052" s="121">
        <v>4</v>
      </c>
      <c r="D11052" s="734">
        <v>140.7746038562502</v>
      </c>
      <c r="E11052" s="733"/>
    </row>
    <row r="11053" spans="2:5">
      <c r="B11053" s="121">
        <v>941</v>
      </c>
      <c r="C11053" s="121">
        <v>5</v>
      </c>
      <c r="D11053" s="734">
        <v>141.36676039138712</v>
      </c>
      <c r="E11053" s="733"/>
    </row>
    <row r="11054" spans="2:5">
      <c r="B11054" s="121">
        <v>941</v>
      </c>
      <c r="C11054" s="121">
        <v>6</v>
      </c>
      <c r="D11054" s="734">
        <v>145.73821988028172</v>
      </c>
      <c r="E11054" s="733"/>
    </row>
    <row r="11055" spans="2:5">
      <c r="B11055" s="121">
        <v>941</v>
      </c>
      <c r="C11055" s="121">
        <v>7</v>
      </c>
      <c r="D11055" s="734">
        <v>146.99032336634156</v>
      </c>
      <c r="E11055" s="733"/>
    </row>
    <row r="11056" spans="2:5">
      <c r="B11056" s="121">
        <v>941</v>
      </c>
      <c r="C11056" s="121">
        <v>8</v>
      </c>
      <c r="D11056" s="734">
        <v>143.64558118921568</v>
      </c>
      <c r="E11056" s="733"/>
    </row>
    <row r="11057" spans="2:5">
      <c r="B11057" s="121">
        <v>941</v>
      </c>
      <c r="C11057" s="121">
        <v>9</v>
      </c>
      <c r="D11057" s="734">
        <v>138.57488499332521</v>
      </c>
      <c r="E11057" s="733"/>
    </row>
    <row r="11058" spans="2:5">
      <c r="B11058" s="121">
        <v>941</v>
      </c>
      <c r="C11058" s="121">
        <v>10</v>
      </c>
      <c r="D11058" s="734">
        <v>137.96278018344273</v>
      </c>
      <c r="E11058" s="733"/>
    </row>
    <row r="11059" spans="2:5">
      <c r="B11059" s="121">
        <v>941</v>
      </c>
      <c r="C11059" s="121">
        <v>11</v>
      </c>
      <c r="D11059" s="734">
        <v>135.17185548033058</v>
      </c>
      <c r="E11059" s="733"/>
    </row>
    <row r="11060" spans="2:5">
      <c r="B11060" s="121">
        <v>941</v>
      </c>
      <c r="C11060" s="121">
        <v>12</v>
      </c>
      <c r="D11060" s="734">
        <v>143.79110159572477</v>
      </c>
      <c r="E11060" s="733"/>
    </row>
    <row r="11061" spans="2:5">
      <c r="B11061" s="121">
        <v>941</v>
      </c>
      <c r="C11061" s="121">
        <v>13</v>
      </c>
      <c r="D11061" s="734">
        <v>136.48844796037747</v>
      </c>
      <c r="E11061" s="733"/>
    </row>
    <row r="11062" spans="2:5">
      <c r="B11062" s="121">
        <v>941</v>
      </c>
      <c r="C11062" s="121">
        <v>14</v>
      </c>
      <c r="D11062" s="734">
        <v>138.24982200493494</v>
      </c>
      <c r="E11062" s="733"/>
    </row>
    <row r="11063" spans="2:5">
      <c r="B11063" s="121">
        <v>941</v>
      </c>
      <c r="C11063" s="121">
        <v>15</v>
      </c>
      <c r="D11063" s="734">
        <v>135.95303133301505</v>
      </c>
      <c r="E11063" s="733"/>
    </row>
    <row r="11064" spans="2:5">
      <c r="B11064" s="121">
        <v>941</v>
      </c>
      <c r="C11064" s="121">
        <v>16</v>
      </c>
      <c r="D11064" s="734">
        <v>137.05583714186136</v>
      </c>
      <c r="E11064" s="733"/>
    </row>
    <row r="11065" spans="2:5">
      <c r="B11065" s="121">
        <v>941</v>
      </c>
      <c r="C11065" s="121">
        <v>17</v>
      </c>
      <c r="D11065" s="734">
        <v>146.88065230365541</v>
      </c>
      <c r="E11065" s="733"/>
    </row>
    <row r="11066" spans="2:5">
      <c r="B11066" s="121">
        <v>941</v>
      </c>
      <c r="C11066" s="121">
        <v>18</v>
      </c>
      <c r="D11066" s="734">
        <v>139.55708336969681</v>
      </c>
      <c r="E11066" s="733"/>
    </row>
    <row r="11067" spans="2:5">
      <c r="B11067" s="121">
        <v>941</v>
      </c>
      <c r="C11067" s="121">
        <v>19</v>
      </c>
      <c r="D11067" s="734">
        <v>135.58032423889944</v>
      </c>
      <c r="E11067" s="733"/>
    </row>
    <row r="11068" spans="2:5">
      <c r="B11068" s="121">
        <v>941</v>
      </c>
      <c r="C11068" s="121">
        <v>20</v>
      </c>
      <c r="D11068" s="734">
        <v>139.90883115229562</v>
      </c>
      <c r="E11068" s="733"/>
    </row>
    <row r="11069" spans="2:5">
      <c r="B11069" s="121">
        <v>941</v>
      </c>
      <c r="C11069" s="121">
        <v>21</v>
      </c>
      <c r="D11069" s="734">
        <v>141.75894915438909</v>
      </c>
      <c r="E11069" s="733"/>
    </row>
    <row r="11070" spans="2:5">
      <c r="B11070" s="121">
        <v>941</v>
      </c>
      <c r="C11070" s="121">
        <v>22</v>
      </c>
      <c r="D11070" s="734">
        <v>136.95120605469037</v>
      </c>
      <c r="E11070" s="733"/>
    </row>
    <row r="11071" spans="2:5">
      <c r="B11071" s="121">
        <v>941</v>
      </c>
      <c r="C11071" s="121">
        <v>23</v>
      </c>
      <c r="D11071" s="734">
        <v>141.81365648542553</v>
      </c>
      <c r="E11071" s="733"/>
    </row>
    <row r="11072" spans="2:5">
      <c r="B11072" s="121">
        <v>942</v>
      </c>
      <c r="C11072" s="121">
        <v>1</v>
      </c>
      <c r="D11072" s="734">
        <v>5</v>
      </c>
      <c r="E11072" s="733"/>
    </row>
    <row r="11073" spans="2:5">
      <c r="B11073" s="121">
        <v>942</v>
      </c>
      <c r="C11073" s="121">
        <v>2</v>
      </c>
      <c r="D11073" s="734">
        <v>99.005043853270877</v>
      </c>
      <c r="E11073" s="733"/>
    </row>
    <row r="11074" spans="2:5">
      <c r="B11074" s="121">
        <v>942</v>
      </c>
      <c r="C11074" s="121">
        <v>3</v>
      </c>
      <c r="D11074" s="734">
        <v>117.91981533723798</v>
      </c>
      <c r="E11074" s="733"/>
    </row>
    <row r="11075" spans="2:5">
      <c r="B11075" s="121">
        <v>942</v>
      </c>
      <c r="C11075" s="121">
        <v>4</v>
      </c>
      <c r="D11075" s="734">
        <v>134.94414406077999</v>
      </c>
      <c r="E11075" s="733"/>
    </row>
    <row r="11076" spans="2:5">
      <c r="B11076" s="121">
        <v>942</v>
      </c>
      <c r="C11076" s="121">
        <v>5</v>
      </c>
      <c r="D11076" s="734">
        <v>136.27485242192913</v>
      </c>
      <c r="E11076" s="733"/>
    </row>
    <row r="11077" spans="2:5">
      <c r="B11077" s="121">
        <v>942</v>
      </c>
      <c r="C11077" s="121">
        <v>6</v>
      </c>
      <c r="D11077" s="734">
        <v>140.20866274939436</v>
      </c>
      <c r="E11077" s="733"/>
    </row>
    <row r="11078" spans="2:5">
      <c r="B11078" s="121">
        <v>942</v>
      </c>
      <c r="C11078" s="121">
        <v>7</v>
      </c>
      <c r="D11078" s="734">
        <v>139.91840909822804</v>
      </c>
      <c r="E11078" s="733"/>
    </row>
    <row r="11079" spans="2:5">
      <c r="B11079" s="121">
        <v>942</v>
      </c>
      <c r="C11079" s="121">
        <v>8</v>
      </c>
      <c r="D11079" s="734">
        <v>135.05787667483577</v>
      </c>
      <c r="E11079" s="733"/>
    </row>
    <row r="11080" spans="2:5">
      <c r="B11080" s="121">
        <v>942</v>
      </c>
      <c r="C11080" s="121">
        <v>9</v>
      </c>
      <c r="D11080" s="734">
        <v>137.77179895334839</v>
      </c>
      <c r="E11080" s="733"/>
    </row>
    <row r="11081" spans="2:5">
      <c r="B11081" s="121">
        <v>942</v>
      </c>
      <c r="C11081" s="121">
        <v>10</v>
      </c>
      <c r="D11081" s="734">
        <v>138.73434169624551</v>
      </c>
      <c r="E11081" s="733"/>
    </row>
    <row r="11082" spans="2:5">
      <c r="B11082" s="121">
        <v>942</v>
      </c>
      <c r="C11082" s="121">
        <v>11</v>
      </c>
      <c r="D11082" s="734">
        <v>139.01474762967638</v>
      </c>
      <c r="E11082" s="733"/>
    </row>
    <row r="11083" spans="2:5">
      <c r="B11083" s="121">
        <v>942</v>
      </c>
      <c r="C11083" s="121">
        <v>12</v>
      </c>
      <c r="D11083" s="734">
        <v>136.79722500237898</v>
      </c>
      <c r="E11083" s="733"/>
    </row>
    <row r="11084" spans="2:5">
      <c r="B11084" s="121">
        <v>942</v>
      </c>
      <c r="C11084" s="121">
        <v>13</v>
      </c>
      <c r="D11084" s="734">
        <v>138.74368078081127</v>
      </c>
      <c r="E11084" s="733"/>
    </row>
    <row r="11085" spans="2:5">
      <c r="B11085" s="121">
        <v>942</v>
      </c>
      <c r="C11085" s="121">
        <v>14</v>
      </c>
      <c r="D11085" s="734">
        <v>136.97319332412238</v>
      </c>
      <c r="E11085" s="733"/>
    </row>
    <row r="11086" spans="2:5">
      <c r="B11086" s="121">
        <v>943</v>
      </c>
      <c r="C11086" s="121">
        <v>1</v>
      </c>
      <c r="D11086" s="734">
        <v>5</v>
      </c>
      <c r="E11086" s="733"/>
    </row>
    <row r="11087" spans="2:5">
      <c r="B11087" s="121">
        <v>944</v>
      </c>
      <c r="C11087" s="121">
        <v>1</v>
      </c>
      <c r="D11087" s="734">
        <v>5</v>
      </c>
      <c r="E11087" s="733"/>
    </row>
    <row r="11088" spans="2:5">
      <c r="B11088" s="121">
        <v>944</v>
      </c>
      <c r="C11088" s="121">
        <v>2</v>
      </c>
      <c r="D11088" s="734">
        <v>101.4653665968267</v>
      </c>
      <c r="E11088" s="733"/>
    </row>
    <row r="11089" spans="2:5">
      <c r="B11089" s="121">
        <v>944</v>
      </c>
      <c r="C11089" s="121">
        <v>3</v>
      </c>
      <c r="D11089" s="734">
        <v>124.92844324559816</v>
      </c>
      <c r="E11089" s="733"/>
    </row>
    <row r="11090" spans="2:5">
      <c r="B11090" s="121">
        <v>944</v>
      </c>
      <c r="C11090" s="121">
        <v>4</v>
      </c>
      <c r="D11090" s="734">
        <v>135.73134305349814</v>
      </c>
      <c r="E11090" s="733"/>
    </row>
    <row r="11091" spans="2:5">
      <c r="B11091" s="121">
        <v>944</v>
      </c>
      <c r="C11091" s="121">
        <v>5</v>
      </c>
      <c r="D11091" s="734">
        <v>135.73229799903442</v>
      </c>
      <c r="E11091" s="733"/>
    </row>
    <row r="11092" spans="2:5">
      <c r="B11092" s="121">
        <v>944</v>
      </c>
      <c r="C11092" s="121">
        <v>6</v>
      </c>
      <c r="D11092" s="734">
        <v>137.90628448375563</v>
      </c>
      <c r="E11092" s="733"/>
    </row>
    <row r="11093" spans="2:5">
      <c r="B11093" s="121">
        <v>944</v>
      </c>
      <c r="C11093" s="121">
        <v>7</v>
      </c>
      <c r="D11093" s="734">
        <v>144.92178648731348</v>
      </c>
      <c r="E11093" s="733"/>
    </row>
    <row r="11094" spans="2:5">
      <c r="B11094" s="121">
        <v>944</v>
      </c>
      <c r="C11094" s="121">
        <v>8</v>
      </c>
      <c r="D11094" s="734">
        <v>140.83220610968453</v>
      </c>
      <c r="E11094" s="733"/>
    </row>
    <row r="11095" spans="2:5">
      <c r="B11095" s="121">
        <v>944</v>
      </c>
      <c r="C11095" s="121">
        <v>9</v>
      </c>
      <c r="D11095" s="734">
        <v>138.28372067381977</v>
      </c>
      <c r="E11095" s="733"/>
    </row>
    <row r="11096" spans="2:5">
      <c r="B11096" s="121">
        <v>944</v>
      </c>
      <c r="C11096" s="121">
        <v>10</v>
      </c>
      <c r="D11096" s="734">
        <v>136.75548704114451</v>
      </c>
      <c r="E11096" s="733"/>
    </row>
    <row r="11097" spans="2:5">
      <c r="B11097" s="121">
        <v>944</v>
      </c>
      <c r="C11097" s="121">
        <v>11</v>
      </c>
      <c r="D11097" s="734">
        <v>140.99847306921413</v>
      </c>
      <c r="E11097" s="733"/>
    </row>
    <row r="11098" spans="2:5">
      <c r="B11098" s="121">
        <v>944</v>
      </c>
      <c r="C11098" s="121">
        <v>12</v>
      </c>
      <c r="D11098" s="734">
        <v>134.35140497106721</v>
      </c>
      <c r="E11098" s="733"/>
    </row>
    <row r="11099" spans="2:5">
      <c r="B11099" s="121">
        <v>944</v>
      </c>
      <c r="C11099" s="121">
        <v>13</v>
      </c>
      <c r="D11099" s="734">
        <v>140.41070502239035</v>
      </c>
      <c r="E11099" s="733"/>
    </row>
    <row r="11100" spans="2:5">
      <c r="B11100" s="121">
        <v>944</v>
      </c>
      <c r="C11100" s="121">
        <v>14</v>
      </c>
      <c r="D11100" s="734">
        <v>143.80701701427819</v>
      </c>
      <c r="E11100" s="733"/>
    </row>
    <row r="11101" spans="2:5">
      <c r="B11101" s="121">
        <v>944</v>
      </c>
      <c r="C11101" s="121">
        <v>15</v>
      </c>
      <c r="D11101" s="734">
        <v>138.42676284937539</v>
      </c>
      <c r="E11101" s="733"/>
    </row>
    <row r="11102" spans="2:5">
      <c r="B11102" s="121">
        <v>944</v>
      </c>
      <c r="C11102" s="121">
        <v>16</v>
      </c>
      <c r="D11102" s="734">
        <v>142.74333759474266</v>
      </c>
      <c r="E11102" s="733"/>
    </row>
    <row r="11103" spans="2:5">
      <c r="B11103" s="121">
        <v>944</v>
      </c>
      <c r="C11103" s="121">
        <v>17</v>
      </c>
      <c r="D11103" s="734">
        <v>138.68284848552724</v>
      </c>
      <c r="E11103" s="733"/>
    </row>
    <row r="11104" spans="2:5">
      <c r="B11104" s="121">
        <v>944</v>
      </c>
      <c r="C11104" s="121">
        <v>18</v>
      </c>
      <c r="D11104" s="734">
        <v>144.02086687983677</v>
      </c>
      <c r="E11104" s="733"/>
    </row>
    <row r="11105" spans="2:5">
      <c r="B11105" s="121">
        <v>944</v>
      </c>
      <c r="C11105" s="121">
        <v>19</v>
      </c>
      <c r="D11105" s="734">
        <v>146.8091681764964</v>
      </c>
      <c r="E11105" s="733"/>
    </row>
    <row r="11106" spans="2:5">
      <c r="B11106" s="121">
        <v>944</v>
      </c>
      <c r="C11106" s="121">
        <v>20</v>
      </c>
      <c r="D11106" s="734">
        <v>138.79063437747118</v>
      </c>
      <c r="E11106" s="733"/>
    </row>
    <row r="11107" spans="2:5">
      <c r="B11107" s="121">
        <v>944</v>
      </c>
      <c r="C11107" s="121">
        <v>21</v>
      </c>
      <c r="D11107" s="734">
        <v>140.77727248148804</v>
      </c>
      <c r="E11107" s="733"/>
    </row>
    <row r="11108" spans="2:5">
      <c r="B11108" s="121">
        <v>944</v>
      </c>
      <c r="C11108" s="121">
        <v>22</v>
      </c>
      <c r="D11108" s="734">
        <v>135.32610658612589</v>
      </c>
      <c r="E11108" s="733"/>
    </row>
    <row r="11109" spans="2:5">
      <c r="B11109" s="121">
        <v>944</v>
      </c>
      <c r="C11109" s="121">
        <v>23</v>
      </c>
      <c r="D11109" s="734">
        <v>137.9992699864919</v>
      </c>
      <c r="E11109" s="733"/>
    </row>
    <row r="11110" spans="2:5">
      <c r="B11110" s="121">
        <v>944</v>
      </c>
      <c r="C11110" s="121">
        <v>24</v>
      </c>
      <c r="D11110" s="734">
        <v>144.33752898294526</v>
      </c>
      <c r="E11110" s="733"/>
    </row>
    <row r="11111" spans="2:5">
      <c r="B11111" s="121">
        <v>944</v>
      </c>
      <c r="C11111" s="121">
        <v>25</v>
      </c>
      <c r="D11111" s="734">
        <v>140.37159863524485</v>
      </c>
      <c r="E11111" s="733"/>
    </row>
    <row r="11112" spans="2:5">
      <c r="B11112" s="121">
        <v>944</v>
      </c>
      <c r="C11112" s="121">
        <v>26</v>
      </c>
      <c r="D11112" s="734">
        <v>142.67170836069673</v>
      </c>
      <c r="E11112" s="733"/>
    </row>
    <row r="11113" spans="2:5">
      <c r="B11113" s="121">
        <v>944</v>
      </c>
      <c r="C11113" s="121">
        <v>27</v>
      </c>
      <c r="D11113" s="734">
        <v>146.48707406411066</v>
      </c>
      <c r="E11113" s="733"/>
    </row>
    <row r="11114" spans="2:5">
      <c r="B11114" s="121">
        <v>944</v>
      </c>
      <c r="C11114" s="121">
        <v>28</v>
      </c>
      <c r="D11114" s="734">
        <v>138.74167680245023</v>
      </c>
      <c r="E11114" s="733"/>
    </row>
    <row r="11115" spans="2:5">
      <c r="B11115" s="121">
        <v>944</v>
      </c>
      <c r="C11115" s="121">
        <v>29</v>
      </c>
      <c r="D11115" s="734">
        <v>143.06121779135174</v>
      </c>
      <c r="E11115" s="733"/>
    </row>
    <row r="11116" spans="2:5">
      <c r="B11116" s="121">
        <v>944</v>
      </c>
      <c r="C11116" s="121">
        <v>30</v>
      </c>
      <c r="D11116" s="734">
        <v>141.21257964213405</v>
      </c>
      <c r="E11116" s="733"/>
    </row>
    <row r="11117" spans="2:5">
      <c r="B11117" s="121">
        <v>944</v>
      </c>
      <c r="C11117" s="121">
        <v>31</v>
      </c>
      <c r="D11117" s="734">
        <v>143.93352381533455</v>
      </c>
      <c r="E11117" s="733"/>
    </row>
    <row r="11118" spans="2:5">
      <c r="B11118" s="121">
        <v>944</v>
      </c>
      <c r="C11118" s="121">
        <v>32</v>
      </c>
      <c r="D11118" s="734">
        <v>139.50814063742189</v>
      </c>
      <c r="E11118" s="733"/>
    </row>
    <row r="11119" spans="2:5">
      <c r="B11119" s="121">
        <v>944</v>
      </c>
      <c r="C11119" s="121">
        <v>33</v>
      </c>
      <c r="D11119" s="734">
        <v>134.04830442150416</v>
      </c>
      <c r="E11119" s="733"/>
    </row>
    <row r="11120" spans="2:5">
      <c r="B11120" s="121">
        <v>944</v>
      </c>
      <c r="C11120" s="121">
        <v>34</v>
      </c>
      <c r="D11120" s="734">
        <v>142.5768001998423</v>
      </c>
      <c r="E11120" s="733"/>
    </row>
    <row r="11121" spans="2:5">
      <c r="B11121" s="121">
        <v>944</v>
      </c>
      <c r="C11121" s="121">
        <v>35</v>
      </c>
      <c r="D11121" s="734">
        <v>137.89392487384922</v>
      </c>
      <c r="E11121" s="733"/>
    </row>
    <row r="11122" spans="2:5">
      <c r="B11122" s="121">
        <v>944</v>
      </c>
      <c r="C11122" s="121">
        <v>36</v>
      </c>
      <c r="D11122" s="734">
        <v>134.58812503423701</v>
      </c>
      <c r="E11122" s="733"/>
    </row>
    <row r="11123" spans="2:5">
      <c r="B11123" s="121">
        <v>945</v>
      </c>
      <c r="C11123" s="121">
        <v>1</v>
      </c>
      <c r="D11123" s="734">
        <v>5</v>
      </c>
      <c r="E11123" s="733"/>
    </row>
    <row r="11124" spans="2:5">
      <c r="B11124" s="121">
        <v>946</v>
      </c>
      <c r="C11124" s="121">
        <v>1</v>
      </c>
      <c r="D11124" s="734">
        <v>5</v>
      </c>
      <c r="E11124" s="733"/>
    </row>
    <row r="11125" spans="2:5">
      <c r="B11125" s="121">
        <v>947</v>
      </c>
      <c r="C11125" s="121">
        <v>1</v>
      </c>
      <c r="D11125" s="734">
        <v>5</v>
      </c>
      <c r="E11125" s="733"/>
    </row>
    <row r="11126" spans="2:5">
      <c r="B11126" s="121">
        <v>947</v>
      </c>
      <c r="C11126" s="121">
        <v>2</v>
      </c>
      <c r="D11126" s="734">
        <v>102.15901785727416</v>
      </c>
      <c r="E11126" s="733"/>
    </row>
    <row r="11127" spans="2:5">
      <c r="B11127" s="121">
        <v>947</v>
      </c>
      <c r="C11127" s="121">
        <v>3</v>
      </c>
      <c r="D11127" s="734">
        <v>122.46332996439335</v>
      </c>
      <c r="E11127" s="733"/>
    </row>
    <row r="11128" spans="2:5">
      <c r="B11128" s="121">
        <v>947</v>
      </c>
      <c r="C11128" s="121">
        <v>4</v>
      </c>
      <c r="D11128" s="734">
        <v>142.33420986504993</v>
      </c>
      <c r="E11128" s="733"/>
    </row>
    <row r="11129" spans="2:5">
      <c r="B11129" s="121">
        <v>947</v>
      </c>
      <c r="C11129" s="121">
        <v>5</v>
      </c>
      <c r="D11129" s="734">
        <v>137.40054910032464</v>
      </c>
      <c r="E11129" s="733"/>
    </row>
    <row r="11130" spans="2:5">
      <c r="B11130" s="121">
        <v>947</v>
      </c>
      <c r="C11130" s="121">
        <v>6</v>
      </c>
      <c r="D11130" s="734">
        <v>138.8582305912764</v>
      </c>
      <c r="E11130" s="733"/>
    </row>
    <row r="11131" spans="2:5">
      <c r="B11131" s="121">
        <v>947</v>
      </c>
      <c r="C11131" s="121">
        <v>7</v>
      </c>
      <c r="D11131" s="734">
        <v>141.38503266965853</v>
      </c>
      <c r="E11131" s="733"/>
    </row>
    <row r="11132" spans="2:5">
      <c r="B11132" s="121">
        <v>947</v>
      </c>
      <c r="C11132" s="121">
        <v>8</v>
      </c>
      <c r="D11132" s="734">
        <v>137.36747836311207</v>
      </c>
      <c r="E11132" s="733"/>
    </row>
    <row r="11133" spans="2:5">
      <c r="B11133" s="121">
        <v>947</v>
      </c>
      <c r="C11133" s="121">
        <v>9</v>
      </c>
      <c r="D11133" s="734">
        <v>146.75597349292983</v>
      </c>
      <c r="E11133" s="733"/>
    </row>
    <row r="11134" spans="2:5">
      <c r="B11134" s="121">
        <v>947</v>
      </c>
      <c r="C11134" s="121">
        <v>10</v>
      </c>
      <c r="D11134" s="734">
        <v>142.55240007454356</v>
      </c>
      <c r="E11134" s="733"/>
    </row>
    <row r="11135" spans="2:5">
      <c r="B11135" s="121">
        <v>947</v>
      </c>
      <c r="C11135" s="121">
        <v>11</v>
      </c>
      <c r="D11135" s="734">
        <v>147.03211669723694</v>
      </c>
      <c r="E11135" s="733"/>
    </row>
    <row r="11136" spans="2:5">
      <c r="B11136" s="121">
        <v>947</v>
      </c>
      <c r="C11136" s="121">
        <v>12</v>
      </c>
      <c r="D11136" s="734">
        <v>137.46065279846985</v>
      </c>
      <c r="E11136" s="733"/>
    </row>
    <row r="11137" spans="2:5">
      <c r="B11137" s="121">
        <v>947</v>
      </c>
      <c r="C11137" s="121">
        <v>13</v>
      </c>
      <c r="D11137" s="734">
        <v>141.67196689826275</v>
      </c>
      <c r="E11137" s="733"/>
    </row>
    <row r="11138" spans="2:5">
      <c r="B11138" s="121">
        <v>947</v>
      </c>
      <c r="C11138" s="121">
        <v>14</v>
      </c>
      <c r="D11138" s="734">
        <v>142.71377412229367</v>
      </c>
      <c r="E11138" s="733"/>
    </row>
    <row r="11139" spans="2:5">
      <c r="B11139" s="121">
        <v>947</v>
      </c>
      <c r="C11139" s="121">
        <v>15</v>
      </c>
      <c r="D11139" s="734">
        <v>143.76104616042593</v>
      </c>
      <c r="E11139" s="733"/>
    </row>
    <row r="11140" spans="2:5">
      <c r="B11140" s="121">
        <v>947</v>
      </c>
      <c r="C11140" s="121">
        <v>16</v>
      </c>
      <c r="D11140" s="734">
        <v>142.88431850141598</v>
      </c>
      <c r="E11140" s="733"/>
    </row>
    <row r="11141" spans="2:5">
      <c r="B11141" s="121">
        <v>948</v>
      </c>
      <c r="C11141" s="121">
        <v>1</v>
      </c>
      <c r="D11141" s="734">
        <v>5</v>
      </c>
      <c r="E11141" s="733"/>
    </row>
    <row r="11142" spans="2:5">
      <c r="B11142" s="121">
        <v>948</v>
      </c>
      <c r="C11142" s="121">
        <v>2</v>
      </c>
      <c r="D11142" s="734">
        <v>100.8584864156614</v>
      </c>
      <c r="E11142" s="733"/>
    </row>
    <row r="11143" spans="2:5">
      <c r="B11143" s="121">
        <v>948</v>
      </c>
      <c r="C11143" s="121">
        <v>3</v>
      </c>
      <c r="D11143" s="734">
        <v>123.14625811107135</v>
      </c>
      <c r="E11143" s="733"/>
    </row>
    <row r="11144" spans="2:5">
      <c r="B11144" s="121">
        <v>948</v>
      </c>
      <c r="C11144" s="121">
        <v>4</v>
      </c>
      <c r="D11144" s="734">
        <v>139.21867481154476</v>
      </c>
      <c r="E11144" s="733"/>
    </row>
    <row r="11145" spans="2:5">
      <c r="B11145" s="121">
        <v>948</v>
      </c>
      <c r="C11145" s="121">
        <v>5</v>
      </c>
      <c r="D11145" s="734">
        <v>137.75408568274676</v>
      </c>
      <c r="E11145" s="733"/>
    </row>
    <row r="11146" spans="2:5">
      <c r="B11146" s="121">
        <v>948</v>
      </c>
      <c r="C11146" s="121">
        <v>6</v>
      </c>
      <c r="D11146" s="734">
        <v>145.7515008325212</v>
      </c>
      <c r="E11146" s="733"/>
    </row>
    <row r="11147" spans="2:5">
      <c r="B11147" s="121">
        <v>948</v>
      </c>
      <c r="C11147" s="121">
        <v>7</v>
      </c>
      <c r="D11147" s="734">
        <v>135.35431442468217</v>
      </c>
      <c r="E11147" s="733"/>
    </row>
    <row r="11148" spans="2:5">
      <c r="B11148" s="121">
        <v>948</v>
      </c>
      <c r="C11148" s="121">
        <v>8</v>
      </c>
      <c r="D11148" s="734">
        <v>142.31589001973856</v>
      </c>
      <c r="E11148" s="733"/>
    </row>
    <row r="11149" spans="2:5">
      <c r="B11149" s="121">
        <v>948</v>
      </c>
      <c r="C11149" s="121">
        <v>9</v>
      </c>
      <c r="D11149" s="734">
        <v>143.53042888941746</v>
      </c>
      <c r="E11149" s="733"/>
    </row>
    <row r="11150" spans="2:5">
      <c r="B11150" s="121">
        <v>948</v>
      </c>
      <c r="C11150" s="121">
        <v>10</v>
      </c>
      <c r="D11150" s="734">
        <v>135.19294247135673</v>
      </c>
      <c r="E11150" s="733"/>
    </row>
    <row r="11151" spans="2:5">
      <c r="B11151" s="121">
        <v>948</v>
      </c>
      <c r="C11151" s="121">
        <v>11</v>
      </c>
      <c r="D11151" s="734">
        <v>145.03788966363391</v>
      </c>
      <c r="E11151" s="733"/>
    </row>
    <row r="11152" spans="2:5">
      <c r="B11152" s="121">
        <v>948</v>
      </c>
      <c r="C11152" s="121">
        <v>12</v>
      </c>
      <c r="D11152" s="734">
        <v>136.52706542857936</v>
      </c>
      <c r="E11152" s="733"/>
    </row>
    <row r="11153" spans="2:5">
      <c r="B11153" s="121">
        <v>948</v>
      </c>
      <c r="C11153" s="121">
        <v>13</v>
      </c>
      <c r="D11153" s="734">
        <v>134.91835894646002</v>
      </c>
      <c r="E11153" s="733"/>
    </row>
    <row r="11154" spans="2:5">
      <c r="B11154" s="121">
        <v>948</v>
      </c>
      <c r="C11154" s="121">
        <v>14</v>
      </c>
      <c r="D11154" s="734">
        <v>147.10429276641517</v>
      </c>
      <c r="E11154" s="733"/>
    </row>
    <row r="11155" spans="2:5">
      <c r="B11155" s="121">
        <v>948</v>
      </c>
      <c r="C11155" s="121">
        <v>15</v>
      </c>
      <c r="D11155" s="734">
        <v>134.8215190116091</v>
      </c>
      <c r="E11155" s="733"/>
    </row>
    <row r="11156" spans="2:5">
      <c r="B11156" s="121">
        <v>948</v>
      </c>
      <c r="C11156" s="121">
        <v>16</v>
      </c>
      <c r="D11156" s="734">
        <v>136.2015823789032</v>
      </c>
      <c r="E11156" s="733"/>
    </row>
    <row r="11157" spans="2:5">
      <c r="B11157" s="121">
        <v>948</v>
      </c>
      <c r="C11157" s="121">
        <v>17</v>
      </c>
      <c r="D11157" s="734">
        <v>138.9772580307378</v>
      </c>
      <c r="E11157" s="733"/>
    </row>
    <row r="11158" spans="2:5">
      <c r="B11158" s="121">
        <v>948</v>
      </c>
      <c r="C11158" s="121">
        <v>18</v>
      </c>
      <c r="D11158" s="734">
        <v>145.65956695854328</v>
      </c>
      <c r="E11158" s="733"/>
    </row>
    <row r="11159" spans="2:5">
      <c r="B11159" s="121">
        <v>948</v>
      </c>
      <c r="C11159" s="121">
        <v>19</v>
      </c>
      <c r="D11159" s="734">
        <v>142.08627266780437</v>
      </c>
      <c r="E11159" s="733"/>
    </row>
    <row r="11160" spans="2:5">
      <c r="B11160" s="121">
        <v>948</v>
      </c>
      <c r="C11160" s="121">
        <v>20</v>
      </c>
      <c r="D11160" s="734">
        <v>146.52645700856218</v>
      </c>
      <c r="E11160" s="733"/>
    </row>
    <row r="11161" spans="2:5">
      <c r="B11161" s="121">
        <v>948</v>
      </c>
      <c r="C11161" s="121">
        <v>21</v>
      </c>
      <c r="D11161" s="734">
        <v>142.76341182557599</v>
      </c>
      <c r="E11161" s="733"/>
    </row>
    <row r="11162" spans="2:5">
      <c r="B11162" s="121">
        <v>948</v>
      </c>
      <c r="C11162" s="121">
        <v>22</v>
      </c>
      <c r="D11162" s="734">
        <v>135.04533813754711</v>
      </c>
      <c r="E11162" s="733"/>
    </row>
    <row r="11163" spans="2:5">
      <c r="B11163" s="121">
        <v>948</v>
      </c>
      <c r="C11163" s="121">
        <v>23</v>
      </c>
      <c r="D11163" s="734">
        <v>143.85298872543822</v>
      </c>
      <c r="E11163" s="733"/>
    </row>
    <row r="11164" spans="2:5">
      <c r="B11164" s="121">
        <v>948</v>
      </c>
      <c r="C11164" s="121">
        <v>24</v>
      </c>
      <c r="D11164" s="734">
        <v>138.76894106075559</v>
      </c>
      <c r="E11164" s="733"/>
    </row>
    <row r="11165" spans="2:5">
      <c r="B11165" s="121">
        <v>948</v>
      </c>
      <c r="C11165" s="121">
        <v>25</v>
      </c>
      <c r="D11165" s="734">
        <v>137.05508760923169</v>
      </c>
      <c r="E11165" s="733"/>
    </row>
    <row r="11166" spans="2:5">
      <c r="B11166" s="121">
        <v>948</v>
      </c>
      <c r="C11166" s="121">
        <v>26</v>
      </c>
      <c r="D11166" s="734">
        <v>137.6281568699419</v>
      </c>
      <c r="E11166" s="733"/>
    </row>
    <row r="11167" spans="2:5">
      <c r="B11167" s="121">
        <v>948</v>
      </c>
      <c r="C11167" s="121">
        <v>27</v>
      </c>
      <c r="D11167" s="734">
        <v>137.98515597614028</v>
      </c>
      <c r="E11167" s="733"/>
    </row>
    <row r="11168" spans="2:5">
      <c r="B11168" s="121">
        <v>948</v>
      </c>
      <c r="C11168" s="121">
        <v>28</v>
      </c>
      <c r="D11168" s="734">
        <v>145.88130817657139</v>
      </c>
      <c r="E11168" s="733"/>
    </row>
    <row r="11169" spans="2:5">
      <c r="B11169" s="121">
        <v>948</v>
      </c>
      <c r="C11169" s="121">
        <v>29</v>
      </c>
      <c r="D11169" s="734">
        <v>137.35973066947636</v>
      </c>
      <c r="E11169" s="733"/>
    </row>
    <row r="11170" spans="2:5">
      <c r="B11170" s="121">
        <v>948</v>
      </c>
      <c r="C11170" s="121">
        <v>30</v>
      </c>
      <c r="D11170" s="734">
        <v>139.75274290150179</v>
      </c>
      <c r="E11170" s="733"/>
    </row>
    <row r="11171" spans="2:5">
      <c r="B11171" s="121">
        <v>948</v>
      </c>
      <c r="C11171" s="121">
        <v>31</v>
      </c>
      <c r="D11171" s="734">
        <v>139.65521427714714</v>
      </c>
      <c r="E11171" s="733"/>
    </row>
    <row r="11172" spans="2:5">
      <c r="B11172" s="121">
        <v>948</v>
      </c>
      <c r="C11172" s="121">
        <v>32</v>
      </c>
      <c r="D11172" s="734">
        <v>137.59660206797943</v>
      </c>
      <c r="E11172" s="733"/>
    </row>
    <row r="11173" spans="2:5">
      <c r="B11173" s="121">
        <v>948</v>
      </c>
      <c r="C11173" s="121">
        <v>33</v>
      </c>
      <c r="D11173" s="734">
        <v>144.2543149065452</v>
      </c>
      <c r="E11173" s="733"/>
    </row>
    <row r="11174" spans="2:5">
      <c r="B11174" s="121">
        <v>948</v>
      </c>
      <c r="C11174" s="121">
        <v>34</v>
      </c>
      <c r="D11174" s="734">
        <v>136.40157686292258</v>
      </c>
      <c r="E11174" s="733"/>
    </row>
    <row r="11175" spans="2:5">
      <c r="B11175" s="121">
        <v>948</v>
      </c>
      <c r="C11175" s="121">
        <v>35</v>
      </c>
      <c r="D11175" s="734">
        <v>141.72941834670308</v>
      </c>
      <c r="E11175" s="733"/>
    </row>
    <row r="11176" spans="2:5">
      <c r="B11176" s="121">
        <v>948</v>
      </c>
      <c r="C11176" s="121">
        <v>36</v>
      </c>
      <c r="D11176" s="734">
        <v>138.59033165088229</v>
      </c>
      <c r="E11176" s="733"/>
    </row>
    <row r="11177" spans="2:5">
      <c r="B11177" s="121">
        <v>949</v>
      </c>
      <c r="C11177" s="121">
        <v>1</v>
      </c>
      <c r="D11177" s="734">
        <v>5</v>
      </c>
      <c r="E11177" s="733"/>
    </row>
    <row r="11178" spans="2:5">
      <c r="B11178" s="121">
        <v>949</v>
      </c>
      <c r="C11178" s="121">
        <v>2</v>
      </c>
      <c r="D11178" s="734">
        <v>102.72891682198653</v>
      </c>
      <c r="E11178" s="733"/>
    </row>
    <row r="11179" spans="2:5">
      <c r="B11179" s="121">
        <v>949</v>
      </c>
      <c r="C11179" s="121">
        <v>3</v>
      </c>
      <c r="D11179" s="734">
        <v>121.2623204473142</v>
      </c>
      <c r="E11179" s="733"/>
    </row>
    <row r="11180" spans="2:5">
      <c r="B11180" s="121">
        <v>949</v>
      </c>
      <c r="C11180" s="121">
        <v>4</v>
      </c>
      <c r="D11180" s="734">
        <v>142.96593574603375</v>
      </c>
      <c r="E11180" s="733"/>
    </row>
    <row r="11181" spans="2:5">
      <c r="B11181" s="121">
        <v>950</v>
      </c>
      <c r="C11181" s="121">
        <v>1</v>
      </c>
      <c r="D11181" s="734">
        <v>5</v>
      </c>
      <c r="E11181" s="733"/>
    </row>
    <row r="11182" spans="2:5">
      <c r="B11182" s="121">
        <v>950</v>
      </c>
      <c r="C11182" s="121">
        <v>2</v>
      </c>
      <c r="D11182" s="734">
        <v>101.94841499766454</v>
      </c>
      <c r="E11182" s="733"/>
    </row>
    <row r="11183" spans="2:5">
      <c r="B11183" s="121">
        <v>950</v>
      </c>
      <c r="C11183" s="121">
        <v>3</v>
      </c>
      <c r="D11183" s="734">
        <v>122.16018244054924</v>
      </c>
      <c r="E11183" s="733"/>
    </row>
    <row r="11184" spans="2:5">
      <c r="B11184" s="121">
        <v>950</v>
      </c>
      <c r="C11184" s="121">
        <v>4</v>
      </c>
      <c r="D11184" s="734">
        <v>144.24419792951812</v>
      </c>
      <c r="E11184" s="733"/>
    </row>
    <row r="11185" spans="2:5">
      <c r="B11185" s="121">
        <v>950</v>
      </c>
      <c r="C11185" s="121">
        <v>5</v>
      </c>
      <c r="D11185" s="734">
        <v>143.57250781777617</v>
      </c>
      <c r="E11185" s="733"/>
    </row>
    <row r="11186" spans="2:5">
      <c r="B11186" s="121">
        <v>950</v>
      </c>
      <c r="C11186" s="121">
        <v>6</v>
      </c>
      <c r="D11186" s="734">
        <v>140.6724337100701</v>
      </c>
      <c r="E11186" s="733"/>
    </row>
    <row r="11187" spans="2:5">
      <c r="B11187" s="121">
        <v>950</v>
      </c>
      <c r="C11187" s="121">
        <v>7</v>
      </c>
      <c r="D11187" s="734">
        <v>146.73297944661607</v>
      </c>
      <c r="E11187" s="733"/>
    </row>
    <row r="11188" spans="2:5">
      <c r="B11188" s="121">
        <v>950</v>
      </c>
      <c r="C11188" s="121">
        <v>8</v>
      </c>
      <c r="D11188" s="734">
        <v>142.89216423599331</v>
      </c>
      <c r="E11188" s="733"/>
    </row>
    <row r="11189" spans="2:5">
      <c r="B11189" s="121">
        <v>951</v>
      </c>
      <c r="C11189" s="121">
        <v>1</v>
      </c>
      <c r="D11189" s="734">
        <v>5</v>
      </c>
      <c r="E11189" s="733"/>
    </row>
    <row r="11190" spans="2:5">
      <c r="B11190" s="121">
        <v>952</v>
      </c>
      <c r="C11190" s="121">
        <v>1</v>
      </c>
      <c r="D11190" s="734">
        <v>5</v>
      </c>
      <c r="E11190" s="733"/>
    </row>
    <row r="11191" spans="2:5">
      <c r="B11191" s="121">
        <v>952</v>
      </c>
      <c r="C11191" s="121">
        <v>2</v>
      </c>
      <c r="D11191" s="734">
        <v>101.24371953053262</v>
      </c>
      <c r="E11191" s="733"/>
    </row>
    <row r="11192" spans="2:5">
      <c r="B11192" s="121">
        <v>952</v>
      </c>
      <c r="C11192" s="121">
        <v>3</v>
      </c>
      <c r="D11192" s="734">
        <v>122.46914456533665</v>
      </c>
      <c r="E11192" s="733"/>
    </row>
    <row r="11193" spans="2:5">
      <c r="B11193" s="121">
        <v>952</v>
      </c>
      <c r="C11193" s="121">
        <v>4</v>
      </c>
      <c r="D11193" s="734">
        <v>134.61974705801637</v>
      </c>
      <c r="E11193" s="733"/>
    </row>
    <row r="11194" spans="2:5">
      <c r="B11194" s="121">
        <v>952</v>
      </c>
      <c r="C11194" s="121">
        <v>5</v>
      </c>
      <c r="D11194" s="734">
        <v>142.22443020213458</v>
      </c>
      <c r="E11194" s="733"/>
    </row>
    <row r="11195" spans="2:5">
      <c r="B11195" s="121">
        <v>952</v>
      </c>
      <c r="C11195" s="121">
        <v>6</v>
      </c>
      <c r="D11195" s="734">
        <v>146.94363405501073</v>
      </c>
      <c r="E11195" s="733"/>
    </row>
    <row r="11196" spans="2:5">
      <c r="B11196" s="121">
        <v>952</v>
      </c>
      <c r="C11196" s="121">
        <v>7</v>
      </c>
      <c r="D11196" s="734">
        <v>141.93502052804874</v>
      </c>
      <c r="E11196" s="733"/>
    </row>
    <row r="11197" spans="2:5">
      <c r="B11197" s="121">
        <v>952</v>
      </c>
      <c r="C11197" s="121">
        <v>8</v>
      </c>
      <c r="D11197" s="734">
        <v>139.86748679333246</v>
      </c>
      <c r="E11197" s="733"/>
    </row>
    <row r="11198" spans="2:5">
      <c r="B11198" s="121">
        <v>952</v>
      </c>
      <c r="C11198" s="121">
        <v>9</v>
      </c>
      <c r="D11198" s="734">
        <v>141.23428851280894</v>
      </c>
      <c r="E11198" s="733"/>
    </row>
    <row r="11199" spans="2:5">
      <c r="B11199" s="121">
        <v>952</v>
      </c>
      <c r="C11199" s="121">
        <v>10</v>
      </c>
      <c r="D11199" s="734">
        <v>143.92353000611428</v>
      </c>
      <c r="E11199" s="733"/>
    </row>
    <row r="11200" spans="2:5">
      <c r="B11200" s="121">
        <v>952</v>
      </c>
      <c r="C11200" s="121">
        <v>11</v>
      </c>
      <c r="D11200" s="734">
        <v>143.68472103744278</v>
      </c>
      <c r="E11200" s="733"/>
    </row>
    <row r="11201" spans="2:5">
      <c r="B11201" s="121">
        <v>952</v>
      </c>
      <c r="C11201" s="121">
        <v>12</v>
      </c>
      <c r="D11201" s="734">
        <v>137.82967904951582</v>
      </c>
      <c r="E11201" s="733"/>
    </row>
    <row r="11202" spans="2:5">
      <c r="B11202" s="121">
        <v>952</v>
      </c>
      <c r="C11202" s="121">
        <v>13</v>
      </c>
      <c r="D11202" s="734">
        <v>136.76325305774265</v>
      </c>
      <c r="E11202" s="733"/>
    </row>
    <row r="11203" spans="2:5">
      <c r="B11203" s="121">
        <v>952</v>
      </c>
      <c r="C11203" s="121">
        <v>14</v>
      </c>
      <c r="D11203" s="734">
        <v>140.58300462937422</v>
      </c>
      <c r="E11203" s="733"/>
    </row>
    <row r="11204" spans="2:5">
      <c r="B11204" s="121">
        <v>952</v>
      </c>
      <c r="C11204" s="121">
        <v>15</v>
      </c>
      <c r="D11204" s="734">
        <v>136.32224481746434</v>
      </c>
      <c r="E11204" s="733"/>
    </row>
    <row r="11205" spans="2:5">
      <c r="B11205" s="121">
        <v>952</v>
      </c>
      <c r="C11205" s="121">
        <v>16</v>
      </c>
      <c r="D11205" s="734">
        <v>136.45316664672595</v>
      </c>
      <c r="E11205" s="733"/>
    </row>
    <row r="11206" spans="2:5">
      <c r="B11206" s="121">
        <v>952</v>
      </c>
      <c r="C11206" s="121">
        <v>17</v>
      </c>
      <c r="D11206" s="734">
        <v>141.89528317226643</v>
      </c>
      <c r="E11206" s="733"/>
    </row>
    <row r="11207" spans="2:5">
      <c r="B11207" s="121">
        <v>952</v>
      </c>
      <c r="C11207" s="121">
        <v>18</v>
      </c>
      <c r="D11207" s="734">
        <v>141.4594191096769</v>
      </c>
      <c r="E11207" s="733"/>
    </row>
    <row r="11208" spans="2:5">
      <c r="B11208" s="121">
        <v>952</v>
      </c>
      <c r="C11208" s="121">
        <v>19</v>
      </c>
      <c r="D11208" s="734">
        <v>145.806434146014</v>
      </c>
      <c r="E11208" s="733"/>
    </row>
    <row r="11209" spans="2:5">
      <c r="B11209" s="121">
        <v>952</v>
      </c>
      <c r="C11209" s="121">
        <v>20</v>
      </c>
      <c r="D11209" s="734">
        <v>139.61603396313819</v>
      </c>
      <c r="E11209" s="733"/>
    </row>
    <row r="11210" spans="2:5">
      <c r="B11210" s="121">
        <v>953</v>
      </c>
      <c r="C11210" s="121">
        <v>1</v>
      </c>
      <c r="D11210" s="734">
        <v>5</v>
      </c>
      <c r="E11210" s="733"/>
    </row>
    <row r="11211" spans="2:5">
      <c r="B11211" s="121">
        <v>953</v>
      </c>
      <c r="C11211" s="121">
        <v>2</v>
      </c>
      <c r="D11211" s="734">
        <v>99.179312040718031</v>
      </c>
      <c r="E11211" s="733"/>
    </row>
    <row r="11212" spans="2:5">
      <c r="B11212" s="121">
        <v>953</v>
      </c>
      <c r="C11212" s="121">
        <v>3</v>
      </c>
      <c r="D11212" s="734">
        <v>120.9391948482195</v>
      </c>
      <c r="E11212" s="733"/>
    </row>
    <row r="11213" spans="2:5">
      <c r="B11213" s="121">
        <v>953</v>
      </c>
      <c r="C11213" s="121">
        <v>4</v>
      </c>
      <c r="D11213" s="734">
        <v>146.45970324119119</v>
      </c>
      <c r="E11213" s="733"/>
    </row>
    <row r="11214" spans="2:5">
      <c r="B11214" s="121">
        <v>953</v>
      </c>
      <c r="C11214" s="121">
        <v>5</v>
      </c>
      <c r="D11214" s="734">
        <v>136.83568380213063</v>
      </c>
      <c r="E11214" s="733"/>
    </row>
    <row r="11215" spans="2:5">
      <c r="B11215" s="121">
        <v>953</v>
      </c>
      <c r="C11215" s="121">
        <v>6</v>
      </c>
      <c r="D11215" s="734">
        <v>137.47199470130104</v>
      </c>
      <c r="E11215" s="733"/>
    </row>
    <row r="11216" spans="2:5">
      <c r="B11216" s="121">
        <v>954</v>
      </c>
      <c r="C11216" s="121">
        <v>1</v>
      </c>
      <c r="D11216" s="734">
        <v>5</v>
      </c>
      <c r="E11216" s="733"/>
    </row>
    <row r="11217" spans="2:5">
      <c r="B11217" s="121">
        <v>954</v>
      </c>
      <c r="C11217" s="121">
        <v>2</v>
      </c>
      <c r="D11217" s="734">
        <v>96.680782728013455</v>
      </c>
      <c r="E11217" s="733"/>
    </row>
    <row r="11218" spans="2:5">
      <c r="B11218" s="121">
        <v>955</v>
      </c>
      <c r="C11218" s="121">
        <v>1</v>
      </c>
      <c r="D11218" s="734">
        <v>5</v>
      </c>
      <c r="E11218" s="733"/>
    </row>
    <row r="11219" spans="2:5">
      <c r="B11219" s="121">
        <v>955</v>
      </c>
      <c r="C11219" s="121">
        <v>2</v>
      </c>
      <c r="D11219" s="734">
        <v>99.99369858587103</v>
      </c>
      <c r="E11219" s="733"/>
    </row>
    <row r="11220" spans="2:5">
      <c r="B11220" s="121">
        <v>955</v>
      </c>
      <c r="C11220" s="121">
        <v>3</v>
      </c>
      <c r="D11220" s="734">
        <v>117.60996220053468</v>
      </c>
      <c r="E11220" s="733"/>
    </row>
    <row r="11221" spans="2:5">
      <c r="B11221" s="121">
        <v>955</v>
      </c>
      <c r="C11221" s="121">
        <v>4</v>
      </c>
      <c r="D11221" s="734">
        <v>139.96082436405146</v>
      </c>
      <c r="E11221" s="733"/>
    </row>
    <row r="11222" spans="2:5">
      <c r="B11222" s="121">
        <v>955</v>
      </c>
      <c r="C11222" s="121">
        <v>5</v>
      </c>
      <c r="D11222" s="734">
        <v>139.48497603320394</v>
      </c>
      <c r="E11222" s="733"/>
    </row>
    <row r="11223" spans="2:5">
      <c r="B11223" s="121">
        <v>955</v>
      </c>
      <c r="C11223" s="121">
        <v>6</v>
      </c>
      <c r="D11223" s="734">
        <v>146.59545675473652</v>
      </c>
      <c r="E11223" s="733"/>
    </row>
    <row r="11224" spans="2:5">
      <c r="B11224" s="121">
        <v>955</v>
      </c>
      <c r="C11224" s="121">
        <v>7</v>
      </c>
      <c r="D11224" s="734">
        <v>144.06582277013499</v>
      </c>
      <c r="E11224" s="733"/>
    </row>
    <row r="11225" spans="2:5">
      <c r="B11225" s="121">
        <v>955</v>
      </c>
      <c r="C11225" s="121">
        <v>8</v>
      </c>
      <c r="D11225" s="734">
        <v>145.42923704142865</v>
      </c>
      <c r="E11225" s="733"/>
    </row>
    <row r="11226" spans="2:5">
      <c r="B11226" s="121">
        <v>956</v>
      </c>
      <c r="C11226" s="121">
        <v>1</v>
      </c>
      <c r="D11226" s="734">
        <v>5</v>
      </c>
      <c r="E11226" s="733"/>
    </row>
    <row r="11227" spans="2:5">
      <c r="B11227" s="121">
        <v>956</v>
      </c>
      <c r="C11227" s="121">
        <v>2</v>
      </c>
      <c r="D11227" s="734">
        <v>95.105575764689092</v>
      </c>
      <c r="E11227" s="733"/>
    </row>
    <row r="11228" spans="2:5">
      <c r="B11228" s="121">
        <v>956</v>
      </c>
      <c r="C11228" s="121">
        <v>3</v>
      </c>
      <c r="D11228" s="734">
        <v>118.70811871859065</v>
      </c>
      <c r="E11228" s="733"/>
    </row>
    <row r="11229" spans="2:5">
      <c r="B11229" s="121">
        <v>956</v>
      </c>
      <c r="C11229" s="121">
        <v>4</v>
      </c>
      <c r="D11229" s="734">
        <v>142.93205944794218</v>
      </c>
      <c r="E11229" s="733"/>
    </row>
    <row r="11230" spans="2:5">
      <c r="B11230" s="121">
        <v>956</v>
      </c>
      <c r="C11230" s="121">
        <v>5</v>
      </c>
      <c r="D11230" s="734">
        <v>137.68588533749571</v>
      </c>
      <c r="E11230" s="733"/>
    </row>
    <row r="11231" spans="2:5">
      <c r="B11231" s="121">
        <v>956</v>
      </c>
      <c r="C11231" s="121">
        <v>6</v>
      </c>
      <c r="D11231" s="734">
        <v>141.79042125220028</v>
      </c>
      <c r="E11231" s="733"/>
    </row>
    <row r="11232" spans="2:5">
      <c r="B11232" s="121">
        <v>956</v>
      </c>
      <c r="C11232" s="121">
        <v>7</v>
      </c>
      <c r="D11232" s="734">
        <v>145.54638530056687</v>
      </c>
      <c r="E11232" s="733"/>
    </row>
    <row r="11233" spans="2:5">
      <c r="B11233" s="121">
        <v>957</v>
      </c>
      <c r="C11233" s="121">
        <v>1</v>
      </c>
      <c r="D11233" s="734">
        <v>5</v>
      </c>
      <c r="E11233" s="733"/>
    </row>
    <row r="11234" spans="2:5">
      <c r="B11234" s="121">
        <v>957</v>
      </c>
      <c r="C11234" s="121">
        <v>2</v>
      </c>
      <c r="D11234" s="734">
        <v>99.348647948043322</v>
      </c>
      <c r="E11234" s="733"/>
    </row>
    <row r="11235" spans="2:5">
      <c r="B11235" s="121">
        <v>958</v>
      </c>
      <c r="C11235" s="121">
        <v>1</v>
      </c>
      <c r="D11235" s="734">
        <v>5</v>
      </c>
      <c r="E11235" s="733"/>
    </row>
    <row r="11236" spans="2:5">
      <c r="B11236" s="121">
        <v>958</v>
      </c>
      <c r="C11236" s="121">
        <v>2</v>
      </c>
      <c r="D11236" s="734">
        <v>103.08689532707736</v>
      </c>
      <c r="E11236" s="733"/>
    </row>
    <row r="11237" spans="2:5">
      <c r="B11237" s="121">
        <v>958</v>
      </c>
      <c r="C11237" s="121">
        <v>3</v>
      </c>
      <c r="D11237" s="734">
        <v>118.43773888879041</v>
      </c>
      <c r="E11237" s="733"/>
    </row>
    <row r="11238" spans="2:5">
      <c r="B11238" s="121">
        <v>958</v>
      </c>
      <c r="C11238" s="121">
        <v>4</v>
      </c>
      <c r="D11238" s="734">
        <v>137.84126374631799</v>
      </c>
      <c r="E11238" s="733"/>
    </row>
    <row r="11239" spans="2:5">
      <c r="B11239" s="121">
        <v>958</v>
      </c>
      <c r="C11239" s="121">
        <v>5</v>
      </c>
      <c r="D11239" s="734">
        <v>141.52472808823723</v>
      </c>
      <c r="E11239" s="733"/>
    </row>
    <row r="11240" spans="2:5">
      <c r="B11240" s="121">
        <v>958</v>
      </c>
      <c r="C11240" s="121">
        <v>6</v>
      </c>
      <c r="D11240" s="734">
        <v>136.97431377228847</v>
      </c>
      <c r="E11240" s="733"/>
    </row>
    <row r="11241" spans="2:5">
      <c r="B11241" s="121">
        <v>958</v>
      </c>
      <c r="C11241" s="121">
        <v>7</v>
      </c>
      <c r="D11241" s="734">
        <v>138.4406917104987</v>
      </c>
      <c r="E11241" s="733"/>
    </row>
    <row r="11242" spans="2:5">
      <c r="B11242" s="121">
        <v>958</v>
      </c>
      <c r="C11242" s="121">
        <v>8</v>
      </c>
      <c r="D11242" s="734">
        <v>140.90643082888243</v>
      </c>
      <c r="E11242" s="733"/>
    </row>
    <row r="11243" spans="2:5">
      <c r="B11243" s="121">
        <v>958</v>
      </c>
      <c r="C11243" s="121">
        <v>9</v>
      </c>
      <c r="D11243" s="734">
        <v>136.52641530624996</v>
      </c>
      <c r="E11243" s="733"/>
    </row>
    <row r="11244" spans="2:5">
      <c r="B11244" s="121">
        <v>958</v>
      </c>
      <c r="C11244" s="121">
        <v>10</v>
      </c>
      <c r="D11244" s="734">
        <v>140.4407398398894</v>
      </c>
      <c r="E11244" s="733"/>
    </row>
    <row r="11245" spans="2:5">
      <c r="B11245" s="121">
        <v>958</v>
      </c>
      <c r="C11245" s="121">
        <v>11</v>
      </c>
      <c r="D11245" s="734">
        <v>144.52017747794307</v>
      </c>
      <c r="E11245" s="733"/>
    </row>
    <row r="11246" spans="2:5">
      <c r="B11246" s="121">
        <v>958</v>
      </c>
      <c r="C11246" s="121">
        <v>12</v>
      </c>
      <c r="D11246" s="734">
        <v>139.78819027063903</v>
      </c>
      <c r="E11246" s="733"/>
    </row>
    <row r="11247" spans="2:5">
      <c r="B11247" s="121">
        <v>959</v>
      </c>
      <c r="C11247" s="121">
        <v>1</v>
      </c>
      <c r="D11247" s="734">
        <v>5</v>
      </c>
      <c r="E11247" s="733"/>
    </row>
    <row r="11248" spans="2:5">
      <c r="B11248" s="121">
        <v>959</v>
      </c>
      <c r="C11248" s="121">
        <v>2</v>
      </c>
      <c r="D11248" s="734">
        <v>102.07986050264735</v>
      </c>
      <c r="E11248" s="733"/>
    </row>
    <row r="11249" spans="2:5">
      <c r="B11249" s="121">
        <v>959</v>
      </c>
      <c r="C11249" s="121">
        <v>3</v>
      </c>
      <c r="D11249" s="734">
        <v>120.25482739269897</v>
      </c>
      <c r="E11249" s="733"/>
    </row>
    <row r="11250" spans="2:5">
      <c r="B11250" s="121">
        <v>959</v>
      </c>
      <c r="C11250" s="121">
        <v>4</v>
      </c>
      <c r="D11250" s="734">
        <v>137.48178555047048</v>
      </c>
      <c r="E11250" s="733"/>
    </row>
    <row r="11251" spans="2:5">
      <c r="B11251" s="121">
        <v>959</v>
      </c>
      <c r="C11251" s="121">
        <v>5</v>
      </c>
      <c r="D11251" s="734">
        <v>141.94512677713476</v>
      </c>
      <c r="E11251" s="733"/>
    </row>
    <row r="11252" spans="2:5">
      <c r="B11252" s="121">
        <v>959</v>
      </c>
      <c r="C11252" s="121">
        <v>6</v>
      </c>
      <c r="D11252" s="734">
        <v>134.51447711602492</v>
      </c>
      <c r="E11252" s="733"/>
    </row>
    <row r="11253" spans="2:5">
      <c r="B11253" s="121">
        <v>959</v>
      </c>
      <c r="C11253" s="121">
        <v>7</v>
      </c>
      <c r="D11253" s="734">
        <v>143.09380406675618</v>
      </c>
      <c r="E11253" s="733"/>
    </row>
    <row r="11254" spans="2:5">
      <c r="B11254" s="121">
        <v>960</v>
      </c>
      <c r="C11254" s="121">
        <v>1</v>
      </c>
      <c r="D11254" s="734">
        <v>5</v>
      </c>
      <c r="E11254" s="733"/>
    </row>
    <row r="11255" spans="2:5">
      <c r="B11255" s="121">
        <v>960</v>
      </c>
      <c r="C11255" s="121">
        <v>2</v>
      </c>
      <c r="D11255" s="734">
        <v>100.21890636657476</v>
      </c>
      <c r="E11255" s="733"/>
    </row>
    <row r="11256" spans="2:5">
      <c r="B11256" s="121">
        <v>961</v>
      </c>
      <c r="C11256" s="121">
        <v>1</v>
      </c>
      <c r="D11256" s="734">
        <v>5</v>
      </c>
      <c r="E11256" s="733"/>
    </row>
    <row r="11257" spans="2:5">
      <c r="B11257" s="121">
        <v>961</v>
      </c>
      <c r="C11257" s="121">
        <v>2</v>
      </c>
      <c r="D11257" s="734">
        <v>102.57376714571132</v>
      </c>
      <c r="E11257" s="733"/>
    </row>
    <row r="11258" spans="2:5">
      <c r="B11258" s="121">
        <v>961</v>
      </c>
      <c r="C11258" s="121">
        <v>3</v>
      </c>
      <c r="D11258" s="734">
        <v>118.52577074967606</v>
      </c>
      <c r="E11258" s="733"/>
    </row>
    <row r="11259" spans="2:5">
      <c r="B11259" s="121">
        <v>961</v>
      </c>
      <c r="C11259" s="121">
        <v>4</v>
      </c>
      <c r="D11259" s="734">
        <v>143.38151707060362</v>
      </c>
      <c r="E11259" s="733"/>
    </row>
    <row r="11260" spans="2:5">
      <c r="B11260" s="121">
        <v>962</v>
      </c>
      <c r="C11260" s="121">
        <v>1</v>
      </c>
      <c r="D11260" s="734">
        <v>5</v>
      </c>
      <c r="E11260" s="733"/>
    </row>
    <row r="11261" spans="2:5">
      <c r="B11261" s="121">
        <v>962</v>
      </c>
      <c r="C11261" s="121">
        <v>2</v>
      </c>
      <c r="D11261" s="734">
        <v>103.24523061774869</v>
      </c>
      <c r="E11261" s="733"/>
    </row>
    <row r="11262" spans="2:5">
      <c r="B11262" s="121">
        <v>962</v>
      </c>
      <c r="C11262" s="121">
        <v>3</v>
      </c>
      <c r="D11262" s="734">
        <v>124.74306108417264</v>
      </c>
      <c r="E11262" s="733"/>
    </row>
    <row r="11263" spans="2:5">
      <c r="B11263" s="121">
        <v>962</v>
      </c>
      <c r="C11263" s="121">
        <v>4</v>
      </c>
      <c r="D11263" s="734">
        <v>136.03555259513007</v>
      </c>
      <c r="E11263" s="733"/>
    </row>
    <row r="11264" spans="2:5">
      <c r="B11264" s="121">
        <v>962</v>
      </c>
      <c r="C11264" s="121">
        <v>5</v>
      </c>
      <c r="D11264" s="734">
        <v>141.48326646033345</v>
      </c>
      <c r="E11264" s="733"/>
    </row>
    <row r="11265" spans="2:5">
      <c r="B11265" s="121">
        <v>962</v>
      </c>
      <c r="C11265" s="121">
        <v>6</v>
      </c>
      <c r="D11265" s="734">
        <v>142.74065141197485</v>
      </c>
      <c r="E11265" s="733"/>
    </row>
    <row r="11266" spans="2:5">
      <c r="B11266" s="121">
        <v>962</v>
      </c>
      <c r="C11266" s="121">
        <v>7</v>
      </c>
      <c r="D11266" s="734">
        <v>137.64251196963008</v>
      </c>
      <c r="E11266" s="733"/>
    </row>
    <row r="11267" spans="2:5">
      <c r="B11267" s="121">
        <v>962</v>
      </c>
      <c r="C11267" s="121">
        <v>8</v>
      </c>
      <c r="D11267" s="734">
        <v>140.87782995508977</v>
      </c>
      <c r="E11267" s="733"/>
    </row>
    <row r="11268" spans="2:5">
      <c r="B11268" s="121">
        <v>962</v>
      </c>
      <c r="C11268" s="121">
        <v>9</v>
      </c>
      <c r="D11268" s="734">
        <v>138.22902417936487</v>
      </c>
      <c r="E11268" s="733"/>
    </row>
    <row r="11269" spans="2:5">
      <c r="B11269" s="121">
        <v>963</v>
      </c>
      <c r="C11269" s="121">
        <v>1</v>
      </c>
      <c r="D11269" s="734">
        <v>5</v>
      </c>
      <c r="E11269" s="733"/>
    </row>
    <row r="11270" spans="2:5">
      <c r="B11270" s="121">
        <v>963</v>
      </c>
      <c r="C11270" s="121">
        <v>2</v>
      </c>
      <c r="D11270" s="734">
        <v>99.888512675794331</v>
      </c>
      <c r="E11270" s="733"/>
    </row>
    <row r="11271" spans="2:5">
      <c r="B11271" s="121">
        <v>964</v>
      </c>
      <c r="C11271" s="121">
        <v>1</v>
      </c>
      <c r="D11271" s="734">
        <v>5</v>
      </c>
      <c r="E11271" s="733"/>
    </row>
    <row r="11272" spans="2:5">
      <c r="B11272" s="121">
        <v>964</v>
      </c>
      <c r="C11272" s="121">
        <v>2</v>
      </c>
      <c r="D11272" s="734">
        <v>96.388988506431019</v>
      </c>
      <c r="E11272" s="733"/>
    </row>
    <row r="11273" spans="2:5">
      <c r="B11273" s="121">
        <v>964</v>
      </c>
      <c r="C11273" s="121">
        <v>3</v>
      </c>
      <c r="D11273" s="734">
        <v>120.45984821167148</v>
      </c>
      <c r="E11273" s="733"/>
    </row>
    <row r="11274" spans="2:5">
      <c r="B11274" s="121">
        <v>964</v>
      </c>
      <c r="C11274" s="121">
        <v>4</v>
      </c>
      <c r="D11274" s="734">
        <v>144.07949868310922</v>
      </c>
      <c r="E11274" s="733"/>
    </row>
    <row r="11275" spans="2:5">
      <c r="B11275" s="121">
        <v>964</v>
      </c>
      <c r="C11275" s="121">
        <v>5</v>
      </c>
      <c r="D11275" s="734">
        <v>142.90271665004741</v>
      </c>
      <c r="E11275" s="733"/>
    </row>
    <row r="11276" spans="2:5">
      <c r="B11276" s="121">
        <v>964</v>
      </c>
      <c r="C11276" s="121">
        <v>6</v>
      </c>
      <c r="D11276" s="734">
        <v>140.98358373284134</v>
      </c>
      <c r="E11276" s="733"/>
    </row>
    <row r="11277" spans="2:5">
      <c r="B11277" s="121">
        <v>964</v>
      </c>
      <c r="C11277" s="121">
        <v>7</v>
      </c>
      <c r="D11277" s="734">
        <v>136.73005552428103</v>
      </c>
      <c r="E11277" s="733"/>
    </row>
    <row r="11278" spans="2:5">
      <c r="B11278" s="121">
        <v>964</v>
      </c>
      <c r="C11278" s="121">
        <v>8</v>
      </c>
      <c r="D11278" s="734">
        <v>142.3075707652259</v>
      </c>
      <c r="E11278" s="733"/>
    </row>
    <row r="11279" spans="2:5">
      <c r="B11279" s="121">
        <v>964</v>
      </c>
      <c r="C11279" s="121">
        <v>9</v>
      </c>
      <c r="D11279" s="734">
        <v>136.29151081810349</v>
      </c>
      <c r="E11279" s="733"/>
    </row>
    <row r="11280" spans="2:5">
      <c r="B11280" s="121">
        <v>964</v>
      </c>
      <c r="C11280" s="121">
        <v>10</v>
      </c>
      <c r="D11280" s="734">
        <v>142.02096513808223</v>
      </c>
      <c r="E11280" s="733"/>
    </row>
    <row r="11281" spans="2:5">
      <c r="B11281" s="121">
        <v>964</v>
      </c>
      <c r="C11281" s="121">
        <v>11</v>
      </c>
      <c r="D11281" s="734">
        <v>143.55214405246943</v>
      </c>
      <c r="E11281" s="733"/>
    </row>
    <row r="11282" spans="2:5">
      <c r="B11282" s="121">
        <v>964</v>
      </c>
      <c r="C11282" s="121">
        <v>12</v>
      </c>
      <c r="D11282" s="734">
        <v>137.31378896084203</v>
      </c>
      <c r="E11282" s="733"/>
    </row>
    <row r="11283" spans="2:5">
      <c r="B11283" s="121">
        <v>964</v>
      </c>
      <c r="C11283" s="121">
        <v>13</v>
      </c>
      <c r="D11283" s="734">
        <v>142.41095493578294</v>
      </c>
      <c r="E11283" s="733"/>
    </row>
    <row r="11284" spans="2:5">
      <c r="B11284" s="121">
        <v>964</v>
      </c>
      <c r="C11284" s="121">
        <v>14</v>
      </c>
      <c r="D11284" s="734">
        <v>141.70319735841085</v>
      </c>
      <c r="E11284" s="733"/>
    </row>
    <row r="11285" spans="2:5">
      <c r="B11285" s="121">
        <v>964</v>
      </c>
      <c r="C11285" s="121">
        <v>15</v>
      </c>
      <c r="D11285" s="734">
        <v>137.94406128786238</v>
      </c>
      <c r="E11285" s="733"/>
    </row>
    <row r="11286" spans="2:5">
      <c r="B11286" s="121">
        <v>965</v>
      </c>
      <c r="C11286" s="121">
        <v>1</v>
      </c>
      <c r="D11286" s="734">
        <v>5</v>
      </c>
      <c r="E11286" s="733"/>
    </row>
    <row r="11287" spans="2:5">
      <c r="B11287" s="121">
        <v>965</v>
      </c>
      <c r="C11287" s="121">
        <v>2</v>
      </c>
      <c r="D11287" s="734">
        <v>96.538738187164242</v>
      </c>
      <c r="E11287" s="733"/>
    </row>
    <row r="11288" spans="2:5">
      <c r="B11288" s="121">
        <v>965</v>
      </c>
      <c r="C11288" s="121">
        <v>3</v>
      </c>
      <c r="D11288" s="734">
        <v>125.03180408390146</v>
      </c>
      <c r="E11288" s="733"/>
    </row>
    <row r="11289" spans="2:5">
      <c r="B11289" s="121">
        <v>965</v>
      </c>
      <c r="C11289" s="121">
        <v>4</v>
      </c>
      <c r="D11289" s="734">
        <v>144.09417692773582</v>
      </c>
      <c r="E11289" s="733"/>
    </row>
    <row r="11290" spans="2:5">
      <c r="B11290" s="121">
        <v>965</v>
      </c>
      <c r="C11290" s="121">
        <v>5</v>
      </c>
      <c r="D11290" s="734">
        <v>144.79471961823782</v>
      </c>
      <c r="E11290" s="733"/>
    </row>
    <row r="11291" spans="2:5">
      <c r="B11291" s="121">
        <v>965</v>
      </c>
      <c r="C11291" s="121">
        <v>6</v>
      </c>
      <c r="D11291" s="734">
        <v>144.24056120691145</v>
      </c>
      <c r="E11291" s="733"/>
    </row>
    <row r="11292" spans="2:5">
      <c r="B11292" s="121">
        <v>965</v>
      </c>
      <c r="C11292" s="121">
        <v>7</v>
      </c>
      <c r="D11292" s="734">
        <v>146.7744950859466</v>
      </c>
      <c r="E11292" s="733"/>
    </row>
    <row r="11293" spans="2:5">
      <c r="B11293" s="121">
        <v>965</v>
      </c>
      <c r="C11293" s="121">
        <v>8</v>
      </c>
      <c r="D11293" s="734">
        <v>145.49900040908668</v>
      </c>
      <c r="E11293" s="733"/>
    </row>
    <row r="11294" spans="2:5">
      <c r="B11294" s="121">
        <v>965</v>
      </c>
      <c r="C11294" s="121">
        <v>9</v>
      </c>
      <c r="D11294" s="734">
        <v>139.97218268720366</v>
      </c>
      <c r="E11294" s="733"/>
    </row>
    <row r="11295" spans="2:5">
      <c r="B11295" s="121">
        <v>965</v>
      </c>
      <c r="C11295" s="121">
        <v>10</v>
      </c>
      <c r="D11295" s="734">
        <v>134.98352100108937</v>
      </c>
      <c r="E11295" s="733"/>
    </row>
    <row r="11296" spans="2:5">
      <c r="B11296" s="121">
        <v>965</v>
      </c>
      <c r="C11296" s="121">
        <v>11</v>
      </c>
      <c r="D11296" s="734">
        <v>139.36435882510727</v>
      </c>
      <c r="E11296" s="733"/>
    </row>
    <row r="11297" spans="2:5">
      <c r="B11297" s="121">
        <v>965</v>
      </c>
      <c r="C11297" s="121">
        <v>12</v>
      </c>
      <c r="D11297" s="734">
        <v>139.71574527207801</v>
      </c>
      <c r="E11297" s="733"/>
    </row>
    <row r="11298" spans="2:5">
      <c r="B11298" s="121">
        <v>965</v>
      </c>
      <c r="C11298" s="121">
        <v>13</v>
      </c>
      <c r="D11298" s="734">
        <v>140.91616630319285</v>
      </c>
      <c r="E11298" s="733"/>
    </row>
    <row r="11299" spans="2:5">
      <c r="B11299" s="121">
        <v>965</v>
      </c>
      <c r="C11299" s="121">
        <v>14</v>
      </c>
      <c r="D11299" s="734">
        <v>139.59115428700915</v>
      </c>
      <c r="E11299" s="733"/>
    </row>
    <row r="11300" spans="2:5">
      <c r="B11300" s="121">
        <v>965</v>
      </c>
      <c r="C11300" s="121">
        <v>15</v>
      </c>
      <c r="D11300" s="734">
        <v>136.70121822545241</v>
      </c>
      <c r="E11300" s="733"/>
    </row>
    <row r="11301" spans="2:5">
      <c r="B11301" s="121">
        <v>965</v>
      </c>
      <c r="C11301" s="121">
        <v>16</v>
      </c>
      <c r="D11301" s="734">
        <v>137.01106255030726</v>
      </c>
      <c r="E11301" s="733"/>
    </row>
    <row r="11302" spans="2:5">
      <c r="B11302" s="121">
        <v>965</v>
      </c>
      <c r="C11302" s="121">
        <v>17</v>
      </c>
      <c r="D11302" s="734">
        <v>137.27914500653614</v>
      </c>
      <c r="E11302" s="733"/>
    </row>
    <row r="11303" spans="2:5">
      <c r="B11303" s="121">
        <v>965</v>
      </c>
      <c r="C11303" s="121">
        <v>18</v>
      </c>
      <c r="D11303" s="734">
        <v>143.96173602015327</v>
      </c>
      <c r="E11303" s="733"/>
    </row>
    <row r="11304" spans="2:5">
      <c r="B11304" s="121">
        <v>965</v>
      </c>
      <c r="C11304" s="121">
        <v>19</v>
      </c>
      <c r="D11304" s="734">
        <v>137.22776309223579</v>
      </c>
      <c r="E11304" s="733"/>
    </row>
    <row r="11305" spans="2:5">
      <c r="B11305" s="121">
        <v>966</v>
      </c>
      <c r="C11305" s="121">
        <v>1</v>
      </c>
      <c r="D11305" s="734">
        <v>5</v>
      </c>
      <c r="E11305" s="733"/>
    </row>
    <row r="11306" spans="2:5">
      <c r="B11306" s="121">
        <v>966</v>
      </c>
      <c r="C11306" s="121">
        <v>2</v>
      </c>
      <c r="D11306" s="734">
        <v>102.70436491457848</v>
      </c>
      <c r="E11306" s="733"/>
    </row>
    <row r="11307" spans="2:5">
      <c r="B11307" s="121">
        <v>967</v>
      </c>
      <c r="C11307" s="121">
        <v>1</v>
      </c>
      <c r="D11307" s="734">
        <v>5</v>
      </c>
      <c r="E11307" s="733"/>
    </row>
    <row r="11308" spans="2:5">
      <c r="B11308" s="121">
        <v>968</v>
      </c>
      <c r="C11308" s="121">
        <v>1</v>
      </c>
      <c r="D11308" s="734">
        <v>5</v>
      </c>
      <c r="E11308" s="733"/>
    </row>
    <row r="11309" spans="2:5">
      <c r="B11309" s="121">
        <v>969</v>
      </c>
      <c r="C11309" s="121">
        <v>1</v>
      </c>
      <c r="D11309" s="734">
        <v>5</v>
      </c>
      <c r="E11309" s="733"/>
    </row>
    <row r="11310" spans="2:5">
      <c r="B11310" s="121">
        <v>969</v>
      </c>
      <c r="C11310" s="121">
        <v>2</v>
      </c>
      <c r="D11310" s="734">
        <v>101.85052745351197</v>
      </c>
      <c r="E11310" s="733"/>
    </row>
    <row r="11311" spans="2:5">
      <c r="B11311" s="121">
        <v>969</v>
      </c>
      <c r="C11311" s="121">
        <v>3</v>
      </c>
      <c r="D11311" s="734">
        <v>120.95872093841733</v>
      </c>
      <c r="E11311" s="733"/>
    </row>
    <row r="11312" spans="2:5">
      <c r="B11312" s="121">
        <v>970</v>
      </c>
      <c r="C11312" s="121">
        <v>1</v>
      </c>
      <c r="D11312" s="734">
        <v>5</v>
      </c>
      <c r="E11312" s="733"/>
    </row>
    <row r="11313" spans="2:5">
      <c r="B11313" s="121">
        <v>970</v>
      </c>
      <c r="C11313" s="121">
        <v>2</v>
      </c>
      <c r="D11313" s="734">
        <v>100.2088453676577</v>
      </c>
      <c r="E11313" s="733"/>
    </row>
    <row r="11314" spans="2:5">
      <c r="B11314" s="121">
        <v>970</v>
      </c>
      <c r="C11314" s="121">
        <v>3</v>
      </c>
      <c r="D11314" s="734">
        <v>123.97457776508585</v>
      </c>
      <c r="E11314" s="733"/>
    </row>
    <row r="11315" spans="2:5">
      <c r="B11315" s="121">
        <v>970</v>
      </c>
      <c r="C11315" s="121">
        <v>4</v>
      </c>
      <c r="D11315" s="734">
        <v>137.66709042232222</v>
      </c>
      <c r="E11315" s="733"/>
    </row>
    <row r="11316" spans="2:5">
      <c r="B11316" s="121">
        <v>970</v>
      </c>
      <c r="C11316" s="121">
        <v>5</v>
      </c>
      <c r="D11316" s="734">
        <v>137.99890941831973</v>
      </c>
      <c r="E11316" s="733"/>
    </row>
    <row r="11317" spans="2:5">
      <c r="B11317" s="121">
        <v>970</v>
      </c>
      <c r="C11317" s="121">
        <v>6</v>
      </c>
      <c r="D11317" s="734">
        <v>143.72399579083515</v>
      </c>
      <c r="E11317" s="733"/>
    </row>
    <row r="11318" spans="2:5">
      <c r="B11318" s="121">
        <v>970</v>
      </c>
      <c r="C11318" s="121">
        <v>7</v>
      </c>
      <c r="D11318" s="734">
        <v>138.69829921126359</v>
      </c>
      <c r="E11318" s="733"/>
    </row>
    <row r="11319" spans="2:5">
      <c r="B11319" s="121">
        <v>970</v>
      </c>
      <c r="C11319" s="121">
        <v>8</v>
      </c>
      <c r="D11319" s="734">
        <v>140.03793708263211</v>
      </c>
      <c r="E11319" s="733"/>
    </row>
    <row r="11320" spans="2:5">
      <c r="B11320" s="121">
        <v>970</v>
      </c>
      <c r="C11320" s="121">
        <v>9</v>
      </c>
      <c r="D11320" s="734">
        <v>138.73381507624165</v>
      </c>
      <c r="E11320" s="733"/>
    </row>
    <row r="11321" spans="2:5">
      <c r="B11321" s="121">
        <v>970</v>
      </c>
      <c r="C11321" s="121">
        <v>10</v>
      </c>
      <c r="D11321" s="734">
        <v>136.74365115989539</v>
      </c>
      <c r="E11321" s="733"/>
    </row>
    <row r="11322" spans="2:5">
      <c r="B11322" s="121">
        <v>970</v>
      </c>
      <c r="C11322" s="121">
        <v>11</v>
      </c>
      <c r="D11322" s="734">
        <v>137.683133418041</v>
      </c>
      <c r="E11322" s="733"/>
    </row>
    <row r="11323" spans="2:5">
      <c r="B11323" s="121">
        <v>970</v>
      </c>
      <c r="C11323" s="121">
        <v>12</v>
      </c>
      <c r="D11323" s="734">
        <v>142.57101095116789</v>
      </c>
      <c r="E11323" s="733"/>
    </row>
    <row r="11324" spans="2:5">
      <c r="B11324" s="121">
        <v>970</v>
      </c>
      <c r="C11324" s="121">
        <v>13</v>
      </c>
      <c r="D11324" s="734">
        <v>134.50642657057452</v>
      </c>
      <c r="E11324" s="733"/>
    </row>
    <row r="11325" spans="2:5">
      <c r="B11325" s="121">
        <v>970</v>
      </c>
      <c r="C11325" s="121">
        <v>14</v>
      </c>
      <c r="D11325" s="734">
        <v>145.80496227487646</v>
      </c>
      <c r="E11325" s="733"/>
    </row>
    <row r="11326" spans="2:5">
      <c r="B11326" s="121">
        <v>970</v>
      </c>
      <c r="C11326" s="121">
        <v>15</v>
      </c>
      <c r="D11326" s="734">
        <v>139.03014508808991</v>
      </c>
      <c r="E11326" s="733"/>
    </row>
    <row r="11327" spans="2:5">
      <c r="B11327" s="121">
        <v>970</v>
      </c>
      <c r="C11327" s="121">
        <v>16</v>
      </c>
      <c r="D11327" s="734">
        <v>146.75678931433944</v>
      </c>
      <c r="E11327" s="733"/>
    </row>
    <row r="11328" spans="2:5">
      <c r="B11328" s="121">
        <v>970</v>
      </c>
      <c r="C11328" s="121">
        <v>17</v>
      </c>
      <c r="D11328" s="734">
        <v>135.83006399204947</v>
      </c>
      <c r="E11328" s="733"/>
    </row>
    <row r="11329" spans="2:5">
      <c r="B11329" s="121">
        <v>971</v>
      </c>
      <c r="C11329" s="121">
        <v>1</v>
      </c>
      <c r="D11329" s="734">
        <v>5</v>
      </c>
      <c r="E11329" s="733"/>
    </row>
    <row r="11330" spans="2:5">
      <c r="B11330" s="121">
        <v>972</v>
      </c>
      <c r="C11330" s="121">
        <v>1</v>
      </c>
      <c r="D11330" s="734">
        <v>5</v>
      </c>
      <c r="E11330" s="733"/>
    </row>
    <row r="11331" spans="2:5">
      <c r="B11331" s="121">
        <v>972</v>
      </c>
      <c r="C11331" s="121">
        <v>2</v>
      </c>
      <c r="D11331" s="734">
        <v>99.583414373689976</v>
      </c>
      <c r="E11331" s="733"/>
    </row>
    <row r="11332" spans="2:5">
      <c r="B11332" s="121">
        <v>972</v>
      </c>
      <c r="C11332" s="121">
        <v>3</v>
      </c>
      <c r="D11332" s="734">
        <v>117.19405746712232</v>
      </c>
      <c r="E11332" s="733"/>
    </row>
    <row r="11333" spans="2:5">
      <c r="B11333" s="121">
        <v>972</v>
      </c>
      <c r="C11333" s="121">
        <v>4</v>
      </c>
      <c r="D11333" s="734">
        <v>144.29047933380755</v>
      </c>
      <c r="E11333" s="733"/>
    </row>
    <row r="11334" spans="2:5">
      <c r="B11334" s="121">
        <v>972</v>
      </c>
      <c r="C11334" s="121">
        <v>5</v>
      </c>
      <c r="D11334" s="734">
        <v>142.35456804132812</v>
      </c>
      <c r="E11334" s="733"/>
    </row>
    <row r="11335" spans="2:5">
      <c r="B11335" s="121">
        <v>972</v>
      </c>
      <c r="C11335" s="121">
        <v>6</v>
      </c>
      <c r="D11335" s="734">
        <v>134.62019549287237</v>
      </c>
      <c r="E11335" s="733"/>
    </row>
    <row r="11336" spans="2:5">
      <c r="B11336" s="121">
        <v>973</v>
      </c>
      <c r="C11336" s="121">
        <v>1</v>
      </c>
      <c r="D11336" s="734">
        <v>5</v>
      </c>
      <c r="E11336" s="733"/>
    </row>
    <row r="11337" spans="2:5">
      <c r="B11337" s="121">
        <v>973</v>
      </c>
      <c r="C11337" s="121">
        <v>2</v>
      </c>
      <c r="D11337" s="734">
        <v>97.574086191474805</v>
      </c>
      <c r="E11337" s="733"/>
    </row>
    <row r="11338" spans="2:5">
      <c r="B11338" s="121">
        <v>973</v>
      </c>
      <c r="C11338" s="121">
        <v>3</v>
      </c>
      <c r="D11338" s="734">
        <v>125.05217078024177</v>
      </c>
      <c r="E11338" s="733"/>
    </row>
    <row r="11339" spans="2:5">
      <c r="B11339" s="121">
        <v>973</v>
      </c>
      <c r="C11339" s="121">
        <v>4</v>
      </c>
      <c r="D11339" s="734">
        <v>139.33416695822123</v>
      </c>
      <c r="E11339" s="733"/>
    </row>
    <row r="11340" spans="2:5">
      <c r="B11340" s="121">
        <v>973</v>
      </c>
      <c r="C11340" s="121">
        <v>5</v>
      </c>
      <c r="D11340" s="734">
        <v>140.97311732483365</v>
      </c>
      <c r="E11340" s="733"/>
    </row>
    <row r="11341" spans="2:5">
      <c r="B11341" s="121">
        <v>974</v>
      </c>
      <c r="C11341" s="121">
        <v>1</v>
      </c>
      <c r="D11341" s="734">
        <v>5</v>
      </c>
      <c r="E11341" s="733"/>
    </row>
    <row r="11342" spans="2:5">
      <c r="B11342" s="121">
        <v>974</v>
      </c>
      <c r="C11342" s="121">
        <v>2</v>
      </c>
      <c r="D11342" s="734">
        <v>101.03839278756629</v>
      </c>
      <c r="E11342" s="733"/>
    </row>
    <row r="11343" spans="2:5">
      <c r="B11343" s="121">
        <v>974</v>
      </c>
      <c r="C11343" s="121">
        <v>3</v>
      </c>
      <c r="D11343" s="734">
        <v>115.2363436612938</v>
      </c>
      <c r="E11343" s="733"/>
    </row>
    <row r="11344" spans="2:5">
      <c r="B11344" s="121">
        <v>974</v>
      </c>
      <c r="C11344" s="121">
        <v>4</v>
      </c>
      <c r="D11344" s="734">
        <v>140.70772820279581</v>
      </c>
      <c r="E11344" s="733"/>
    </row>
    <row r="11345" spans="2:5">
      <c r="B11345" s="121">
        <v>975</v>
      </c>
      <c r="C11345" s="121">
        <v>1</v>
      </c>
      <c r="D11345" s="734">
        <v>5</v>
      </c>
      <c r="E11345" s="733"/>
    </row>
    <row r="11346" spans="2:5">
      <c r="B11346" s="121">
        <v>975</v>
      </c>
      <c r="C11346" s="121">
        <v>2</v>
      </c>
      <c r="D11346" s="734">
        <v>94.275401041178569</v>
      </c>
      <c r="E11346" s="733"/>
    </row>
    <row r="11347" spans="2:5">
      <c r="B11347" s="121">
        <v>975</v>
      </c>
      <c r="C11347" s="121">
        <v>3</v>
      </c>
      <c r="D11347" s="734">
        <v>116.46924992296434</v>
      </c>
      <c r="E11347" s="733"/>
    </row>
    <row r="11348" spans="2:5">
      <c r="B11348" s="121">
        <v>975</v>
      </c>
      <c r="C11348" s="121">
        <v>4</v>
      </c>
      <c r="D11348" s="734">
        <v>142.42150826481696</v>
      </c>
      <c r="E11348" s="733"/>
    </row>
    <row r="11349" spans="2:5">
      <c r="B11349" s="121">
        <v>975</v>
      </c>
      <c r="C11349" s="121">
        <v>5</v>
      </c>
      <c r="D11349" s="734">
        <v>143.53026616045091</v>
      </c>
      <c r="E11349" s="733"/>
    </row>
    <row r="11350" spans="2:5">
      <c r="B11350" s="121">
        <v>975</v>
      </c>
      <c r="C11350" s="121">
        <v>6</v>
      </c>
      <c r="D11350" s="734">
        <v>144.07739556415919</v>
      </c>
      <c r="E11350" s="733"/>
    </row>
    <row r="11351" spans="2:5">
      <c r="B11351" s="121">
        <v>975</v>
      </c>
      <c r="C11351" s="121">
        <v>7</v>
      </c>
      <c r="D11351" s="734">
        <v>136.56735527249333</v>
      </c>
      <c r="E11351" s="733"/>
    </row>
    <row r="11352" spans="2:5">
      <c r="B11352" s="121">
        <v>975</v>
      </c>
      <c r="C11352" s="121">
        <v>8</v>
      </c>
      <c r="D11352" s="734">
        <v>142.76744999704721</v>
      </c>
      <c r="E11352" s="733"/>
    </row>
    <row r="11353" spans="2:5">
      <c r="B11353" s="121">
        <v>975</v>
      </c>
      <c r="C11353" s="121">
        <v>9</v>
      </c>
      <c r="D11353" s="734">
        <v>144.35428847247752</v>
      </c>
      <c r="E11353" s="733"/>
    </row>
    <row r="11354" spans="2:5">
      <c r="B11354" s="121">
        <v>975</v>
      </c>
      <c r="C11354" s="121">
        <v>10</v>
      </c>
      <c r="D11354" s="734">
        <v>136.24556562071717</v>
      </c>
      <c r="E11354" s="733"/>
    </row>
    <row r="11355" spans="2:5">
      <c r="B11355" s="121">
        <v>975</v>
      </c>
      <c r="C11355" s="121">
        <v>11</v>
      </c>
      <c r="D11355" s="734">
        <v>141.79992224072535</v>
      </c>
      <c r="E11355" s="733"/>
    </row>
    <row r="11356" spans="2:5">
      <c r="B11356" s="121">
        <v>975</v>
      </c>
      <c r="C11356" s="121">
        <v>12</v>
      </c>
      <c r="D11356" s="734">
        <v>136.68288034151442</v>
      </c>
      <c r="E11356" s="733"/>
    </row>
    <row r="11357" spans="2:5">
      <c r="B11357" s="121">
        <v>975</v>
      </c>
      <c r="C11357" s="121">
        <v>13</v>
      </c>
      <c r="D11357" s="734">
        <v>136.8702930282586</v>
      </c>
      <c r="E11357" s="733"/>
    </row>
    <row r="11358" spans="2:5">
      <c r="B11358" s="121">
        <v>975</v>
      </c>
      <c r="C11358" s="121">
        <v>14</v>
      </c>
      <c r="D11358" s="734">
        <v>138.44615841994704</v>
      </c>
      <c r="E11358" s="733"/>
    </row>
    <row r="11359" spans="2:5">
      <c r="B11359" s="121">
        <v>975</v>
      </c>
      <c r="C11359" s="121">
        <v>15</v>
      </c>
      <c r="D11359" s="734">
        <v>136.92438518114545</v>
      </c>
      <c r="E11359" s="733"/>
    </row>
    <row r="11360" spans="2:5">
      <c r="B11360" s="121">
        <v>975</v>
      </c>
      <c r="C11360" s="121">
        <v>16</v>
      </c>
      <c r="D11360" s="734">
        <v>134.69925388829992</v>
      </c>
      <c r="E11360" s="733"/>
    </row>
    <row r="11361" spans="2:5">
      <c r="B11361" s="121">
        <v>975</v>
      </c>
      <c r="C11361" s="121">
        <v>17</v>
      </c>
      <c r="D11361" s="734">
        <v>135.2908341050541</v>
      </c>
      <c r="E11361" s="733"/>
    </row>
    <row r="11362" spans="2:5">
      <c r="B11362" s="121">
        <v>975</v>
      </c>
      <c r="C11362" s="121">
        <v>18</v>
      </c>
      <c r="D11362" s="734">
        <v>143.8213817804324</v>
      </c>
      <c r="E11362" s="733"/>
    </row>
    <row r="11363" spans="2:5">
      <c r="B11363" s="121">
        <v>975</v>
      </c>
      <c r="C11363" s="121">
        <v>19</v>
      </c>
      <c r="D11363" s="734">
        <v>135.89066921860027</v>
      </c>
      <c r="E11363" s="733"/>
    </row>
    <row r="11364" spans="2:5">
      <c r="B11364" s="121">
        <v>975</v>
      </c>
      <c r="C11364" s="121">
        <v>20</v>
      </c>
      <c r="D11364" s="734">
        <v>144.33219317170202</v>
      </c>
      <c r="E11364" s="733"/>
    </row>
    <row r="11365" spans="2:5">
      <c r="B11365" s="121">
        <v>975</v>
      </c>
      <c r="C11365" s="121">
        <v>21</v>
      </c>
      <c r="D11365" s="734">
        <v>136.20593704976764</v>
      </c>
      <c r="E11365" s="733"/>
    </row>
    <row r="11366" spans="2:5">
      <c r="B11366" s="121">
        <v>975</v>
      </c>
      <c r="C11366" s="121">
        <v>22</v>
      </c>
      <c r="D11366" s="734">
        <v>144.76040335817035</v>
      </c>
      <c r="E11366" s="733"/>
    </row>
    <row r="11367" spans="2:5">
      <c r="B11367" s="121">
        <v>975</v>
      </c>
      <c r="C11367" s="121">
        <v>23</v>
      </c>
      <c r="D11367" s="734">
        <v>143.45525539267859</v>
      </c>
      <c r="E11367" s="733"/>
    </row>
    <row r="11368" spans="2:5">
      <c r="B11368" s="121">
        <v>975</v>
      </c>
      <c r="C11368" s="121">
        <v>24</v>
      </c>
      <c r="D11368" s="734">
        <v>135.85569765795748</v>
      </c>
      <c r="E11368" s="733"/>
    </row>
    <row r="11369" spans="2:5">
      <c r="B11369" s="121">
        <v>975</v>
      </c>
      <c r="C11369" s="121">
        <v>25</v>
      </c>
      <c r="D11369" s="734">
        <v>134.9612971329926</v>
      </c>
      <c r="E11369" s="733"/>
    </row>
    <row r="11370" spans="2:5">
      <c r="B11370" s="121">
        <v>975</v>
      </c>
      <c r="C11370" s="121">
        <v>26</v>
      </c>
      <c r="D11370" s="734">
        <v>146.79504192229231</v>
      </c>
      <c r="E11370" s="733"/>
    </row>
    <row r="11371" spans="2:5">
      <c r="B11371" s="121">
        <v>975</v>
      </c>
      <c r="C11371" s="121">
        <v>27</v>
      </c>
      <c r="D11371" s="734">
        <v>138.93743777746525</v>
      </c>
      <c r="E11371" s="733"/>
    </row>
    <row r="11372" spans="2:5">
      <c r="B11372" s="121">
        <v>975</v>
      </c>
      <c r="C11372" s="121">
        <v>28</v>
      </c>
      <c r="D11372" s="734">
        <v>136.71328241429609</v>
      </c>
      <c r="E11372" s="733"/>
    </row>
    <row r="11373" spans="2:5">
      <c r="B11373" s="121">
        <v>975</v>
      </c>
      <c r="C11373" s="121">
        <v>29</v>
      </c>
      <c r="D11373" s="734">
        <v>134.45850634111667</v>
      </c>
      <c r="E11373" s="733"/>
    </row>
    <row r="11374" spans="2:5">
      <c r="B11374" s="121">
        <v>975</v>
      </c>
      <c r="C11374" s="121">
        <v>30</v>
      </c>
      <c r="D11374" s="734">
        <v>142.23365376158597</v>
      </c>
      <c r="E11374" s="733"/>
    </row>
    <row r="11375" spans="2:5">
      <c r="B11375" s="121">
        <v>975</v>
      </c>
      <c r="C11375" s="121">
        <v>31</v>
      </c>
      <c r="D11375" s="734">
        <v>146.42258256372142</v>
      </c>
      <c r="E11375" s="733"/>
    </row>
    <row r="11376" spans="2:5">
      <c r="B11376" s="121">
        <v>975</v>
      </c>
      <c r="C11376" s="121">
        <v>32</v>
      </c>
      <c r="D11376" s="734">
        <v>146.48407821945187</v>
      </c>
      <c r="E11376" s="733"/>
    </row>
    <row r="11377" spans="2:5">
      <c r="B11377" s="121">
        <v>975</v>
      </c>
      <c r="C11377" s="121">
        <v>33</v>
      </c>
      <c r="D11377" s="734">
        <v>134.5659127750024</v>
      </c>
      <c r="E11377" s="733"/>
    </row>
    <row r="11378" spans="2:5">
      <c r="B11378" s="121">
        <v>975</v>
      </c>
      <c r="C11378" s="121">
        <v>34</v>
      </c>
      <c r="D11378" s="734">
        <v>146.08127954798408</v>
      </c>
      <c r="E11378" s="733"/>
    </row>
    <row r="11379" spans="2:5">
      <c r="B11379" s="121">
        <v>975</v>
      </c>
      <c r="C11379" s="121">
        <v>35</v>
      </c>
      <c r="D11379" s="734">
        <v>145.49800887868415</v>
      </c>
      <c r="E11379" s="733"/>
    </row>
    <row r="11380" spans="2:5">
      <c r="B11380" s="121">
        <v>975</v>
      </c>
      <c r="C11380" s="121">
        <v>36</v>
      </c>
      <c r="D11380" s="734">
        <v>135.97171279345375</v>
      </c>
      <c r="E11380" s="733"/>
    </row>
    <row r="11381" spans="2:5">
      <c r="B11381" s="121">
        <v>976</v>
      </c>
      <c r="C11381" s="121">
        <v>1</v>
      </c>
      <c r="D11381" s="734">
        <v>5</v>
      </c>
      <c r="E11381" s="733"/>
    </row>
    <row r="11382" spans="2:5">
      <c r="B11382" s="121">
        <v>976</v>
      </c>
      <c r="C11382" s="121">
        <v>2</v>
      </c>
      <c r="D11382" s="734">
        <v>96.126440635441995</v>
      </c>
      <c r="E11382" s="733"/>
    </row>
    <row r="11383" spans="2:5">
      <c r="B11383" s="121">
        <v>976</v>
      </c>
      <c r="C11383" s="121">
        <v>3</v>
      </c>
      <c r="D11383" s="734">
        <v>115.9912567574579</v>
      </c>
      <c r="E11383" s="733"/>
    </row>
    <row r="11384" spans="2:5">
      <c r="B11384" s="121">
        <v>976</v>
      </c>
      <c r="C11384" s="121">
        <v>4</v>
      </c>
      <c r="D11384" s="734">
        <v>140.34424563734541</v>
      </c>
      <c r="E11384" s="733"/>
    </row>
    <row r="11385" spans="2:5">
      <c r="B11385" s="121">
        <v>976</v>
      </c>
      <c r="C11385" s="121">
        <v>5</v>
      </c>
      <c r="D11385" s="734">
        <v>143.48349626144372</v>
      </c>
      <c r="E11385" s="733"/>
    </row>
    <row r="11386" spans="2:5">
      <c r="B11386" s="121">
        <v>976</v>
      </c>
      <c r="C11386" s="121">
        <v>6</v>
      </c>
      <c r="D11386" s="734">
        <v>146.33508741188206</v>
      </c>
      <c r="E11386" s="733"/>
    </row>
    <row r="11387" spans="2:5">
      <c r="B11387" s="121">
        <v>976</v>
      </c>
      <c r="C11387" s="121">
        <v>7</v>
      </c>
      <c r="D11387" s="734">
        <v>136.19116005278195</v>
      </c>
      <c r="E11387" s="733"/>
    </row>
    <row r="11388" spans="2:5">
      <c r="B11388" s="121">
        <v>976</v>
      </c>
      <c r="C11388" s="121">
        <v>8</v>
      </c>
      <c r="D11388" s="734">
        <v>139.77692006245849</v>
      </c>
      <c r="E11388" s="733"/>
    </row>
    <row r="11389" spans="2:5">
      <c r="B11389" s="121">
        <v>976</v>
      </c>
      <c r="C11389" s="121">
        <v>9</v>
      </c>
      <c r="D11389" s="734">
        <v>145.51532277258877</v>
      </c>
      <c r="E11389" s="733"/>
    </row>
    <row r="11390" spans="2:5">
      <c r="B11390" s="121">
        <v>976</v>
      </c>
      <c r="C11390" s="121">
        <v>10</v>
      </c>
      <c r="D11390" s="734">
        <v>134.21000728848725</v>
      </c>
      <c r="E11390" s="733"/>
    </row>
    <row r="11391" spans="2:5">
      <c r="B11391" s="121">
        <v>976</v>
      </c>
      <c r="C11391" s="121">
        <v>11</v>
      </c>
      <c r="D11391" s="734">
        <v>139.44647579324263</v>
      </c>
      <c r="E11391" s="733"/>
    </row>
    <row r="11392" spans="2:5">
      <c r="B11392" s="121">
        <v>976</v>
      </c>
      <c r="C11392" s="121">
        <v>12</v>
      </c>
      <c r="D11392" s="734">
        <v>136.932485232391</v>
      </c>
      <c r="E11392" s="733"/>
    </row>
    <row r="11393" spans="2:5">
      <c r="B11393" s="121">
        <v>976</v>
      </c>
      <c r="C11393" s="121">
        <v>13</v>
      </c>
      <c r="D11393" s="734">
        <v>143.99241691917294</v>
      </c>
      <c r="E11393" s="733"/>
    </row>
    <row r="11394" spans="2:5">
      <c r="B11394" s="121">
        <v>976</v>
      </c>
      <c r="C11394" s="121">
        <v>14</v>
      </c>
      <c r="D11394" s="734">
        <v>146.93474126376341</v>
      </c>
      <c r="E11394" s="733"/>
    </row>
    <row r="11395" spans="2:5">
      <c r="B11395" s="121">
        <v>976</v>
      </c>
      <c r="C11395" s="121">
        <v>15</v>
      </c>
      <c r="D11395" s="734">
        <v>139.57420023541957</v>
      </c>
      <c r="E11395" s="733"/>
    </row>
    <row r="11396" spans="2:5">
      <c r="B11396" s="121">
        <v>976</v>
      </c>
      <c r="C11396" s="121">
        <v>16</v>
      </c>
      <c r="D11396" s="734">
        <v>146.3420891367675</v>
      </c>
      <c r="E11396" s="733"/>
    </row>
    <row r="11397" spans="2:5">
      <c r="B11397" s="121">
        <v>976</v>
      </c>
      <c r="C11397" s="121">
        <v>17</v>
      </c>
      <c r="D11397" s="734">
        <v>138.76370377817398</v>
      </c>
      <c r="E11397" s="733"/>
    </row>
    <row r="11398" spans="2:5">
      <c r="B11398" s="121">
        <v>976</v>
      </c>
      <c r="C11398" s="121">
        <v>18</v>
      </c>
      <c r="D11398" s="734">
        <v>143.68682795441507</v>
      </c>
      <c r="E11398" s="733"/>
    </row>
    <row r="11399" spans="2:5">
      <c r="B11399" s="121">
        <v>976</v>
      </c>
      <c r="C11399" s="121">
        <v>19</v>
      </c>
      <c r="D11399" s="734">
        <v>137.26406178510459</v>
      </c>
      <c r="E11399" s="733"/>
    </row>
    <row r="11400" spans="2:5">
      <c r="B11400" s="121">
        <v>976</v>
      </c>
      <c r="C11400" s="121">
        <v>20</v>
      </c>
      <c r="D11400" s="734">
        <v>140.51304879436927</v>
      </c>
      <c r="E11400" s="733"/>
    </row>
    <row r="11401" spans="2:5">
      <c r="B11401" s="121">
        <v>976</v>
      </c>
      <c r="C11401" s="121">
        <v>21</v>
      </c>
      <c r="D11401" s="734">
        <v>141.24809452142347</v>
      </c>
      <c r="E11401" s="733"/>
    </row>
    <row r="11402" spans="2:5">
      <c r="B11402" s="121">
        <v>976</v>
      </c>
      <c r="C11402" s="121">
        <v>22</v>
      </c>
      <c r="D11402" s="734">
        <v>141.70505422745887</v>
      </c>
      <c r="E11402" s="733"/>
    </row>
    <row r="11403" spans="2:5">
      <c r="B11403" s="121">
        <v>976</v>
      </c>
      <c r="C11403" s="121">
        <v>23</v>
      </c>
      <c r="D11403" s="734">
        <v>143.93295681647854</v>
      </c>
      <c r="E11403" s="733"/>
    </row>
    <row r="11404" spans="2:5">
      <c r="B11404" s="121">
        <v>976</v>
      </c>
      <c r="C11404" s="121">
        <v>24</v>
      </c>
      <c r="D11404" s="734">
        <v>139.99239942873226</v>
      </c>
      <c r="E11404" s="733"/>
    </row>
    <row r="11405" spans="2:5">
      <c r="B11405" s="121">
        <v>976</v>
      </c>
      <c r="C11405" s="121">
        <v>25</v>
      </c>
      <c r="D11405" s="734">
        <v>139.75973029329566</v>
      </c>
      <c r="E11405" s="733"/>
    </row>
    <row r="11406" spans="2:5">
      <c r="B11406" s="121">
        <v>976</v>
      </c>
      <c r="C11406" s="121">
        <v>26</v>
      </c>
      <c r="D11406" s="734">
        <v>142.66295980791884</v>
      </c>
      <c r="E11406" s="733"/>
    </row>
    <row r="11407" spans="2:5">
      <c r="B11407" s="121">
        <v>976</v>
      </c>
      <c r="C11407" s="121">
        <v>27</v>
      </c>
      <c r="D11407" s="734">
        <v>134.54929416463966</v>
      </c>
      <c r="E11407" s="733"/>
    </row>
    <row r="11408" spans="2:5">
      <c r="B11408" s="121">
        <v>976</v>
      </c>
      <c r="C11408" s="121">
        <v>28</v>
      </c>
      <c r="D11408" s="734">
        <v>143.82159254398806</v>
      </c>
      <c r="E11408" s="733"/>
    </row>
    <row r="11409" spans="2:5">
      <c r="B11409" s="121">
        <v>976</v>
      </c>
      <c r="C11409" s="121">
        <v>29</v>
      </c>
      <c r="D11409" s="734">
        <v>140.35587349203504</v>
      </c>
      <c r="E11409" s="733"/>
    </row>
    <row r="11410" spans="2:5">
      <c r="B11410" s="121">
        <v>976</v>
      </c>
      <c r="C11410" s="121">
        <v>30</v>
      </c>
      <c r="D11410" s="734">
        <v>142.48346775095655</v>
      </c>
      <c r="E11410" s="733"/>
    </row>
    <row r="11411" spans="2:5">
      <c r="B11411" s="121">
        <v>976</v>
      </c>
      <c r="C11411" s="121">
        <v>31</v>
      </c>
      <c r="D11411" s="734">
        <v>138.38018169911226</v>
      </c>
      <c r="E11411" s="733"/>
    </row>
    <row r="11412" spans="2:5">
      <c r="B11412" s="121">
        <v>976</v>
      </c>
      <c r="C11412" s="121">
        <v>32</v>
      </c>
      <c r="D11412" s="734">
        <v>145.75588934176989</v>
      </c>
      <c r="E11412" s="733"/>
    </row>
    <row r="11413" spans="2:5">
      <c r="B11413" s="121">
        <v>976</v>
      </c>
      <c r="C11413" s="121">
        <v>33</v>
      </c>
      <c r="D11413" s="734">
        <v>146.0913509558342</v>
      </c>
      <c r="E11413" s="733"/>
    </row>
    <row r="11414" spans="2:5">
      <c r="B11414" s="121">
        <v>976</v>
      </c>
      <c r="C11414" s="121">
        <v>34</v>
      </c>
      <c r="D11414" s="734">
        <v>146.48987655437983</v>
      </c>
      <c r="E11414" s="733"/>
    </row>
    <row r="11415" spans="2:5">
      <c r="B11415" s="121">
        <v>976</v>
      </c>
      <c r="C11415" s="121">
        <v>35</v>
      </c>
      <c r="D11415" s="734">
        <v>146.70350336421197</v>
      </c>
      <c r="E11415" s="733"/>
    </row>
    <row r="11416" spans="2:5">
      <c r="B11416" s="121">
        <v>976</v>
      </c>
      <c r="C11416" s="121">
        <v>36</v>
      </c>
      <c r="D11416" s="734">
        <v>139.36689228267576</v>
      </c>
      <c r="E11416" s="733"/>
    </row>
    <row r="11417" spans="2:5">
      <c r="B11417" s="121">
        <v>977</v>
      </c>
      <c r="C11417" s="121">
        <v>1</v>
      </c>
      <c r="D11417" s="734">
        <v>5</v>
      </c>
      <c r="E11417" s="733"/>
    </row>
    <row r="11418" spans="2:5">
      <c r="B11418" s="121">
        <v>978</v>
      </c>
      <c r="C11418" s="121">
        <v>1</v>
      </c>
      <c r="D11418" s="734">
        <v>5</v>
      </c>
      <c r="E11418" s="733"/>
    </row>
    <row r="11419" spans="2:5">
      <c r="B11419" s="121">
        <v>979</v>
      </c>
      <c r="C11419" s="121">
        <v>1</v>
      </c>
      <c r="D11419" s="734">
        <v>5</v>
      </c>
      <c r="E11419" s="733"/>
    </row>
    <row r="11420" spans="2:5">
      <c r="B11420" s="121">
        <v>979</v>
      </c>
      <c r="C11420" s="121">
        <v>2</v>
      </c>
      <c r="D11420" s="734">
        <v>97.027967769655859</v>
      </c>
      <c r="E11420" s="733"/>
    </row>
    <row r="11421" spans="2:5">
      <c r="B11421" s="121">
        <v>979</v>
      </c>
      <c r="C11421" s="121">
        <v>3</v>
      </c>
      <c r="D11421" s="734">
        <v>123.17346014282901</v>
      </c>
      <c r="E11421" s="733"/>
    </row>
    <row r="11422" spans="2:5">
      <c r="B11422" s="121">
        <v>980</v>
      </c>
      <c r="C11422" s="121">
        <v>1</v>
      </c>
      <c r="D11422" s="734">
        <v>5</v>
      </c>
      <c r="E11422" s="733"/>
    </row>
    <row r="11423" spans="2:5">
      <c r="B11423" s="121">
        <v>981</v>
      </c>
      <c r="C11423" s="121">
        <v>1</v>
      </c>
      <c r="D11423" s="734">
        <v>5</v>
      </c>
      <c r="E11423" s="733"/>
    </row>
    <row r="11424" spans="2:5">
      <c r="B11424" s="121">
        <v>981</v>
      </c>
      <c r="C11424" s="121">
        <v>2</v>
      </c>
      <c r="D11424" s="734">
        <v>94.908859261952088</v>
      </c>
      <c r="E11424" s="733"/>
    </row>
    <row r="11425" spans="2:5">
      <c r="B11425" s="121">
        <v>981</v>
      </c>
      <c r="C11425" s="121">
        <v>3</v>
      </c>
      <c r="D11425" s="734">
        <v>113.95890160990213</v>
      </c>
      <c r="E11425" s="733"/>
    </row>
    <row r="11426" spans="2:5">
      <c r="B11426" s="121">
        <v>981</v>
      </c>
      <c r="C11426" s="121">
        <v>4</v>
      </c>
      <c r="D11426" s="734">
        <v>140.88771933591212</v>
      </c>
      <c r="E11426" s="733"/>
    </row>
    <row r="11427" spans="2:5">
      <c r="B11427" s="121">
        <v>981</v>
      </c>
      <c r="C11427" s="121">
        <v>5</v>
      </c>
      <c r="D11427" s="734">
        <v>142.70703575657976</v>
      </c>
      <c r="E11427" s="733"/>
    </row>
    <row r="11428" spans="2:5">
      <c r="B11428" s="121">
        <v>981</v>
      </c>
      <c r="C11428" s="121">
        <v>6</v>
      </c>
      <c r="D11428" s="734">
        <v>144.80434446412036</v>
      </c>
      <c r="E11428" s="733"/>
    </row>
    <row r="11429" spans="2:5">
      <c r="B11429" s="121">
        <v>981</v>
      </c>
      <c r="C11429" s="121">
        <v>7</v>
      </c>
      <c r="D11429" s="734">
        <v>140.34310641235012</v>
      </c>
      <c r="E11429" s="733"/>
    </row>
    <row r="11430" spans="2:5">
      <c r="B11430" s="121">
        <v>981</v>
      </c>
      <c r="C11430" s="121">
        <v>8</v>
      </c>
      <c r="D11430" s="734">
        <v>135.54085485355358</v>
      </c>
      <c r="E11430" s="733"/>
    </row>
    <row r="11431" spans="2:5">
      <c r="B11431" s="121">
        <v>981</v>
      </c>
      <c r="C11431" s="121">
        <v>9</v>
      </c>
      <c r="D11431" s="734">
        <v>136.78131323996388</v>
      </c>
      <c r="E11431" s="733"/>
    </row>
    <row r="11432" spans="2:5">
      <c r="B11432" s="121">
        <v>981</v>
      </c>
      <c r="C11432" s="121">
        <v>10</v>
      </c>
      <c r="D11432" s="734">
        <v>140.81866631784538</v>
      </c>
      <c r="E11432" s="733"/>
    </row>
    <row r="11433" spans="2:5">
      <c r="B11433" s="121">
        <v>981</v>
      </c>
      <c r="C11433" s="121">
        <v>11</v>
      </c>
      <c r="D11433" s="734">
        <v>135.47351772595269</v>
      </c>
      <c r="E11433" s="733"/>
    </row>
    <row r="11434" spans="2:5">
      <c r="B11434" s="121">
        <v>981</v>
      </c>
      <c r="C11434" s="121">
        <v>12</v>
      </c>
      <c r="D11434" s="734">
        <v>141.3065842828604</v>
      </c>
      <c r="E11434" s="733"/>
    </row>
    <row r="11435" spans="2:5">
      <c r="B11435" s="121">
        <v>981</v>
      </c>
      <c r="C11435" s="121">
        <v>13</v>
      </c>
      <c r="D11435" s="734">
        <v>145.58532244340364</v>
      </c>
      <c r="E11435" s="733"/>
    </row>
    <row r="11436" spans="2:5">
      <c r="B11436" s="121">
        <v>981</v>
      </c>
      <c r="C11436" s="121">
        <v>14</v>
      </c>
      <c r="D11436" s="734">
        <v>144.03831945166749</v>
      </c>
      <c r="E11436" s="733"/>
    </row>
    <row r="11437" spans="2:5">
      <c r="B11437" s="121">
        <v>981</v>
      </c>
      <c r="C11437" s="121">
        <v>15</v>
      </c>
      <c r="D11437" s="734">
        <v>134.61475102828808</v>
      </c>
      <c r="E11437" s="733"/>
    </row>
    <row r="11438" spans="2:5">
      <c r="B11438" s="121">
        <v>981</v>
      </c>
      <c r="C11438" s="121">
        <v>16</v>
      </c>
      <c r="D11438" s="734">
        <v>133.91419616165049</v>
      </c>
      <c r="E11438" s="733"/>
    </row>
    <row r="11439" spans="2:5">
      <c r="B11439" s="121">
        <v>981</v>
      </c>
      <c r="C11439" s="121">
        <v>17</v>
      </c>
      <c r="D11439" s="734">
        <v>145.61585659894936</v>
      </c>
      <c r="E11439" s="733"/>
    </row>
    <row r="11440" spans="2:5">
      <c r="B11440" s="121">
        <v>981</v>
      </c>
      <c r="C11440" s="121">
        <v>18</v>
      </c>
      <c r="D11440" s="734">
        <v>140.84748667291319</v>
      </c>
      <c r="E11440" s="733"/>
    </row>
    <row r="11441" spans="2:5">
      <c r="B11441" s="121">
        <v>981</v>
      </c>
      <c r="C11441" s="121">
        <v>19</v>
      </c>
      <c r="D11441" s="734">
        <v>135.53789486715345</v>
      </c>
      <c r="E11441" s="733"/>
    </row>
    <row r="11442" spans="2:5">
      <c r="B11442" s="121">
        <v>982</v>
      </c>
      <c r="C11442" s="121">
        <v>1</v>
      </c>
      <c r="D11442" s="734">
        <v>5</v>
      </c>
      <c r="E11442" s="733"/>
    </row>
    <row r="11443" spans="2:5">
      <c r="B11443" s="121">
        <v>982</v>
      </c>
      <c r="C11443" s="121">
        <v>2</v>
      </c>
      <c r="D11443" s="734">
        <v>94.969765914749658</v>
      </c>
      <c r="E11443" s="733"/>
    </row>
    <row r="11444" spans="2:5">
      <c r="B11444" s="121">
        <v>982</v>
      </c>
      <c r="C11444" s="121">
        <v>3</v>
      </c>
      <c r="D11444" s="734">
        <v>117.20804251466031</v>
      </c>
      <c r="E11444" s="733"/>
    </row>
    <row r="11445" spans="2:5">
      <c r="B11445" s="121">
        <v>982</v>
      </c>
      <c r="C11445" s="121">
        <v>4</v>
      </c>
      <c r="D11445" s="734">
        <v>143.77196931466185</v>
      </c>
      <c r="E11445" s="733"/>
    </row>
    <row r="11446" spans="2:5">
      <c r="B11446" s="121">
        <v>982</v>
      </c>
      <c r="C11446" s="121">
        <v>5</v>
      </c>
      <c r="D11446" s="734">
        <v>139.05596263706076</v>
      </c>
      <c r="E11446" s="733"/>
    </row>
    <row r="11447" spans="2:5">
      <c r="B11447" s="121">
        <v>982</v>
      </c>
      <c r="C11447" s="121">
        <v>6</v>
      </c>
      <c r="D11447" s="734">
        <v>143.41067489012246</v>
      </c>
      <c r="E11447" s="733"/>
    </row>
    <row r="11448" spans="2:5">
      <c r="B11448" s="121">
        <v>982</v>
      </c>
      <c r="C11448" s="121">
        <v>7</v>
      </c>
      <c r="D11448" s="734">
        <v>134.66585602344023</v>
      </c>
      <c r="E11448" s="733"/>
    </row>
    <row r="11449" spans="2:5">
      <c r="B11449" s="121">
        <v>982</v>
      </c>
      <c r="C11449" s="121">
        <v>8</v>
      </c>
      <c r="D11449" s="734">
        <v>143.43107727264919</v>
      </c>
      <c r="E11449" s="733"/>
    </row>
    <row r="11450" spans="2:5">
      <c r="B11450" s="121">
        <v>982</v>
      </c>
      <c r="C11450" s="121">
        <v>9</v>
      </c>
      <c r="D11450" s="734">
        <v>136.22767827488752</v>
      </c>
      <c r="E11450" s="733"/>
    </row>
    <row r="11451" spans="2:5">
      <c r="B11451" s="121">
        <v>982</v>
      </c>
      <c r="C11451" s="121">
        <v>10</v>
      </c>
      <c r="D11451" s="734">
        <v>138.69873527156616</v>
      </c>
      <c r="E11451" s="733"/>
    </row>
    <row r="11452" spans="2:5">
      <c r="B11452" s="121">
        <v>982</v>
      </c>
      <c r="C11452" s="121">
        <v>11</v>
      </c>
      <c r="D11452" s="734">
        <v>144.88850599323487</v>
      </c>
      <c r="E11452" s="733"/>
    </row>
    <row r="11453" spans="2:5">
      <c r="B11453" s="121">
        <v>982</v>
      </c>
      <c r="C11453" s="121">
        <v>12</v>
      </c>
      <c r="D11453" s="734">
        <v>140.52924595302181</v>
      </c>
      <c r="E11453" s="733"/>
    </row>
    <row r="11454" spans="2:5">
      <c r="B11454" s="121">
        <v>982</v>
      </c>
      <c r="C11454" s="121">
        <v>13</v>
      </c>
      <c r="D11454" s="734">
        <v>143.81909482248193</v>
      </c>
      <c r="E11454" s="733"/>
    </row>
    <row r="11455" spans="2:5">
      <c r="B11455" s="121">
        <v>982</v>
      </c>
      <c r="C11455" s="121">
        <v>14</v>
      </c>
      <c r="D11455" s="734">
        <v>136.28825038356194</v>
      </c>
      <c r="E11455" s="733"/>
    </row>
    <row r="11456" spans="2:5">
      <c r="B11456" s="121">
        <v>982</v>
      </c>
      <c r="C11456" s="121">
        <v>15</v>
      </c>
      <c r="D11456" s="734">
        <v>136.35533031717824</v>
      </c>
      <c r="E11456" s="733"/>
    </row>
    <row r="11457" spans="2:5">
      <c r="B11457" s="121">
        <v>982</v>
      </c>
      <c r="C11457" s="121">
        <v>16</v>
      </c>
      <c r="D11457" s="734">
        <v>134.00564474101546</v>
      </c>
      <c r="E11457" s="733"/>
    </row>
    <row r="11458" spans="2:5">
      <c r="B11458" s="121">
        <v>982</v>
      </c>
      <c r="C11458" s="121">
        <v>17</v>
      </c>
      <c r="D11458" s="734">
        <v>135.52412454232905</v>
      </c>
      <c r="E11458" s="733"/>
    </row>
    <row r="11459" spans="2:5">
      <c r="B11459" s="121">
        <v>983</v>
      </c>
      <c r="C11459" s="121">
        <v>1</v>
      </c>
      <c r="D11459" s="734">
        <v>5</v>
      </c>
      <c r="E11459" s="733"/>
    </row>
    <row r="11460" spans="2:5">
      <c r="B11460" s="121">
        <v>983</v>
      </c>
      <c r="C11460" s="121">
        <v>2</v>
      </c>
      <c r="D11460" s="734">
        <v>100.72264952137611</v>
      </c>
      <c r="E11460" s="733"/>
    </row>
    <row r="11461" spans="2:5">
      <c r="B11461" s="121">
        <v>984</v>
      </c>
      <c r="C11461" s="121">
        <v>1</v>
      </c>
      <c r="D11461" s="734">
        <v>5</v>
      </c>
      <c r="E11461" s="733"/>
    </row>
    <row r="11462" spans="2:5">
      <c r="B11462" s="121">
        <v>984</v>
      </c>
      <c r="C11462" s="121">
        <v>2</v>
      </c>
      <c r="D11462" s="734">
        <v>99.716171662737665</v>
      </c>
      <c r="E11462" s="733"/>
    </row>
    <row r="11463" spans="2:5">
      <c r="B11463" s="121">
        <v>984</v>
      </c>
      <c r="C11463" s="121">
        <v>3</v>
      </c>
      <c r="D11463" s="734">
        <v>124.0841725569377</v>
      </c>
      <c r="E11463" s="733"/>
    </row>
    <row r="11464" spans="2:5">
      <c r="B11464" s="121">
        <v>984</v>
      </c>
      <c r="C11464" s="121">
        <v>4</v>
      </c>
      <c r="D11464" s="734">
        <v>134.61749339424597</v>
      </c>
      <c r="E11464" s="733"/>
    </row>
    <row r="11465" spans="2:5">
      <c r="B11465" s="121">
        <v>984</v>
      </c>
      <c r="C11465" s="121">
        <v>5</v>
      </c>
      <c r="D11465" s="734">
        <v>136.30803483439965</v>
      </c>
      <c r="E11465" s="733"/>
    </row>
    <row r="11466" spans="2:5">
      <c r="B11466" s="121">
        <v>984</v>
      </c>
      <c r="C11466" s="121">
        <v>6</v>
      </c>
      <c r="D11466" s="734">
        <v>143.55570290350084</v>
      </c>
      <c r="E11466" s="733"/>
    </row>
    <row r="11467" spans="2:5">
      <c r="B11467" s="121">
        <v>984</v>
      </c>
      <c r="C11467" s="121">
        <v>7</v>
      </c>
      <c r="D11467" s="734">
        <v>140.65983933806993</v>
      </c>
      <c r="E11467" s="733"/>
    </row>
    <row r="11468" spans="2:5">
      <c r="B11468" s="121">
        <v>984</v>
      </c>
      <c r="C11468" s="121">
        <v>8</v>
      </c>
      <c r="D11468" s="734">
        <v>134.43202909305487</v>
      </c>
      <c r="E11468" s="733"/>
    </row>
    <row r="11469" spans="2:5">
      <c r="B11469" s="121">
        <v>984</v>
      </c>
      <c r="C11469" s="121">
        <v>9</v>
      </c>
      <c r="D11469" s="734">
        <v>141.61012741133337</v>
      </c>
      <c r="E11469" s="733"/>
    </row>
    <row r="11470" spans="2:5">
      <c r="B11470" s="121">
        <v>984</v>
      </c>
      <c r="C11470" s="121">
        <v>10</v>
      </c>
      <c r="D11470" s="734">
        <v>143.08685233732413</v>
      </c>
      <c r="E11470" s="733"/>
    </row>
    <row r="11471" spans="2:5">
      <c r="B11471" s="121">
        <v>984</v>
      </c>
      <c r="C11471" s="121">
        <v>11</v>
      </c>
      <c r="D11471" s="734">
        <v>134.77841000924144</v>
      </c>
      <c r="E11471" s="733"/>
    </row>
    <row r="11472" spans="2:5">
      <c r="B11472" s="121">
        <v>984</v>
      </c>
      <c r="C11472" s="121">
        <v>12</v>
      </c>
      <c r="D11472" s="734">
        <v>135.40735191799476</v>
      </c>
      <c r="E11472" s="733"/>
    </row>
    <row r="11473" spans="2:5">
      <c r="B11473" s="121">
        <v>984</v>
      </c>
      <c r="C11473" s="121">
        <v>13</v>
      </c>
      <c r="D11473" s="734">
        <v>143.7165730493806</v>
      </c>
      <c r="E11473" s="733"/>
    </row>
    <row r="11474" spans="2:5">
      <c r="B11474" s="121">
        <v>984</v>
      </c>
      <c r="C11474" s="121">
        <v>14</v>
      </c>
      <c r="D11474" s="734">
        <v>143.74698367393398</v>
      </c>
      <c r="E11474" s="733"/>
    </row>
    <row r="11475" spans="2:5">
      <c r="B11475" s="121">
        <v>984</v>
      </c>
      <c r="C11475" s="121">
        <v>15</v>
      </c>
      <c r="D11475" s="734">
        <v>142.43238859412983</v>
      </c>
      <c r="E11475" s="733"/>
    </row>
    <row r="11476" spans="2:5">
      <c r="B11476" s="121">
        <v>984</v>
      </c>
      <c r="C11476" s="121">
        <v>16</v>
      </c>
      <c r="D11476" s="734">
        <v>136.26989660028326</v>
      </c>
      <c r="E11476" s="733"/>
    </row>
    <row r="11477" spans="2:5">
      <c r="B11477" s="121">
        <v>984</v>
      </c>
      <c r="C11477" s="121">
        <v>17</v>
      </c>
      <c r="D11477" s="734">
        <v>134.32317974110376</v>
      </c>
      <c r="E11477" s="733"/>
    </row>
    <row r="11478" spans="2:5">
      <c r="B11478" s="121">
        <v>984</v>
      </c>
      <c r="C11478" s="121">
        <v>18</v>
      </c>
      <c r="D11478" s="734">
        <v>139.4346895532166</v>
      </c>
      <c r="E11478" s="733"/>
    </row>
    <row r="11479" spans="2:5">
      <c r="B11479" s="121">
        <v>984</v>
      </c>
      <c r="C11479" s="121">
        <v>19</v>
      </c>
      <c r="D11479" s="734">
        <v>141.50310540167089</v>
      </c>
      <c r="E11479" s="733"/>
    </row>
    <row r="11480" spans="2:5">
      <c r="B11480" s="121">
        <v>984</v>
      </c>
      <c r="C11480" s="121">
        <v>20</v>
      </c>
      <c r="D11480" s="734">
        <v>140.48541587686606</v>
      </c>
      <c r="E11480" s="733"/>
    </row>
    <row r="11481" spans="2:5">
      <c r="B11481" s="121">
        <v>985</v>
      </c>
      <c r="C11481" s="121">
        <v>1</v>
      </c>
      <c r="D11481" s="734">
        <v>5</v>
      </c>
      <c r="E11481" s="733"/>
    </row>
    <row r="11482" spans="2:5">
      <c r="B11482" s="121">
        <v>985</v>
      </c>
      <c r="C11482" s="121">
        <v>2</v>
      </c>
      <c r="D11482" s="734">
        <v>101.15375696508799</v>
      </c>
      <c r="E11482" s="733"/>
    </row>
    <row r="11483" spans="2:5">
      <c r="B11483" s="121">
        <v>985</v>
      </c>
      <c r="C11483" s="121">
        <v>3</v>
      </c>
      <c r="D11483" s="734">
        <v>124.77871110169063</v>
      </c>
      <c r="E11483" s="733"/>
    </row>
    <row r="11484" spans="2:5">
      <c r="B11484" s="121">
        <v>985</v>
      </c>
      <c r="C11484" s="121">
        <v>4</v>
      </c>
      <c r="D11484" s="734">
        <v>143.31912703823775</v>
      </c>
      <c r="E11484" s="733"/>
    </row>
    <row r="11485" spans="2:5">
      <c r="B11485" s="121">
        <v>985</v>
      </c>
      <c r="C11485" s="121">
        <v>5</v>
      </c>
      <c r="D11485" s="734">
        <v>138.50969673339463</v>
      </c>
      <c r="E11485" s="733"/>
    </row>
    <row r="11486" spans="2:5">
      <c r="B11486" s="121">
        <v>985</v>
      </c>
      <c r="C11486" s="121">
        <v>6</v>
      </c>
      <c r="D11486" s="734">
        <v>145.85656718095689</v>
      </c>
      <c r="E11486" s="733"/>
    </row>
    <row r="11487" spans="2:5">
      <c r="B11487" s="121">
        <v>985</v>
      </c>
      <c r="C11487" s="121">
        <v>7</v>
      </c>
      <c r="D11487" s="734">
        <v>145.65840803595739</v>
      </c>
      <c r="E11487" s="733"/>
    </row>
    <row r="11488" spans="2:5">
      <c r="B11488" s="121">
        <v>985</v>
      </c>
      <c r="C11488" s="121">
        <v>8</v>
      </c>
      <c r="D11488" s="734">
        <v>133.90697508086643</v>
      </c>
      <c r="E11488" s="733"/>
    </row>
    <row r="11489" spans="2:5">
      <c r="B11489" s="121">
        <v>986</v>
      </c>
      <c r="C11489" s="121">
        <v>1</v>
      </c>
      <c r="D11489" s="734">
        <v>5</v>
      </c>
      <c r="E11489" s="733"/>
    </row>
    <row r="11490" spans="2:5">
      <c r="B11490" s="121">
        <v>986</v>
      </c>
      <c r="C11490" s="121">
        <v>2</v>
      </c>
      <c r="D11490" s="734">
        <v>96.095500335944124</v>
      </c>
      <c r="E11490" s="733"/>
    </row>
    <row r="11491" spans="2:5">
      <c r="B11491" s="121">
        <v>986</v>
      </c>
      <c r="C11491" s="121">
        <v>3</v>
      </c>
      <c r="D11491" s="734">
        <v>115.02958149101485</v>
      </c>
      <c r="E11491" s="733"/>
    </row>
    <row r="11492" spans="2:5">
      <c r="B11492" s="121">
        <v>986</v>
      </c>
      <c r="C11492" s="121">
        <v>4</v>
      </c>
      <c r="D11492" s="734">
        <v>134.0004165345147</v>
      </c>
      <c r="E11492" s="733"/>
    </row>
    <row r="11493" spans="2:5">
      <c r="B11493" s="121">
        <v>986</v>
      </c>
      <c r="C11493" s="121">
        <v>5</v>
      </c>
      <c r="D11493" s="734">
        <v>141.84727538169386</v>
      </c>
      <c r="E11493" s="733"/>
    </row>
    <row r="11494" spans="2:5">
      <c r="B11494" s="121">
        <v>986</v>
      </c>
      <c r="C11494" s="121">
        <v>6</v>
      </c>
      <c r="D11494" s="734">
        <v>139.80114024463961</v>
      </c>
      <c r="E11494" s="733"/>
    </row>
    <row r="11495" spans="2:5">
      <c r="B11495" s="121">
        <v>986</v>
      </c>
      <c r="C11495" s="121">
        <v>7</v>
      </c>
      <c r="D11495" s="734">
        <v>141.64905971089698</v>
      </c>
      <c r="E11495" s="733"/>
    </row>
    <row r="11496" spans="2:5">
      <c r="B11496" s="121">
        <v>986</v>
      </c>
      <c r="C11496" s="121">
        <v>8</v>
      </c>
      <c r="D11496" s="734">
        <v>137.00064267620212</v>
      </c>
      <c r="E11496" s="733"/>
    </row>
    <row r="11497" spans="2:5">
      <c r="B11497" s="121">
        <v>986</v>
      </c>
      <c r="C11497" s="121">
        <v>9</v>
      </c>
      <c r="D11497" s="734">
        <v>139.82910395579341</v>
      </c>
      <c r="E11497" s="733"/>
    </row>
    <row r="11498" spans="2:5">
      <c r="B11498" s="121">
        <v>986</v>
      </c>
      <c r="C11498" s="121">
        <v>10</v>
      </c>
      <c r="D11498" s="734">
        <v>141.2469980180235</v>
      </c>
      <c r="E11498" s="733"/>
    </row>
    <row r="11499" spans="2:5">
      <c r="B11499" s="121">
        <v>986</v>
      </c>
      <c r="C11499" s="121">
        <v>11</v>
      </c>
      <c r="D11499" s="734">
        <v>138.05152585322099</v>
      </c>
      <c r="E11499" s="733"/>
    </row>
    <row r="11500" spans="2:5">
      <c r="B11500" s="121">
        <v>986</v>
      </c>
      <c r="C11500" s="121">
        <v>12</v>
      </c>
      <c r="D11500" s="734">
        <v>145.70809041331191</v>
      </c>
      <c r="E11500" s="733"/>
    </row>
    <row r="11501" spans="2:5">
      <c r="B11501" s="121">
        <v>986</v>
      </c>
      <c r="C11501" s="121">
        <v>13</v>
      </c>
      <c r="D11501" s="734">
        <v>146.54424028144351</v>
      </c>
      <c r="E11501" s="733"/>
    </row>
    <row r="11502" spans="2:5">
      <c r="B11502" s="121">
        <v>986</v>
      </c>
      <c r="C11502" s="121">
        <v>14</v>
      </c>
      <c r="D11502" s="734">
        <v>134.03713944562023</v>
      </c>
      <c r="E11502" s="733"/>
    </row>
    <row r="11503" spans="2:5">
      <c r="B11503" s="121">
        <v>987</v>
      </c>
      <c r="C11503" s="121">
        <v>1</v>
      </c>
      <c r="D11503" s="734">
        <v>5</v>
      </c>
      <c r="E11503" s="733"/>
    </row>
    <row r="11504" spans="2:5">
      <c r="B11504" s="121">
        <v>987</v>
      </c>
      <c r="C11504" s="121">
        <v>2</v>
      </c>
      <c r="D11504" s="734">
        <v>101.69595292235391</v>
      </c>
      <c r="E11504" s="733"/>
    </row>
    <row r="11505" spans="2:5">
      <c r="B11505" s="121">
        <v>987</v>
      </c>
      <c r="C11505" s="121">
        <v>3</v>
      </c>
      <c r="D11505" s="734">
        <v>121.06227551934411</v>
      </c>
      <c r="E11505" s="733"/>
    </row>
    <row r="11506" spans="2:5">
      <c r="B11506" s="121">
        <v>987</v>
      </c>
      <c r="C11506" s="121">
        <v>4</v>
      </c>
      <c r="D11506" s="734">
        <v>142.56411017057596</v>
      </c>
      <c r="E11506" s="733"/>
    </row>
    <row r="11507" spans="2:5">
      <c r="B11507" s="121">
        <v>987</v>
      </c>
      <c r="C11507" s="121">
        <v>5</v>
      </c>
      <c r="D11507" s="734">
        <v>140.30098358392533</v>
      </c>
      <c r="E11507" s="733"/>
    </row>
    <row r="11508" spans="2:5">
      <c r="B11508" s="121">
        <v>987</v>
      </c>
      <c r="C11508" s="121">
        <v>6</v>
      </c>
      <c r="D11508" s="734">
        <v>146.08009462604792</v>
      </c>
      <c r="E11508" s="733"/>
    </row>
    <row r="11509" spans="2:5">
      <c r="B11509" s="121">
        <v>987</v>
      </c>
      <c r="C11509" s="121">
        <v>7</v>
      </c>
      <c r="D11509" s="734">
        <v>141.76334717256938</v>
      </c>
      <c r="E11509" s="733"/>
    </row>
    <row r="11510" spans="2:5">
      <c r="B11510" s="121">
        <v>987</v>
      </c>
      <c r="C11510" s="121">
        <v>8</v>
      </c>
      <c r="D11510" s="734">
        <v>139.73771687153862</v>
      </c>
      <c r="E11510" s="733"/>
    </row>
    <row r="11511" spans="2:5">
      <c r="B11511" s="121">
        <v>987</v>
      </c>
      <c r="C11511" s="121">
        <v>9</v>
      </c>
      <c r="D11511" s="734">
        <v>138.78930298227439</v>
      </c>
      <c r="E11511" s="733"/>
    </row>
    <row r="11512" spans="2:5">
      <c r="B11512" s="121">
        <v>987</v>
      </c>
      <c r="C11512" s="121">
        <v>10</v>
      </c>
      <c r="D11512" s="734">
        <v>140.70744533319086</v>
      </c>
      <c r="E11512" s="733"/>
    </row>
    <row r="11513" spans="2:5">
      <c r="B11513" s="121">
        <v>987</v>
      </c>
      <c r="C11513" s="121">
        <v>11</v>
      </c>
      <c r="D11513" s="734">
        <v>135.49885766110279</v>
      </c>
      <c r="E11513" s="733"/>
    </row>
    <row r="11514" spans="2:5">
      <c r="B11514" s="121">
        <v>987</v>
      </c>
      <c r="C11514" s="121">
        <v>12</v>
      </c>
      <c r="D11514" s="734">
        <v>135.02331402719969</v>
      </c>
      <c r="E11514" s="733"/>
    </row>
    <row r="11515" spans="2:5">
      <c r="B11515" s="121">
        <v>987</v>
      </c>
      <c r="C11515" s="121">
        <v>13</v>
      </c>
      <c r="D11515" s="734">
        <v>142.91848400028857</v>
      </c>
      <c r="E11515" s="733"/>
    </row>
    <row r="11516" spans="2:5">
      <c r="B11516" s="121">
        <v>987</v>
      </c>
      <c r="C11516" s="121">
        <v>14</v>
      </c>
      <c r="D11516" s="734">
        <v>139.52466329756362</v>
      </c>
      <c r="E11516" s="733"/>
    </row>
    <row r="11517" spans="2:5">
      <c r="B11517" s="121">
        <v>987</v>
      </c>
      <c r="C11517" s="121">
        <v>15</v>
      </c>
      <c r="D11517" s="734">
        <v>143.54930875365559</v>
      </c>
      <c r="E11517" s="733"/>
    </row>
    <row r="11518" spans="2:5">
      <c r="B11518" s="121">
        <v>987</v>
      </c>
      <c r="C11518" s="121">
        <v>16</v>
      </c>
      <c r="D11518" s="734">
        <v>133.67981669984081</v>
      </c>
      <c r="E11518" s="733"/>
    </row>
    <row r="11519" spans="2:5">
      <c r="B11519" s="121">
        <v>987</v>
      </c>
      <c r="C11519" s="121">
        <v>17</v>
      </c>
      <c r="D11519" s="734">
        <v>146.95578976105139</v>
      </c>
      <c r="E11519" s="733"/>
    </row>
    <row r="11520" spans="2:5">
      <c r="B11520" s="121">
        <v>987</v>
      </c>
      <c r="C11520" s="121">
        <v>18</v>
      </c>
      <c r="D11520" s="734">
        <v>140.96435131129175</v>
      </c>
      <c r="E11520" s="733"/>
    </row>
    <row r="11521" spans="2:5">
      <c r="B11521" s="121">
        <v>987</v>
      </c>
      <c r="C11521" s="121">
        <v>19</v>
      </c>
      <c r="D11521" s="734">
        <v>145.69502119005276</v>
      </c>
      <c r="E11521" s="733"/>
    </row>
    <row r="11522" spans="2:5">
      <c r="B11522" s="121">
        <v>987</v>
      </c>
      <c r="C11522" s="121">
        <v>20</v>
      </c>
      <c r="D11522" s="734">
        <v>140.88928629035581</v>
      </c>
      <c r="E11522" s="733"/>
    </row>
    <row r="11523" spans="2:5">
      <c r="B11523" s="121">
        <v>987</v>
      </c>
      <c r="C11523" s="121">
        <v>21</v>
      </c>
      <c r="D11523" s="734">
        <v>134.16831514732976</v>
      </c>
      <c r="E11523" s="733"/>
    </row>
    <row r="11524" spans="2:5">
      <c r="B11524" s="121">
        <v>987</v>
      </c>
      <c r="C11524" s="121">
        <v>22</v>
      </c>
      <c r="D11524" s="734">
        <v>137.77996552560472</v>
      </c>
      <c r="E11524" s="733"/>
    </row>
    <row r="11525" spans="2:5">
      <c r="B11525" s="121">
        <v>987</v>
      </c>
      <c r="C11525" s="121">
        <v>23</v>
      </c>
      <c r="D11525" s="734">
        <v>143.87140202973478</v>
      </c>
      <c r="E11525" s="733"/>
    </row>
    <row r="11526" spans="2:5">
      <c r="B11526" s="121">
        <v>987</v>
      </c>
      <c r="C11526" s="121">
        <v>24</v>
      </c>
      <c r="D11526" s="734">
        <v>141.05187721216316</v>
      </c>
      <c r="E11526" s="733"/>
    </row>
    <row r="11527" spans="2:5">
      <c r="B11527" s="121">
        <v>987</v>
      </c>
      <c r="C11527" s="121">
        <v>25</v>
      </c>
      <c r="D11527" s="734">
        <v>146.73201547710602</v>
      </c>
      <c r="E11527" s="733"/>
    </row>
    <row r="11528" spans="2:5">
      <c r="B11528" s="121">
        <v>988</v>
      </c>
      <c r="C11528" s="121">
        <v>1</v>
      </c>
      <c r="D11528" s="734">
        <v>5</v>
      </c>
      <c r="E11528" s="733"/>
    </row>
    <row r="11529" spans="2:5">
      <c r="B11529" s="121">
        <v>989</v>
      </c>
      <c r="C11529" s="121">
        <v>1</v>
      </c>
      <c r="D11529" s="734">
        <v>5</v>
      </c>
      <c r="E11529" s="733"/>
    </row>
    <row r="11530" spans="2:5">
      <c r="B11530" s="121">
        <v>989</v>
      </c>
      <c r="C11530" s="121">
        <v>2</v>
      </c>
      <c r="D11530" s="734">
        <v>99.992089868235752</v>
      </c>
      <c r="E11530" s="733"/>
    </row>
    <row r="11531" spans="2:5">
      <c r="B11531" s="121">
        <v>989</v>
      </c>
      <c r="C11531" s="121">
        <v>3</v>
      </c>
      <c r="D11531" s="734">
        <v>123.57493686778419</v>
      </c>
      <c r="E11531" s="733"/>
    </row>
    <row r="11532" spans="2:5">
      <c r="B11532" s="121">
        <v>989</v>
      </c>
      <c r="C11532" s="121">
        <v>4</v>
      </c>
      <c r="D11532" s="734">
        <v>141.63812795629204</v>
      </c>
      <c r="E11532" s="733"/>
    </row>
    <row r="11533" spans="2:5">
      <c r="B11533" s="121">
        <v>990</v>
      </c>
      <c r="C11533" s="121">
        <v>1</v>
      </c>
      <c r="D11533" s="734">
        <v>5</v>
      </c>
      <c r="E11533" s="733"/>
    </row>
    <row r="11534" spans="2:5">
      <c r="B11534" s="121">
        <v>991</v>
      </c>
      <c r="C11534" s="121">
        <v>1</v>
      </c>
      <c r="D11534" s="734">
        <v>5</v>
      </c>
      <c r="E11534" s="733"/>
    </row>
    <row r="11535" spans="2:5">
      <c r="B11535" s="121">
        <v>991</v>
      </c>
      <c r="C11535" s="121">
        <v>2</v>
      </c>
      <c r="D11535" s="734">
        <v>94.089017713392693</v>
      </c>
      <c r="E11535" s="733"/>
    </row>
    <row r="11536" spans="2:5">
      <c r="B11536" s="121">
        <v>991</v>
      </c>
      <c r="C11536" s="121">
        <v>3</v>
      </c>
      <c r="D11536" s="734">
        <v>119.96353588641702</v>
      </c>
      <c r="E11536" s="733"/>
    </row>
    <row r="11537" spans="2:5">
      <c r="B11537" s="121">
        <v>991</v>
      </c>
      <c r="C11537" s="121">
        <v>4</v>
      </c>
      <c r="D11537" s="734">
        <v>144.21598765907567</v>
      </c>
      <c r="E11537" s="733"/>
    </row>
    <row r="11538" spans="2:5">
      <c r="B11538" s="121">
        <v>991</v>
      </c>
      <c r="C11538" s="121">
        <v>5</v>
      </c>
      <c r="D11538" s="734">
        <v>138.5192467385275</v>
      </c>
      <c r="E11538" s="733"/>
    </row>
    <row r="11539" spans="2:5">
      <c r="B11539" s="121">
        <v>991</v>
      </c>
      <c r="C11539" s="121">
        <v>6</v>
      </c>
      <c r="D11539" s="734">
        <v>135.69003688274142</v>
      </c>
      <c r="E11539" s="733"/>
    </row>
    <row r="11540" spans="2:5">
      <c r="B11540" s="121">
        <v>991</v>
      </c>
      <c r="C11540" s="121">
        <v>7</v>
      </c>
      <c r="D11540" s="734">
        <v>138.36874357654494</v>
      </c>
      <c r="E11540" s="733"/>
    </row>
    <row r="11541" spans="2:5">
      <c r="B11541" s="121">
        <v>991</v>
      </c>
      <c r="C11541" s="121">
        <v>8</v>
      </c>
      <c r="D11541" s="734">
        <v>138.98814954978889</v>
      </c>
      <c r="E11541" s="733"/>
    </row>
    <row r="11542" spans="2:5">
      <c r="B11542" s="121">
        <v>991</v>
      </c>
      <c r="C11542" s="121">
        <v>9</v>
      </c>
      <c r="D11542" s="734">
        <v>143.07814071068225</v>
      </c>
      <c r="E11542" s="733"/>
    </row>
    <row r="11543" spans="2:5">
      <c r="B11543" s="121">
        <v>991</v>
      </c>
      <c r="C11543" s="121">
        <v>10</v>
      </c>
      <c r="D11543" s="734">
        <v>134.23919231676672</v>
      </c>
      <c r="E11543" s="733"/>
    </row>
    <row r="11544" spans="2:5">
      <c r="B11544" s="121">
        <v>991</v>
      </c>
      <c r="C11544" s="121">
        <v>11</v>
      </c>
      <c r="D11544" s="734">
        <v>138.0161887222846</v>
      </c>
      <c r="E11544" s="733"/>
    </row>
    <row r="11545" spans="2:5">
      <c r="B11545" s="121">
        <v>991</v>
      </c>
      <c r="C11545" s="121">
        <v>12</v>
      </c>
      <c r="D11545" s="734">
        <v>144.50763765302779</v>
      </c>
      <c r="E11545" s="733"/>
    </row>
    <row r="11546" spans="2:5">
      <c r="B11546" s="121">
        <v>991</v>
      </c>
      <c r="C11546" s="121">
        <v>13</v>
      </c>
      <c r="D11546" s="734">
        <v>137.86604806181654</v>
      </c>
      <c r="E11546" s="733"/>
    </row>
    <row r="11547" spans="2:5">
      <c r="B11547" s="121">
        <v>991</v>
      </c>
      <c r="C11547" s="121">
        <v>14</v>
      </c>
      <c r="D11547" s="734">
        <v>138.07231645738963</v>
      </c>
      <c r="E11547" s="733"/>
    </row>
    <row r="11548" spans="2:5">
      <c r="B11548" s="121">
        <v>991</v>
      </c>
      <c r="C11548" s="121">
        <v>15</v>
      </c>
      <c r="D11548" s="734">
        <v>134.74700368930257</v>
      </c>
      <c r="E11548" s="733"/>
    </row>
    <row r="11549" spans="2:5">
      <c r="B11549" s="121">
        <v>991</v>
      </c>
      <c r="C11549" s="121">
        <v>16</v>
      </c>
      <c r="D11549" s="734">
        <v>136.98464805670261</v>
      </c>
      <c r="E11549" s="733"/>
    </row>
    <row r="11550" spans="2:5">
      <c r="B11550" s="121">
        <v>991</v>
      </c>
      <c r="C11550" s="121">
        <v>17</v>
      </c>
      <c r="D11550" s="734">
        <v>144.43995579951365</v>
      </c>
      <c r="E11550" s="733"/>
    </row>
    <row r="11551" spans="2:5">
      <c r="B11551" s="121">
        <v>991</v>
      </c>
      <c r="C11551" s="121">
        <v>18</v>
      </c>
      <c r="D11551" s="734">
        <v>141.74349269669221</v>
      </c>
      <c r="E11551" s="733"/>
    </row>
    <row r="11552" spans="2:5">
      <c r="B11552" s="121">
        <v>992</v>
      </c>
      <c r="C11552" s="121">
        <v>1</v>
      </c>
      <c r="D11552" s="734">
        <v>5</v>
      </c>
      <c r="E11552" s="733"/>
    </row>
    <row r="11553" spans="2:5">
      <c r="B11553" s="121">
        <v>992</v>
      </c>
      <c r="C11553" s="121">
        <v>2</v>
      </c>
      <c r="D11553" s="734">
        <v>96.122796310795792</v>
      </c>
      <c r="E11553" s="733"/>
    </row>
    <row r="11554" spans="2:5">
      <c r="B11554" s="121">
        <v>992</v>
      </c>
      <c r="C11554" s="121">
        <v>3</v>
      </c>
      <c r="D11554" s="734">
        <v>120.74587698122106</v>
      </c>
      <c r="E11554" s="733"/>
    </row>
    <row r="11555" spans="2:5">
      <c r="B11555" s="121">
        <v>992</v>
      </c>
      <c r="C11555" s="121">
        <v>4</v>
      </c>
      <c r="D11555" s="734">
        <v>144.47482104340116</v>
      </c>
      <c r="E11555" s="733"/>
    </row>
    <row r="11556" spans="2:5">
      <c r="B11556" s="121">
        <v>992</v>
      </c>
      <c r="C11556" s="121">
        <v>5</v>
      </c>
      <c r="D11556" s="734">
        <v>138.54950518523245</v>
      </c>
      <c r="E11556" s="733"/>
    </row>
    <row r="11557" spans="2:5">
      <c r="B11557" s="121">
        <v>992</v>
      </c>
      <c r="C11557" s="121">
        <v>6</v>
      </c>
      <c r="D11557" s="734">
        <v>143.72561096291258</v>
      </c>
      <c r="E11557" s="733"/>
    </row>
    <row r="11558" spans="2:5">
      <c r="B11558" s="121">
        <v>992</v>
      </c>
      <c r="C11558" s="121">
        <v>7</v>
      </c>
      <c r="D11558" s="734">
        <v>137.77836514144607</v>
      </c>
      <c r="E11558" s="733"/>
    </row>
    <row r="11559" spans="2:5">
      <c r="B11559" s="121">
        <v>992</v>
      </c>
      <c r="C11559" s="121">
        <v>8</v>
      </c>
      <c r="D11559" s="734">
        <v>140.48920628287118</v>
      </c>
      <c r="E11559" s="733"/>
    </row>
    <row r="11560" spans="2:5">
      <c r="B11560" s="121">
        <v>992</v>
      </c>
      <c r="C11560" s="121">
        <v>9</v>
      </c>
      <c r="D11560" s="734">
        <v>138.24181995332768</v>
      </c>
      <c r="E11560" s="733"/>
    </row>
    <row r="11561" spans="2:5">
      <c r="B11561" s="121">
        <v>992</v>
      </c>
      <c r="C11561" s="121">
        <v>10</v>
      </c>
      <c r="D11561" s="734">
        <v>147.27960441328108</v>
      </c>
      <c r="E11561" s="733"/>
    </row>
    <row r="11562" spans="2:5">
      <c r="B11562" s="121">
        <v>992</v>
      </c>
      <c r="C11562" s="121">
        <v>11</v>
      </c>
      <c r="D11562" s="734">
        <v>138.18755884844632</v>
      </c>
      <c r="E11562" s="733"/>
    </row>
    <row r="11563" spans="2:5">
      <c r="B11563" s="121">
        <v>992</v>
      </c>
      <c r="C11563" s="121">
        <v>12</v>
      </c>
      <c r="D11563" s="734">
        <v>145.72948940811258</v>
      </c>
      <c r="E11563" s="733"/>
    </row>
    <row r="11564" spans="2:5">
      <c r="B11564" s="121">
        <v>992</v>
      </c>
      <c r="C11564" s="121">
        <v>13</v>
      </c>
      <c r="D11564" s="734">
        <v>140.72324225385751</v>
      </c>
      <c r="E11564" s="733"/>
    </row>
    <row r="11565" spans="2:5">
      <c r="B11565" s="121">
        <v>992</v>
      </c>
      <c r="C11565" s="121">
        <v>14</v>
      </c>
      <c r="D11565" s="734">
        <v>139.05325796308554</v>
      </c>
      <c r="E11565" s="733"/>
    </row>
    <row r="11566" spans="2:5">
      <c r="B11566" s="121">
        <v>992</v>
      </c>
      <c r="C11566" s="121">
        <v>15</v>
      </c>
      <c r="D11566" s="734">
        <v>139.75098667132551</v>
      </c>
      <c r="E11566" s="733"/>
    </row>
    <row r="11567" spans="2:5">
      <c r="B11567" s="121">
        <v>992</v>
      </c>
      <c r="C11567" s="121">
        <v>16</v>
      </c>
      <c r="D11567" s="734">
        <v>140.78167253272991</v>
      </c>
      <c r="E11567" s="733"/>
    </row>
    <row r="11568" spans="2:5">
      <c r="B11568" s="121">
        <v>992</v>
      </c>
      <c r="C11568" s="121">
        <v>17</v>
      </c>
      <c r="D11568" s="734">
        <v>140.51365305256144</v>
      </c>
      <c r="E11568" s="733"/>
    </row>
    <row r="11569" spans="2:5">
      <c r="B11569" s="121">
        <v>992</v>
      </c>
      <c r="C11569" s="121">
        <v>18</v>
      </c>
      <c r="D11569" s="734">
        <v>146.09508409056116</v>
      </c>
      <c r="E11569" s="733"/>
    </row>
    <row r="11570" spans="2:5">
      <c r="B11570" s="121">
        <v>992</v>
      </c>
      <c r="C11570" s="121">
        <v>19</v>
      </c>
      <c r="D11570" s="734">
        <v>134.68168551538886</v>
      </c>
      <c r="E11570" s="733"/>
    </row>
    <row r="11571" spans="2:5">
      <c r="B11571" s="121">
        <v>992</v>
      </c>
      <c r="C11571" s="121">
        <v>20</v>
      </c>
      <c r="D11571" s="734">
        <v>135.59647319884024</v>
      </c>
      <c r="E11571" s="733"/>
    </row>
    <row r="11572" spans="2:5">
      <c r="B11572" s="121">
        <v>992</v>
      </c>
      <c r="C11572" s="121">
        <v>21</v>
      </c>
      <c r="D11572" s="734">
        <v>143.00329659371167</v>
      </c>
      <c r="E11572" s="733"/>
    </row>
    <row r="11573" spans="2:5">
      <c r="B11573" s="121">
        <v>992</v>
      </c>
      <c r="C11573" s="121">
        <v>22</v>
      </c>
      <c r="D11573" s="734">
        <v>144.44666301065041</v>
      </c>
      <c r="E11573" s="733"/>
    </row>
    <row r="11574" spans="2:5">
      <c r="B11574" s="121">
        <v>992</v>
      </c>
      <c r="C11574" s="121">
        <v>23</v>
      </c>
      <c r="D11574" s="734">
        <v>140.45202331122482</v>
      </c>
      <c r="E11574" s="733"/>
    </row>
    <row r="11575" spans="2:5">
      <c r="B11575" s="121">
        <v>992</v>
      </c>
      <c r="C11575" s="121">
        <v>24</v>
      </c>
      <c r="D11575" s="734">
        <v>140.77398156165336</v>
      </c>
      <c r="E11575" s="733"/>
    </row>
    <row r="11576" spans="2:5">
      <c r="B11576" s="121">
        <v>992</v>
      </c>
      <c r="C11576" s="121">
        <v>25</v>
      </c>
      <c r="D11576" s="734">
        <v>144.69860796305963</v>
      </c>
      <c r="E11576" s="733"/>
    </row>
    <row r="11577" spans="2:5">
      <c r="B11577" s="121">
        <v>992</v>
      </c>
      <c r="C11577" s="121">
        <v>26</v>
      </c>
      <c r="D11577" s="734">
        <v>138.9675728383657</v>
      </c>
      <c r="E11577" s="733"/>
    </row>
    <row r="11578" spans="2:5">
      <c r="B11578" s="121">
        <v>993</v>
      </c>
      <c r="C11578" s="121">
        <v>1</v>
      </c>
      <c r="D11578" s="734">
        <v>5</v>
      </c>
      <c r="E11578" s="733"/>
    </row>
    <row r="11579" spans="2:5">
      <c r="B11579" s="121">
        <v>993</v>
      </c>
      <c r="C11579" s="121">
        <v>2</v>
      </c>
      <c r="D11579" s="734">
        <v>94.611249632858431</v>
      </c>
      <c r="E11579" s="733"/>
    </row>
    <row r="11580" spans="2:5">
      <c r="B11580" s="121">
        <v>993</v>
      </c>
      <c r="C11580" s="121">
        <v>3</v>
      </c>
      <c r="D11580" s="734">
        <v>115.62748421496401</v>
      </c>
      <c r="E11580" s="733"/>
    </row>
    <row r="11581" spans="2:5">
      <c r="B11581" s="121">
        <v>993</v>
      </c>
      <c r="C11581" s="121">
        <v>4</v>
      </c>
      <c r="D11581" s="734">
        <v>139.80865776121695</v>
      </c>
      <c r="E11581" s="733"/>
    </row>
    <row r="11582" spans="2:5">
      <c r="B11582" s="121">
        <v>993</v>
      </c>
      <c r="C11582" s="121">
        <v>5</v>
      </c>
      <c r="D11582" s="734">
        <v>140.95006400595307</v>
      </c>
      <c r="E11582" s="733"/>
    </row>
    <row r="11583" spans="2:5">
      <c r="B11583" s="121">
        <v>993</v>
      </c>
      <c r="C11583" s="121">
        <v>6</v>
      </c>
      <c r="D11583" s="734">
        <v>147.08200625754569</v>
      </c>
      <c r="E11583" s="733"/>
    </row>
    <row r="11584" spans="2:5">
      <c r="B11584" s="121">
        <v>993</v>
      </c>
      <c r="C11584" s="121">
        <v>7</v>
      </c>
      <c r="D11584" s="734">
        <v>139.21955675265008</v>
      </c>
      <c r="E11584" s="733"/>
    </row>
    <row r="11585" spans="2:5">
      <c r="B11585" s="121">
        <v>993</v>
      </c>
      <c r="C11585" s="121">
        <v>8</v>
      </c>
      <c r="D11585" s="734">
        <v>136.68741213026269</v>
      </c>
      <c r="E11585" s="733"/>
    </row>
    <row r="11586" spans="2:5">
      <c r="B11586" s="121">
        <v>994</v>
      </c>
      <c r="C11586" s="121">
        <v>1</v>
      </c>
      <c r="D11586" s="734">
        <v>5</v>
      </c>
      <c r="E11586" s="733"/>
    </row>
    <row r="11587" spans="2:5">
      <c r="B11587" s="121">
        <v>994</v>
      </c>
      <c r="C11587" s="121">
        <v>2</v>
      </c>
      <c r="D11587" s="734">
        <v>97.809177097616129</v>
      </c>
      <c r="E11587" s="733"/>
    </row>
    <row r="11588" spans="2:5">
      <c r="B11588" s="121">
        <v>994</v>
      </c>
      <c r="C11588" s="121">
        <v>3</v>
      </c>
      <c r="D11588" s="734">
        <v>116.27462115369393</v>
      </c>
      <c r="E11588" s="733"/>
    </row>
    <row r="11589" spans="2:5">
      <c r="B11589" s="121">
        <v>994</v>
      </c>
      <c r="C11589" s="121">
        <v>4</v>
      </c>
      <c r="D11589" s="734">
        <v>135.30666527265294</v>
      </c>
      <c r="E11589" s="733"/>
    </row>
    <row r="11590" spans="2:5">
      <c r="B11590" s="121">
        <v>994</v>
      </c>
      <c r="C11590" s="121">
        <v>5</v>
      </c>
      <c r="D11590" s="734">
        <v>138.21330398467748</v>
      </c>
      <c r="E11590" s="733"/>
    </row>
    <row r="11591" spans="2:5">
      <c r="B11591" s="121">
        <v>994</v>
      </c>
      <c r="C11591" s="121">
        <v>6</v>
      </c>
      <c r="D11591" s="734">
        <v>134.03797580374831</v>
      </c>
      <c r="E11591" s="733"/>
    </row>
    <row r="11592" spans="2:5">
      <c r="B11592" s="121">
        <v>994</v>
      </c>
      <c r="C11592" s="121">
        <v>7</v>
      </c>
      <c r="D11592" s="734">
        <v>140.63203564266701</v>
      </c>
      <c r="E11592" s="733"/>
    </row>
    <row r="11593" spans="2:5">
      <c r="B11593" s="121">
        <v>994</v>
      </c>
      <c r="C11593" s="121">
        <v>8</v>
      </c>
      <c r="D11593" s="734">
        <v>144.05229372945877</v>
      </c>
      <c r="E11593" s="733"/>
    </row>
    <row r="11594" spans="2:5">
      <c r="B11594" s="121">
        <v>994</v>
      </c>
      <c r="C11594" s="121">
        <v>9</v>
      </c>
      <c r="D11594" s="734">
        <v>135.22968249494858</v>
      </c>
      <c r="E11594" s="733"/>
    </row>
    <row r="11595" spans="2:5">
      <c r="B11595" s="121">
        <v>994</v>
      </c>
      <c r="C11595" s="121">
        <v>10</v>
      </c>
      <c r="D11595" s="734">
        <v>145.03014217908026</v>
      </c>
      <c r="E11595" s="733"/>
    </row>
    <row r="11596" spans="2:5">
      <c r="B11596" s="121">
        <v>994</v>
      </c>
      <c r="C11596" s="121">
        <v>11</v>
      </c>
      <c r="D11596" s="734">
        <v>144.02797726907039</v>
      </c>
      <c r="E11596" s="733"/>
    </row>
    <row r="11597" spans="2:5">
      <c r="B11597" s="121">
        <v>994</v>
      </c>
      <c r="C11597" s="121">
        <v>12</v>
      </c>
      <c r="D11597" s="734">
        <v>143.23988002652038</v>
      </c>
      <c r="E11597" s="733"/>
    </row>
    <row r="11598" spans="2:5">
      <c r="B11598" s="121">
        <v>994</v>
      </c>
      <c r="C11598" s="121">
        <v>13</v>
      </c>
      <c r="D11598" s="734">
        <v>140.23235712449647</v>
      </c>
      <c r="E11598" s="733"/>
    </row>
    <row r="11599" spans="2:5">
      <c r="B11599" s="121">
        <v>994</v>
      </c>
      <c r="C11599" s="121">
        <v>14</v>
      </c>
      <c r="D11599" s="734">
        <v>136.24478136655918</v>
      </c>
      <c r="E11599" s="733"/>
    </row>
    <row r="11600" spans="2:5">
      <c r="B11600" s="121">
        <v>994</v>
      </c>
      <c r="C11600" s="121">
        <v>15</v>
      </c>
      <c r="D11600" s="734">
        <v>139.76184547406163</v>
      </c>
      <c r="E11600" s="733"/>
    </row>
    <row r="11601" spans="2:5">
      <c r="B11601" s="121">
        <v>994</v>
      </c>
      <c r="C11601" s="121">
        <v>16</v>
      </c>
      <c r="D11601" s="734">
        <v>144.41883268354877</v>
      </c>
      <c r="E11601" s="733"/>
    </row>
    <row r="11602" spans="2:5">
      <c r="B11602" s="121">
        <v>994</v>
      </c>
      <c r="C11602" s="121">
        <v>17</v>
      </c>
      <c r="D11602" s="734">
        <v>145.68181032076586</v>
      </c>
      <c r="E11602" s="733"/>
    </row>
    <row r="11603" spans="2:5">
      <c r="B11603" s="121">
        <v>995</v>
      </c>
      <c r="C11603" s="121">
        <v>1</v>
      </c>
      <c r="D11603" s="734">
        <v>5</v>
      </c>
      <c r="E11603" s="733"/>
    </row>
    <row r="11604" spans="2:5">
      <c r="B11604" s="121">
        <v>995</v>
      </c>
      <c r="C11604" s="121">
        <v>2</v>
      </c>
      <c r="D11604" s="734">
        <v>100.05186420146855</v>
      </c>
      <c r="E11604" s="733"/>
    </row>
    <row r="11605" spans="2:5">
      <c r="B11605" s="121">
        <v>995</v>
      </c>
      <c r="C11605" s="121">
        <v>3</v>
      </c>
      <c r="D11605" s="734">
        <v>117.19132915101545</v>
      </c>
      <c r="E11605" s="733"/>
    </row>
    <row r="11606" spans="2:5">
      <c r="B11606" s="121">
        <v>995</v>
      </c>
      <c r="C11606" s="121">
        <v>4</v>
      </c>
      <c r="D11606" s="734">
        <v>144.81313268394294</v>
      </c>
      <c r="E11606" s="733"/>
    </row>
    <row r="11607" spans="2:5">
      <c r="B11607" s="121">
        <v>995</v>
      </c>
      <c r="C11607" s="121">
        <v>5</v>
      </c>
      <c r="D11607" s="734">
        <v>147.22997409405849</v>
      </c>
      <c r="E11607" s="733"/>
    </row>
    <row r="11608" spans="2:5">
      <c r="B11608" s="121">
        <v>995</v>
      </c>
      <c r="C11608" s="121">
        <v>6</v>
      </c>
      <c r="D11608" s="734">
        <v>135.31538692438949</v>
      </c>
      <c r="E11608" s="733"/>
    </row>
    <row r="11609" spans="2:5">
      <c r="B11609" s="121">
        <v>995</v>
      </c>
      <c r="C11609" s="121">
        <v>7</v>
      </c>
      <c r="D11609" s="734">
        <v>138.84463892401487</v>
      </c>
      <c r="E11609" s="733"/>
    </row>
    <row r="11610" spans="2:5">
      <c r="B11610" s="121">
        <v>995</v>
      </c>
      <c r="C11610" s="121">
        <v>8</v>
      </c>
      <c r="D11610" s="734">
        <v>141.52855990843642</v>
      </c>
      <c r="E11610" s="733"/>
    </row>
    <row r="11611" spans="2:5">
      <c r="B11611" s="121">
        <v>995</v>
      </c>
      <c r="C11611" s="121">
        <v>9</v>
      </c>
      <c r="D11611" s="734">
        <v>138.19909019825249</v>
      </c>
      <c r="E11611" s="733"/>
    </row>
    <row r="11612" spans="2:5">
      <c r="B11612" s="121">
        <v>996</v>
      </c>
      <c r="C11612" s="121">
        <v>1</v>
      </c>
      <c r="D11612" s="734">
        <v>5</v>
      </c>
      <c r="E11612" s="733"/>
    </row>
    <row r="11613" spans="2:5">
      <c r="B11613" s="121">
        <v>996</v>
      </c>
      <c r="C11613" s="121">
        <v>2</v>
      </c>
      <c r="D11613" s="734">
        <v>97.931188084137986</v>
      </c>
      <c r="E11613" s="733"/>
    </row>
    <row r="11614" spans="2:5">
      <c r="B11614" s="121">
        <v>996</v>
      </c>
      <c r="C11614" s="121">
        <v>3</v>
      </c>
      <c r="D11614" s="734">
        <v>119.06380653770614</v>
      </c>
      <c r="E11614" s="733"/>
    </row>
    <row r="11615" spans="2:5">
      <c r="B11615" s="121">
        <v>996</v>
      </c>
      <c r="C11615" s="121">
        <v>4</v>
      </c>
      <c r="D11615" s="734">
        <v>139.86706749885235</v>
      </c>
      <c r="E11615" s="733"/>
    </row>
    <row r="11616" spans="2:5">
      <c r="B11616" s="121">
        <v>996</v>
      </c>
      <c r="C11616" s="121">
        <v>5</v>
      </c>
      <c r="D11616" s="734">
        <v>144.45350577211448</v>
      </c>
      <c r="E11616" s="733"/>
    </row>
    <row r="11617" spans="2:5">
      <c r="B11617" s="121">
        <v>996</v>
      </c>
      <c r="C11617" s="121">
        <v>6</v>
      </c>
      <c r="D11617" s="734">
        <v>146.73859422669273</v>
      </c>
      <c r="E11617" s="733"/>
    </row>
    <row r="11618" spans="2:5">
      <c r="B11618" s="121">
        <v>996</v>
      </c>
      <c r="C11618" s="121">
        <v>7</v>
      </c>
      <c r="D11618" s="734">
        <v>144.55065408355182</v>
      </c>
      <c r="E11618" s="733"/>
    </row>
    <row r="11619" spans="2:5">
      <c r="B11619" s="121">
        <v>996</v>
      </c>
      <c r="C11619" s="121">
        <v>8</v>
      </c>
      <c r="D11619" s="734">
        <v>142.91707158878899</v>
      </c>
      <c r="E11619" s="733"/>
    </row>
    <row r="11620" spans="2:5">
      <c r="B11620" s="121">
        <v>996</v>
      </c>
      <c r="C11620" s="121">
        <v>9</v>
      </c>
      <c r="D11620" s="734">
        <v>144.62319639728062</v>
      </c>
      <c r="E11620" s="733"/>
    </row>
    <row r="11621" spans="2:5">
      <c r="B11621" s="121">
        <v>996</v>
      </c>
      <c r="C11621" s="121">
        <v>10</v>
      </c>
      <c r="D11621" s="734">
        <v>140.5783541357857</v>
      </c>
      <c r="E11621" s="733"/>
    </row>
    <row r="11622" spans="2:5">
      <c r="B11622" s="121">
        <v>996</v>
      </c>
      <c r="C11622" s="121">
        <v>11</v>
      </c>
      <c r="D11622" s="734">
        <v>138.05137574773863</v>
      </c>
      <c r="E11622" s="733"/>
    </row>
    <row r="11623" spans="2:5">
      <c r="B11623" s="121">
        <v>996</v>
      </c>
      <c r="C11623" s="121">
        <v>12</v>
      </c>
      <c r="D11623" s="734">
        <v>145.74789226132748</v>
      </c>
      <c r="E11623" s="733"/>
    </row>
    <row r="11624" spans="2:5">
      <c r="B11624" s="121">
        <v>996</v>
      </c>
      <c r="C11624" s="121">
        <v>13</v>
      </c>
      <c r="D11624" s="734">
        <v>144.49832434689273</v>
      </c>
      <c r="E11624" s="733"/>
    </row>
    <row r="11625" spans="2:5">
      <c r="B11625" s="121">
        <v>996</v>
      </c>
      <c r="C11625" s="121">
        <v>14</v>
      </c>
      <c r="D11625" s="734">
        <v>133.75802828122414</v>
      </c>
      <c r="E11625" s="733"/>
    </row>
    <row r="11626" spans="2:5">
      <c r="B11626" s="121">
        <v>996</v>
      </c>
      <c r="C11626" s="121">
        <v>15</v>
      </c>
      <c r="D11626" s="734">
        <v>134.90009561312763</v>
      </c>
      <c r="E11626" s="733"/>
    </row>
    <row r="11627" spans="2:5">
      <c r="B11627" s="121">
        <v>996</v>
      </c>
      <c r="C11627" s="121">
        <v>16</v>
      </c>
      <c r="D11627" s="734">
        <v>142.85376592181592</v>
      </c>
      <c r="E11627" s="733"/>
    </row>
    <row r="11628" spans="2:5">
      <c r="B11628" s="121">
        <v>996</v>
      </c>
      <c r="C11628" s="121">
        <v>17</v>
      </c>
      <c r="D11628" s="734">
        <v>136.06053239647625</v>
      </c>
      <c r="E11628" s="733"/>
    </row>
    <row r="11629" spans="2:5">
      <c r="B11629" s="121">
        <v>996</v>
      </c>
      <c r="C11629" s="121">
        <v>18</v>
      </c>
      <c r="D11629" s="734">
        <v>145.05332387780746</v>
      </c>
      <c r="E11629" s="733"/>
    </row>
    <row r="11630" spans="2:5">
      <c r="B11630" s="121">
        <v>996</v>
      </c>
      <c r="C11630" s="121">
        <v>19</v>
      </c>
      <c r="D11630" s="734">
        <v>143.23456398931464</v>
      </c>
      <c r="E11630" s="733"/>
    </row>
    <row r="11631" spans="2:5">
      <c r="B11631" s="121">
        <v>996</v>
      </c>
      <c r="C11631" s="121">
        <v>20</v>
      </c>
      <c r="D11631" s="734">
        <v>134.40157826784028</v>
      </c>
      <c r="E11631" s="733"/>
    </row>
    <row r="11632" spans="2:5">
      <c r="B11632" s="121">
        <v>996</v>
      </c>
      <c r="C11632" s="121">
        <v>21</v>
      </c>
      <c r="D11632" s="734">
        <v>141.24011770623608</v>
      </c>
      <c r="E11632" s="733"/>
    </row>
    <row r="11633" spans="2:5">
      <c r="B11633" s="121">
        <v>996</v>
      </c>
      <c r="C11633" s="121">
        <v>22</v>
      </c>
      <c r="D11633" s="734">
        <v>140.50221655044476</v>
      </c>
      <c r="E11633" s="733"/>
    </row>
    <row r="11634" spans="2:5">
      <c r="B11634" s="121">
        <v>996</v>
      </c>
      <c r="C11634" s="121">
        <v>23</v>
      </c>
      <c r="D11634" s="734">
        <v>138.00314176852152</v>
      </c>
      <c r="E11634" s="733"/>
    </row>
    <row r="11635" spans="2:5">
      <c r="B11635" s="121">
        <v>996</v>
      </c>
      <c r="C11635" s="121">
        <v>24</v>
      </c>
      <c r="D11635" s="734">
        <v>142.67320454045219</v>
      </c>
      <c r="E11635" s="733"/>
    </row>
    <row r="11636" spans="2:5">
      <c r="B11636" s="121">
        <v>996</v>
      </c>
      <c r="C11636" s="121">
        <v>25</v>
      </c>
      <c r="D11636" s="734">
        <v>145.36022566653185</v>
      </c>
      <c r="E11636" s="733"/>
    </row>
    <row r="11637" spans="2:5">
      <c r="B11637" s="121">
        <v>996</v>
      </c>
      <c r="C11637" s="121">
        <v>26</v>
      </c>
      <c r="D11637" s="734">
        <v>135.74778836187571</v>
      </c>
      <c r="E11637" s="733"/>
    </row>
    <row r="11638" spans="2:5">
      <c r="B11638" s="121">
        <v>996</v>
      </c>
      <c r="C11638" s="121">
        <v>27</v>
      </c>
      <c r="D11638" s="734">
        <v>136.29299705069309</v>
      </c>
      <c r="E11638" s="733"/>
    </row>
    <row r="11639" spans="2:5">
      <c r="B11639" s="121">
        <v>996</v>
      </c>
      <c r="C11639" s="121">
        <v>28</v>
      </c>
      <c r="D11639" s="734">
        <v>145.2352728343852</v>
      </c>
      <c r="E11639" s="733"/>
    </row>
    <row r="11640" spans="2:5">
      <c r="B11640" s="121">
        <v>996</v>
      </c>
      <c r="C11640" s="121">
        <v>29</v>
      </c>
      <c r="D11640" s="734">
        <v>142.59675801423262</v>
      </c>
      <c r="E11640" s="733"/>
    </row>
    <row r="11641" spans="2:5">
      <c r="B11641" s="121">
        <v>996</v>
      </c>
      <c r="C11641" s="121">
        <v>30</v>
      </c>
      <c r="D11641" s="734">
        <v>136.55471584713408</v>
      </c>
      <c r="E11641" s="733"/>
    </row>
    <row r="11642" spans="2:5">
      <c r="B11642" s="121">
        <v>996</v>
      </c>
      <c r="C11642" s="121">
        <v>31</v>
      </c>
      <c r="D11642" s="734">
        <v>136.68139459202581</v>
      </c>
      <c r="E11642" s="733"/>
    </row>
    <row r="11643" spans="2:5">
      <c r="B11643" s="121">
        <v>996</v>
      </c>
      <c r="C11643" s="121">
        <v>32</v>
      </c>
      <c r="D11643" s="734">
        <v>146.5758818695376</v>
      </c>
      <c r="E11643" s="733"/>
    </row>
    <row r="11644" spans="2:5">
      <c r="B11644" s="121">
        <v>996</v>
      </c>
      <c r="C11644" s="121">
        <v>33</v>
      </c>
      <c r="D11644" s="734">
        <v>143.66571037364963</v>
      </c>
      <c r="E11644" s="733"/>
    </row>
    <row r="11645" spans="2:5">
      <c r="B11645" s="121">
        <v>996</v>
      </c>
      <c r="C11645" s="121">
        <v>34</v>
      </c>
      <c r="D11645" s="734">
        <v>147.00234588194402</v>
      </c>
      <c r="E11645" s="733"/>
    </row>
    <row r="11646" spans="2:5">
      <c r="B11646" s="121">
        <v>996</v>
      </c>
      <c r="C11646" s="121">
        <v>35</v>
      </c>
      <c r="D11646" s="734">
        <v>145.96018656571664</v>
      </c>
      <c r="E11646" s="733"/>
    </row>
    <row r="11647" spans="2:5">
      <c r="B11647" s="121">
        <v>997</v>
      </c>
      <c r="C11647" s="121">
        <v>1</v>
      </c>
      <c r="D11647" s="734">
        <v>5</v>
      </c>
      <c r="E11647" s="733"/>
    </row>
    <row r="11648" spans="2:5">
      <c r="B11648" s="121">
        <v>997</v>
      </c>
      <c r="C11648" s="121">
        <v>2</v>
      </c>
      <c r="D11648" s="734">
        <v>96.312937895105989</v>
      </c>
      <c r="E11648" s="733"/>
    </row>
    <row r="11649" spans="2:5">
      <c r="B11649" s="121">
        <v>997</v>
      </c>
      <c r="C11649" s="121">
        <v>3</v>
      </c>
      <c r="D11649" s="734">
        <v>121.75382829365471</v>
      </c>
      <c r="E11649" s="733"/>
    </row>
    <row r="11650" spans="2:5">
      <c r="B11650" s="121">
        <v>997</v>
      </c>
      <c r="C11650" s="121">
        <v>4</v>
      </c>
      <c r="D11650" s="734">
        <v>136.80057419168102</v>
      </c>
      <c r="E11650" s="733"/>
    </row>
    <row r="11651" spans="2:5">
      <c r="B11651" s="121">
        <v>997</v>
      </c>
      <c r="C11651" s="121">
        <v>5</v>
      </c>
      <c r="D11651" s="734">
        <v>142.26072587882501</v>
      </c>
      <c r="E11651" s="733"/>
    </row>
    <row r="11652" spans="2:5">
      <c r="B11652" s="121">
        <v>997</v>
      </c>
      <c r="C11652" s="121">
        <v>6</v>
      </c>
      <c r="D11652" s="734">
        <v>136.24943428755299</v>
      </c>
      <c r="E11652" s="733"/>
    </row>
    <row r="11653" spans="2:5">
      <c r="B11653" s="121">
        <v>997</v>
      </c>
      <c r="C11653" s="121">
        <v>7</v>
      </c>
      <c r="D11653" s="734">
        <v>143.22586203215826</v>
      </c>
      <c r="E11653" s="733"/>
    </row>
    <row r="11654" spans="2:5">
      <c r="B11654" s="121">
        <v>997</v>
      </c>
      <c r="C11654" s="121">
        <v>8</v>
      </c>
      <c r="D11654" s="734">
        <v>143.8580891422539</v>
      </c>
      <c r="E11654" s="733"/>
    </row>
    <row r="11655" spans="2:5">
      <c r="B11655" s="121">
        <v>997</v>
      </c>
      <c r="C11655" s="121">
        <v>9</v>
      </c>
      <c r="D11655" s="734">
        <v>134.81992118799545</v>
      </c>
      <c r="E11655" s="733"/>
    </row>
    <row r="11656" spans="2:5">
      <c r="B11656" s="121">
        <v>997</v>
      </c>
      <c r="C11656" s="121">
        <v>10</v>
      </c>
      <c r="D11656" s="734">
        <v>145.93501919767192</v>
      </c>
      <c r="E11656" s="733"/>
    </row>
    <row r="11657" spans="2:5">
      <c r="B11657" s="121">
        <v>997</v>
      </c>
      <c r="C11657" s="121">
        <v>11</v>
      </c>
      <c r="D11657" s="734">
        <v>135.85946120616089</v>
      </c>
      <c r="E11657" s="733"/>
    </row>
    <row r="11658" spans="2:5">
      <c r="B11658" s="121">
        <v>997</v>
      </c>
      <c r="C11658" s="121">
        <v>12</v>
      </c>
      <c r="D11658" s="734">
        <v>147.03092010922961</v>
      </c>
      <c r="E11658" s="733"/>
    </row>
    <row r="11659" spans="2:5">
      <c r="B11659" s="121">
        <v>997</v>
      </c>
      <c r="C11659" s="121">
        <v>13</v>
      </c>
      <c r="D11659" s="734">
        <v>138.81640613594323</v>
      </c>
      <c r="E11659" s="733"/>
    </row>
    <row r="11660" spans="2:5">
      <c r="B11660" s="121">
        <v>998</v>
      </c>
      <c r="C11660" s="121">
        <v>1</v>
      </c>
      <c r="D11660" s="734">
        <v>5</v>
      </c>
      <c r="E11660" s="733"/>
    </row>
    <row r="11661" spans="2:5">
      <c r="B11661" s="121">
        <v>998</v>
      </c>
      <c r="C11661" s="121">
        <v>2</v>
      </c>
      <c r="D11661" s="734">
        <v>97.738807169375605</v>
      </c>
      <c r="E11661" s="733"/>
    </row>
    <row r="11662" spans="2:5">
      <c r="B11662" s="121">
        <v>998</v>
      </c>
      <c r="C11662" s="121">
        <v>3</v>
      </c>
      <c r="D11662" s="734">
        <v>121.30355575145002</v>
      </c>
      <c r="E11662" s="733"/>
    </row>
    <row r="11663" spans="2:5">
      <c r="B11663" s="121">
        <v>998</v>
      </c>
      <c r="C11663" s="121">
        <v>4</v>
      </c>
      <c r="D11663" s="734">
        <v>144.47782520686519</v>
      </c>
      <c r="E11663" s="733"/>
    </row>
    <row r="11664" spans="2:5">
      <c r="B11664" s="121">
        <v>998</v>
      </c>
      <c r="C11664" s="121">
        <v>5</v>
      </c>
      <c r="D11664" s="734">
        <v>141.74655183291796</v>
      </c>
      <c r="E11664" s="733"/>
    </row>
    <row r="11665" spans="2:5">
      <c r="B11665" s="121">
        <v>998</v>
      </c>
      <c r="C11665" s="121">
        <v>6</v>
      </c>
      <c r="D11665" s="734">
        <v>140.72466113598895</v>
      </c>
      <c r="E11665" s="733"/>
    </row>
    <row r="11666" spans="2:5">
      <c r="B11666" s="121">
        <v>998</v>
      </c>
      <c r="C11666" s="121">
        <v>7</v>
      </c>
      <c r="D11666" s="734">
        <v>135.25332819018175</v>
      </c>
      <c r="E11666" s="733"/>
    </row>
    <row r="11667" spans="2:5">
      <c r="B11667" s="121">
        <v>998</v>
      </c>
      <c r="C11667" s="121">
        <v>8</v>
      </c>
      <c r="D11667" s="734">
        <v>142.48841546384153</v>
      </c>
      <c r="E11667" s="733"/>
    </row>
    <row r="11668" spans="2:5">
      <c r="B11668" s="121">
        <v>999</v>
      </c>
      <c r="C11668" s="121">
        <v>1</v>
      </c>
      <c r="D11668" s="734">
        <v>5</v>
      </c>
      <c r="E11668" s="733"/>
    </row>
    <row r="11669" spans="2:5">
      <c r="B11669" s="121">
        <v>999</v>
      </c>
      <c r="C11669" s="121">
        <v>2</v>
      </c>
      <c r="D11669" s="734">
        <v>95.788884658281489</v>
      </c>
      <c r="E11669" s="733"/>
    </row>
    <row r="11670" spans="2:5">
      <c r="B11670" s="121">
        <v>999</v>
      </c>
      <c r="C11670" s="121">
        <v>3</v>
      </c>
      <c r="D11670" s="734">
        <v>122.93110742260126</v>
      </c>
      <c r="E11670" s="733"/>
    </row>
    <row r="11671" spans="2:5">
      <c r="B11671" s="121">
        <v>999</v>
      </c>
      <c r="C11671" s="121">
        <v>4</v>
      </c>
      <c r="D11671" s="734">
        <v>138.8054278214901</v>
      </c>
      <c r="E11671" s="733"/>
    </row>
    <row r="11672" spans="2:5">
      <c r="B11672" s="121">
        <v>999</v>
      </c>
      <c r="C11672" s="121">
        <v>5</v>
      </c>
      <c r="D11672" s="734">
        <v>142.98532122345097</v>
      </c>
      <c r="E11672" s="733"/>
    </row>
    <row r="11673" spans="2:5">
      <c r="B11673" s="121">
        <v>1000</v>
      </c>
      <c r="C11673" s="121">
        <v>1</v>
      </c>
      <c r="D11673" s="734">
        <v>5</v>
      </c>
      <c r="E11673" s="733"/>
    </row>
    <row r="11674" spans="2:5">
      <c r="B11674" s="121">
        <v>1000</v>
      </c>
      <c r="C11674" s="121">
        <v>2</v>
      </c>
      <c r="D11674" s="734">
        <v>100.62849949331351</v>
      </c>
      <c r="E11674" s="733"/>
    </row>
    <row r="11675" spans="2:5">
      <c r="B11675" s="121">
        <v>1000</v>
      </c>
      <c r="C11675" s="121">
        <v>3</v>
      </c>
      <c r="D11675" s="734">
        <v>123.61651243708314</v>
      </c>
      <c r="E11675" s="733"/>
    </row>
    <row r="11676" spans="2:5">
      <c r="B11676" s="121">
        <v>1000</v>
      </c>
      <c r="C11676" s="121">
        <v>4</v>
      </c>
      <c r="D11676" s="734">
        <v>145.96064995670463</v>
      </c>
      <c r="E11676" s="733"/>
    </row>
    <row r="11677" spans="2:5">
      <c r="B11677" s="121">
        <v>1000</v>
      </c>
      <c r="C11677" s="121">
        <v>5</v>
      </c>
      <c r="D11677" s="734">
        <v>134.29998390236972</v>
      </c>
      <c r="E11677" s="733"/>
    </row>
    <row r="11678" spans="2:5">
      <c r="B11678" s="121">
        <v>1000</v>
      </c>
      <c r="C11678" s="121">
        <v>6</v>
      </c>
      <c r="D11678" s="734">
        <v>145.27722562184826</v>
      </c>
      <c r="E11678" s="733"/>
    </row>
    <row r="11679" spans="2:5">
      <c r="B11679" s="121">
        <v>1000</v>
      </c>
      <c r="C11679" s="121">
        <v>7</v>
      </c>
      <c r="D11679" s="734">
        <v>139.02605554760999</v>
      </c>
      <c r="E11679" s="733"/>
    </row>
    <row r="11680" spans="2:5">
      <c r="B11680" s="121">
        <v>1000</v>
      </c>
      <c r="C11680" s="121">
        <v>8</v>
      </c>
      <c r="D11680" s="734">
        <v>142.8324214401369</v>
      </c>
      <c r="E11680" s="733"/>
    </row>
    <row r="11681" spans="2:5">
      <c r="B11681" s="121">
        <v>1000</v>
      </c>
      <c r="C11681" s="121">
        <v>9</v>
      </c>
      <c r="D11681" s="734">
        <v>137.45936442992706</v>
      </c>
      <c r="E11681" s="733"/>
    </row>
    <row r="11682" spans="2:5">
      <c r="B11682" s="121">
        <v>1001</v>
      </c>
      <c r="C11682" s="121">
        <v>1</v>
      </c>
      <c r="D11682" s="734">
        <v>5</v>
      </c>
      <c r="E11682" s="733"/>
    </row>
    <row r="11683" spans="2:5">
      <c r="B11683" s="121">
        <v>1002</v>
      </c>
      <c r="C11683" s="121">
        <v>1</v>
      </c>
      <c r="D11683" s="734">
        <v>5</v>
      </c>
      <c r="E11683" s="733"/>
    </row>
    <row r="11684" spans="2:5">
      <c r="B11684" s="121">
        <v>1002</v>
      </c>
      <c r="C11684" s="121">
        <v>2</v>
      </c>
      <c r="D11684" s="734">
        <v>98.686148467748538</v>
      </c>
      <c r="E11684" s="733"/>
    </row>
    <row r="11685" spans="2:5">
      <c r="B11685" s="121">
        <v>1002</v>
      </c>
      <c r="C11685" s="121">
        <v>3</v>
      </c>
      <c r="D11685" s="734">
        <v>125.09654619461395</v>
      </c>
      <c r="E11685" s="733"/>
    </row>
    <row r="11686" spans="2:5">
      <c r="B11686" s="121">
        <v>1002</v>
      </c>
      <c r="C11686" s="121">
        <v>4</v>
      </c>
      <c r="D11686" s="734">
        <v>140.99038780997597</v>
      </c>
      <c r="E11686" s="733"/>
    </row>
    <row r="11687" spans="2:5">
      <c r="B11687" s="121">
        <v>1002</v>
      </c>
      <c r="C11687" s="121">
        <v>5</v>
      </c>
      <c r="D11687" s="734">
        <v>142.64234205805158</v>
      </c>
      <c r="E11687" s="733"/>
    </row>
    <row r="11688" spans="2:5">
      <c r="B11688" s="121">
        <v>1002</v>
      </c>
      <c r="C11688" s="121">
        <v>6</v>
      </c>
      <c r="D11688" s="734">
        <v>147.10121819137004</v>
      </c>
      <c r="E11688" s="733"/>
    </row>
    <row r="11689" spans="2:5">
      <c r="B11689" s="121">
        <v>1002</v>
      </c>
      <c r="C11689" s="121">
        <v>7</v>
      </c>
      <c r="D11689" s="734">
        <v>134.63422365757933</v>
      </c>
      <c r="E11689" s="733"/>
    </row>
    <row r="11690" spans="2:5">
      <c r="B11690" s="121">
        <v>1002</v>
      </c>
      <c r="C11690" s="121">
        <v>8</v>
      </c>
      <c r="D11690" s="734">
        <v>145.28712101086592</v>
      </c>
      <c r="E11690" s="733"/>
    </row>
    <row r="11691" spans="2:5">
      <c r="B11691" s="121">
        <v>1002</v>
      </c>
      <c r="C11691" s="121">
        <v>9</v>
      </c>
      <c r="D11691" s="734">
        <v>136.20493142034522</v>
      </c>
      <c r="E11691" s="733"/>
    </row>
    <row r="11692" spans="2:5">
      <c r="B11692" s="121">
        <v>1002</v>
      </c>
      <c r="C11692" s="121">
        <v>10</v>
      </c>
      <c r="D11692" s="734">
        <v>145.03556652232734</v>
      </c>
      <c r="E11692" s="733"/>
    </row>
    <row r="11693" spans="2:5">
      <c r="B11693" s="121">
        <v>1002</v>
      </c>
      <c r="C11693" s="121">
        <v>11</v>
      </c>
      <c r="D11693" s="734">
        <v>146.96353064323321</v>
      </c>
      <c r="E11693" s="733"/>
    </row>
    <row r="11694" spans="2:5">
      <c r="B11694" s="121">
        <v>1002</v>
      </c>
      <c r="C11694" s="121">
        <v>12</v>
      </c>
      <c r="D11694" s="734">
        <v>143.21333829649478</v>
      </c>
      <c r="E11694" s="733"/>
    </row>
    <row r="11695" spans="2:5">
      <c r="B11695" s="121">
        <v>1002</v>
      </c>
      <c r="C11695" s="121">
        <v>13</v>
      </c>
      <c r="D11695" s="734">
        <v>137.25795530071116</v>
      </c>
      <c r="E11695" s="733"/>
    </row>
    <row r="11696" spans="2:5">
      <c r="B11696" s="121">
        <v>1002</v>
      </c>
      <c r="C11696" s="121">
        <v>14</v>
      </c>
      <c r="D11696" s="734">
        <v>139.78435094007708</v>
      </c>
      <c r="E11696" s="733"/>
    </row>
    <row r="11697" spans="2:5">
      <c r="B11697" s="121">
        <v>1002</v>
      </c>
      <c r="C11697" s="121">
        <v>15</v>
      </c>
      <c r="D11697" s="734">
        <v>144.84779227229623</v>
      </c>
      <c r="E11697" s="733"/>
    </row>
    <row r="11698" spans="2:5">
      <c r="B11698" s="121">
        <v>1002</v>
      </c>
      <c r="C11698" s="121">
        <v>16</v>
      </c>
      <c r="D11698" s="734">
        <v>146.4679577524002</v>
      </c>
      <c r="E11698" s="733"/>
    </row>
    <row r="11699" spans="2:5">
      <c r="B11699" s="121">
        <v>1002</v>
      </c>
      <c r="C11699" s="121">
        <v>17</v>
      </c>
      <c r="D11699" s="734">
        <v>139.94971274350002</v>
      </c>
      <c r="E11699" s="733"/>
    </row>
    <row r="11700" spans="2:5">
      <c r="B11700" s="121">
        <v>1002</v>
      </c>
      <c r="C11700" s="121">
        <v>18</v>
      </c>
      <c r="D11700" s="734">
        <v>140.77117914556874</v>
      </c>
      <c r="E11700" s="733"/>
    </row>
    <row r="11701" spans="2:5">
      <c r="B11701" s="121">
        <v>1002</v>
      </c>
      <c r="C11701" s="121">
        <v>19</v>
      </c>
      <c r="D11701" s="734">
        <v>137.35482692096883</v>
      </c>
      <c r="E11701" s="733"/>
    </row>
    <row r="11702" spans="2:5">
      <c r="B11702" s="121">
        <v>1002</v>
      </c>
      <c r="C11702" s="121">
        <v>20</v>
      </c>
      <c r="D11702" s="734">
        <v>142.7038202783919</v>
      </c>
      <c r="E11702" s="733"/>
    </row>
    <row r="11703" spans="2:5">
      <c r="B11703" s="121">
        <v>1002</v>
      </c>
      <c r="C11703" s="121">
        <v>21</v>
      </c>
      <c r="D11703" s="734">
        <v>142.50481005114347</v>
      </c>
      <c r="E11703" s="733"/>
    </row>
    <row r="11704" spans="2:5">
      <c r="B11704" s="121">
        <v>1002</v>
      </c>
      <c r="C11704" s="121">
        <v>22</v>
      </c>
      <c r="D11704" s="734">
        <v>135.34054391793902</v>
      </c>
      <c r="E11704" s="733"/>
    </row>
    <row r="11705" spans="2:5">
      <c r="B11705" s="121">
        <v>1002</v>
      </c>
      <c r="C11705" s="121">
        <v>23</v>
      </c>
      <c r="D11705" s="734">
        <v>137.26443103248926</v>
      </c>
      <c r="E11705" s="733"/>
    </row>
    <row r="11706" spans="2:5">
      <c r="B11706" s="121">
        <v>1002</v>
      </c>
      <c r="C11706" s="121">
        <v>24</v>
      </c>
      <c r="D11706" s="734">
        <v>142.86291754059033</v>
      </c>
      <c r="E11706" s="733"/>
    </row>
    <row r="11707" spans="2:5">
      <c r="B11707" s="121">
        <v>1002</v>
      </c>
      <c r="C11707" s="121">
        <v>25</v>
      </c>
      <c r="D11707" s="734">
        <v>134.72117467940546</v>
      </c>
      <c r="E11707" s="733"/>
    </row>
    <row r="11708" spans="2:5">
      <c r="B11708" s="121">
        <v>1002</v>
      </c>
      <c r="C11708" s="121">
        <v>26</v>
      </c>
      <c r="D11708" s="734">
        <v>140.69055726577815</v>
      </c>
      <c r="E11708" s="733"/>
    </row>
    <row r="11709" spans="2:5">
      <c r="B11709" s="121">
        <v>1002</v>
      </c>
      <c r="C11709" s="121">
        <v>27</v>
      </c>
      <c r="D11709" s="734">
        <v>135.92521498595485</v>
      </c>
      <c r="E11709" s="733"/>
    </row>
    <row r="11710" spans="2:5">
      <c r="B11710" s="121">
        <v>1002</v>
      </c>
      <c r="C11710" s="121">
        <v>28</v>
      </c>
      <c r="D11710" s="734">
        <v>140.80010894129705</v>
      </c>
      <c r="E11710" s="733"/>
    </row>
    <row r="11711" spans="2:5">
      <c r="B11711" s="121">
        <v>1002</v>
      </c>
      <c r="C11711" s="121">
        <v>29</v>
      </c>
      <c r="D11711" s="734">
        <v>133.97572095109959</v>
      </c>
      <c r="E11711" s="733"/>
    </row>
    <row r="11712" spans="2:5">
      <c r="B11712" s="121">
        <v>1002</v>
      </c>
      <c r="C11712" s="121">
        <v>30</v>
      </c>
      <c r="D11712" s="734">
        <v>140.77379411118821</v>
      </c>
      <c r="E11712" s="733"/>
    </row>
    <row r="11713" spans="2:5">
      <c r="B11713" s="121">
        <v>1002</v>
      </c>
      <c r="C11713" s="121">
        <v>31</v>
      </c>
      <c r="D11713" s="734">
        <v>134.53747700777629</v>
      </c>
      <c r="E11713" s="733"/>
    </row>
    <row r="11714" spans="2:5">
      <c r="B11714" s="121">
        <v>1003</v>
      </c>
      <c r="C11714" s="121">
        <v>1</v>
      </c>
      <c r="D11714" s="734">
        <v>5</v>
      </c>
      <c r="E11714" s="733"/>
    </row>
    <row r="11715" spans="2:5">
      <c r="B11715" s="121">
        <v>1003</v>
      </c>
      <c r="C11715" s="121">
        <v>2</v>
      </c>
      <c r="D11715" s="734">
        <v>96.635715733665791</v>
      </c>
      <c r="E11715" s="733"/>
    </row>
    <row r="11716" spans="2:5">
      <c r="B11716" s="121">
        <v>1003</v>
      </c>
      <c r="C11716" s="121">
        <v>3</v>
      </c>
      <c r="D11716" s="734">
        <v>114.61014548604415</v>
      </c>
      <c r="E11716" s="733"/>
    </row>
    <row r="11717" spans="2:5">
      <c r="B11717" s="121">
        <v>1003</v>
      </c>
      <c r="C11717" s="121">
        <v>4</v>
      </c>
      <c r="D11717" s="734">
        <v>143.72103207077512</v>
      </c>
      <c r="E11717" s="733"/>
    </row>
    <row r="11718" spans="2:5">
      <c r="B11718" s="121">
        <v>1003</v>
      </c>
      <c r="C11718" s="121">
        <v>5</v>
      </c>
      <c r="D11718" s="734">
        <v>139.58740314080333</v>
      </c>
      <c r="E11718" s="733"/>
    </row>
    <row r="11719" spans="2:5">
      <c r="B11719" s="121">
        <v>1003</v>
      </c>
      <c r="C11719" s="121">
        <v>6</v>
      </c>
      <c r="D11719" s="734">
        <v>146.84600925967032</v>
      </c>
      <c r="E11719" s="733"/>
    </row>
    <row r="11720" spans="2:5">
      <c r="B11720" s="121">
        <v>1003</v>
      </c>
      <c r="C11720" s="121">
        <v>7</v>
      </c>
      <c r="D11720" s="734">
        <v>140.71315240172902</v>
      </c>
      <c r="E11720" s="733"/>
    </row>
    <row r="11721" spans="2:5">
      <c r="B11721" s="121">
        <v>1003</v>
      </c>
      <c r="C11721" s="121">
        <v>8</v>
      </c>
      <c r="D11721" s="734">
        <v>138.70799853697298</v>
      </c>
      <c r="E11721" s="733"/>
    </row>
    <row r="11722" spans="2:5">
      <c r="B11722" s="121">
        <v>1003</v>
      </c>
      <c r="C11722" s="121">
        <v>9</v>
      </c>
      <c r="D11722" s="734">
        <v>146.32450027773029</v>
      </c>
      <c r="E11722" s="733"/>
    </row>
    <row r="11723" spans="2:5">
      <c r="B11723" s="121">
        <v>1003</v>
      </c>
      <c r="C11723" s="121">
        <v>10</v>
      </c>
      <c r="D11723" s="734">
        <v>135.68978435696476</v>
      </c>
      <c r="E11723" s="733"/>
    </row>
    <row r="11724" spans="2:5">
      <c r="B11724" s="121">
        <v>1003</v>
      </c>
      <c r="C11724" s="121">
        <v>11</v>
      </c>
      <c r="D11724" s="734">
        <v>144.34448837767113</v>
      </c>
      <c r="E11724" s="733"/>
    </row>
    <row r="11725" spans="2:5">
      <c r="B11725" s="121">
        <v>1003</v>
      </c>
      <c r="C11725" s="121">
        <v>12</v>
      </c>
      <c r="D11725" s="734">
        <v>135.51779233849706</v>
      </c>
      <c r="E11725" s="733"/>
    </row>
    <row r="11726" spans="2:5">
      <c r="B11726" s="121">
        <v>1003</v>
      </c>
      <c r="C11726" s="121">
        <v>13</v>
      </c>
      <c r="D11726" s="734">
        <v>141.45110381358975</v>
      </c>
      <c r="E11726" s="733"/>
    </row>
    <row r="11727" spans="2:5">
      <c r="B11727" s="121">
        <v>1003</v>
      </c>
      <c r="C11727" s="121">
        <v>14</v>
      </c>
      <c r="D11727" s="734">
        <v>141.77173666659559</v>
      </c>
      <c r="E11727" s="733"/>
    </row>
    <row r="11728" spans="2:5">
      <c r="B11728" s="121">
        <v>1003</v>
      </c>
      <c r="C11728" s="121">
        <v>15</v>
      </c>
      <c r="D11728" s="734">
        <v>139.44829713260094</v>
      </c>
      <c r="E11728" s="733"/>
    </row>
    <row r="11729" spans="2:5">
      <c r="B11729" s="121">
        <v>1003</v>
      </c>
      <c r="C11729" s="121">
        <v>16</v>
      </c>
      <c r="D11729" s="734">
        <v>144.35543393971665</v>
      </c>
      <c r="E11729" s="733"/>
    </row>
    <row r="11730" spans="2:5">
      <c r="B11730" s="121">
        <v>1003</v>
      </c>
      <c r="C11730" s="121">
        <v>17</v>
      </c>
      <c r="D11730" s="734">
        <v>142.30901073419003</v>
      </c>
      <c r="E11730" s="733"/>
    </row>
    <row r="11731" spans="2:5">
      <c r="B11731" s="121">
        <v>1003</v>
      </c>
      <c r="C11731" s="121">
        <v>18</v>
      </c>
      <c r="D11731" s="734">
        <v>145.90435729359476</v>
      </c>
      <c r="E11731" s="733"/>
    </row>
    <row r="11732" spans="2:5">
      <c r="B11732" s="121">
        <v>1003</v>
      </c>
      <c r="C11732" s="121">
        <v>19</v>
      </c>
      <c r="D11732" s="734">
        <v>140.02605974654557</v>
      </c>
      <c r="E11732" s="733"/>
    </row>
    <row r="11733" spans="2:5">
      <c r="B11733" s="121">
        <v>1003</v>
      </c>
      <c r="C11733" s="121">
        <v>20</v>
      </c>
      <c r="D11733" s="734">
        <v>141.47621440106644</v>
      </c>
      <c r="E11733" s="733"/>
    </row>
    <row r="11734" spans="2:5">
      <c r="B11734" s="121">
        <v>1003</v>
      </c>
      <c r="C11734" s="121">
        <v>21</v>
      </c>
      <c r="D11734" s="734">
        <v>138.78643602070537</v>
      </c>
      <c r="E11734" s="733"/>
    </row>
    <row r="11735" spans="2:5">
      <c r="B11735" s="121">
        <v>1004</v>
      </c>
      <c r="C11735" s="121">
        <v>1</v>
      </c>
      <c r="D11735" s="734">
        <v>5</v>
      </c>
      <c r="E11735" s="733"/>
    </row>
    <row r="11736" spans="2:5">
      <c r="B11736" s="121">
        <v>1005</v>
      </c>
      <c r="C11736" s="121">
        <v>1</v>
      </c>
      <c r="D11736" s="734">
        <v>5</v>
      </c>
      <c r="E11736" s="733"/>
    </row>
    <row r="11737" spans="2:5">
      <c r="B11737" s="121">
        <v>1005</v>
      </c>
      <c r="C11737" s="121">
        <v>2</v>
      </c>
      <c r="D11737" s="734">
        <v>95.96654543021566</v>
      </c>
      <c r="E11737" s="733"/>
    </row>
    <row r="11738" spans="2:5">
      <c r="B11738" s="121">
        <v>1005</v>
      </c>
      <c r="C11738" s="121">
        <v>3</v>
      </c>
      <c r="D11738" s="734">
        <v>115.88333165266953</v>
      </c>
      <c r="E11738" s="733"/>
    </row>
    <row r="11739" spans="2:5">
      <c r="B11739" s="121">
        <v>1005</v>
      </c>
      <c r="C11739" s="121">
        <v>4</v>
      </c>
      <c r="D11739" s="734">
        <v>144.85490515184171</v>
      </c>
      <c r="E11739" s="733"/>
    </row>
    <row r="11740" spans="2:5">
      <c r="B11740" s="121">
        <v>1005</v>
      </c>
      <c r="C11740" s="121">
        <v>5</v>
      </c>
      <c r="D11740" s="734">
        <v>138.98344483479272</v>
      </c>
      <c r="E11740" s="733"/>
    </row>
    <row r="11741" spans="2:5">
      <c r="B11741" s="121">
        <v>1005</v>
      </c>
      <c r="C11741" s="121">
        <v>6</v>
      </c>
      <c r="D11741" s="734">
        <v>144.29740304033751</v>
      </c>
      <c r="E11741" s="733"/>
    </row>
    <row r="11742" spans="2:5">
      <c r="B11742" s="121">
        <v>1005</v>
      </c>
      <c r="C11742" s="121">
        <v>7</v>
      </c>
      <c r="D11742" s="734">
        <v>146.36338902360248</v>
      </c>
      <c r="E11742" s="733"/>
    </row>
    <row r="11743" spans="2:5">
      <c r="B11743" s="121">
        <v>1005</v>
      </c>
      <c r="C11743" s="121">
        <v>8</v>
      </c>
      <c r="D11743" s="734">
        <v>142.31301271501812</v>
      </c>
      <c r="E11743" s="733"/>
    </row>
    <row r="11744" spans="2:5">
      <c r="B11744" s="121">
        <v>1005</v>
      </c>
      <c r="C11744" s="121">
        <v>9</v>
      </c>
      <c r="D11744" s="734">
        <v>136.6997448669014</v>
      </c>
      <c r="E11744" s="733"/>
    </row>
    <row r="11745" spans="2:5">
      <c r="B11745" s="121">
        <v>1005</v>
      </c>
      <c r="C11745" s="121">
        <v>10</v>
      </c>
      <c r="D11745" s="734">
        <v>137.5934355179597</v>
      </c>
      <c r="E11745" s="733"/>
    </row>
    <row r="11746" spans="2:5">
      <c r="B11746" s="121">
        <v>1005</v>
      </c>
      <c r="C11746" s="121">
        <v>11</v>
      </c>
      <c r="D11746" s="734">
        <v>138.98938292873456</v>
      </c>
      <c r="E11746" s="733"/>
    </row>
    <row r="11747" spans="2:5">
      <c r="B11747" s="121">
        <v>1005</v>
      </c>
      <c r="C11747" s="121">
        <v>12</v>
      </c>
      <c r="D11747" s="734">
        <v>147.2177701451823</v>
      </c>
      <c r="E11747" s="733"/>
    </row>
    <row r="11748" spans="2:5">
      <c r="B11748" s="121">
        <v>1005</v>
      </c>
      <c r="C11748" s="121">
        <v>13</v>
      </c>
      <c r="D11748" s="734">
        <v>134.46816876406243</v>
      </c>
      <c r="E11748" s="733"/>
    </row>
    <row r="11749" spans="2:5">
      <c r="B11749" s="121">
        <v>1006</v>
      </c>
      <c r="C11749" s="121">
        <v>1</v>
      </c>
      <c r="D11749" s="734">
        <v>5</v>
      </c>
      <c r="E11749" s="733"/>
    </row>
    <row r="11750" spans="2:5">
      <c r="B11750" s="121">
        <v>1007</v>
      </c>
      <c r="C11750" s="121">
        <v>1</v>
      </c>
      <c r="D11750" s="734">
        <v>5</v>
      </c>
      <c r="E11750" s="733"/>
    </row>
    <row r="11751" spans="2:5">
      <c r="B11751" s="121">
        <v>1007</v>
      </c>
      <c r="C11751" s="121">
        <v>2</v>
      </c>
      <c r="D11751" s="734">
        <v>96.096611252516624</v>
      </c>
      <c r="E11751" s="733"/>
    </row>
    <row r="11752" spans="2:5">
      <c r="B11752" s="121">
        <v>1007</v>
      </c>
      <c r="C11752" s="121">
        <v>3</v>
      </c>
      <c r="D11752" s="734">
        <v>123.6373434470041</v>
      </c>
      <c r="E11752" s="733"/>
    </row>
    <row r="11753" spans="2:5">
      <c r="B11753" s="121">
        <v>1007</v>
      </c>
      <c r="C11753" s="121">
        <v>4</v>
      </c>
      <c r="D11753" s="734">
        <v>143.90725717771548</v>
      </c>
      <c r="E11753" s="733"/>
    </row>
    <row r="11754" spans="2:5">
      <c r="B11754" s="121">
        <v>1007</v>
      </c>
      <c r="C11754" s="121">
        <v>5</v>
      </c>
      <c r="D11754" s="734">
        <v>133.97810106068746</v>
      </c>
      <c r="E11754" s="733"/>
    </row>
    <row r="11755" spans="2:5">
      <c r="B11755" s="121">
        <v>1007</v>
      </c>
      <c r="C11755" s="121">
        <v>6</v>
      </c>
      <c r="D11755" s="734">
        <v>134.43628975409115</v>
      </c>
      <c r="E11755" s="733"/>
    </row>
    <row r="11756" spans="2:5">
      <c r="B11756" s="121">
        <v>1007</v>
      </c>
      <c r="C11756" s="121">
        <v>7</v>
      </c>
      <c r="D11756" s="734">
        <v>143.50251758515776</v>
      </c>
      <c r="E11756" s="733"/>
    </row>
    <row r="11757" spans="2:5">
      <c r="B11757" s="121">
        <v>1007</v>
      </c>
      <c r="C11757" s="121">
        <v>8</v>
      </c>
      <c r="D11757" s="734">
        <v>145.83966474842947</v>
      </c>
      <c r="E11757" s="733"/>
    </row>
    <row r="11758" spans="2:5">
      <c r="B11758" s="121">
        <v>1007</v>
      </c>
      <c r="C11758" s="121">
        <v>9</v>
      </c>
      <c r="D11758" s="734">
        <v>143.48057391382042</v>
      </c>
      <c r="E11758" s="733"/>
    </row>
    <row r="11759" spans="2:5">
      <c r="B11759" s="121">
        <v>1008</v>
      </c>
      <c r="C11759" s="121">
        <v>1</v>
      </c>
      <c r="D11759" s="734">
        <v>5</v>
      </c>
      <c r="E11759" s="733"/>
    </row>
    <row r="11760" spans="2:5">
      <c r="B11760" s="121">
        <v>1009</v>
      </c>
      <c r="C11760" s="121">
        <v>1</v>
      </c>
      <c r="D11760" s="734">
        <v>5</v>
      </c>
      <c r="E11760" s="733"/>
    </row>
    <row r="11761" spans="2:5">
      <c r="B11761" s="121">
        <v>1009</v>
      </c>
      <c r="C11761" s="121">
        <v>2</v>
      </c>
      <c r="D11761" s="734">
        <v>96.044598205031662</v>
      </c>
      <c r="E11761" s="733"/>
    </row>
    <row r="11762" spans="2:5">
      <c r="B11762" s="121">
        <v>1009</v>
      </c>
      <c r="C11762" s="121">
        <v>3</v>
      </c>
      <c r="D11762" s="734">
        <v>123.3138697996844</v>
      </c>
      <c r="E11762" s="733"/>
    </row>
    <row r="11763" spans="2:5">
      <c r="B11763" s="121">
        <v>1009</v>
      </c>
      <c r="C11763" s="121">
        <v>4</v>
      </c>
      <c r="D11763" s="734">
        <v>141.4421514559771</v>
      </c>
      <c r="E11763" s="733"/>
    </row>
    <row r="11764" spans="2:5">
      <c r="B11764" s="121">
        <v>1009</v>
      </c>
      <c r="C11764" s="121">
        <v>5</v>
      </c>
      <c r="D11764" s="734">
        <v>136.60251145737476</v>
      </c>
      <c r="E11764" s="733"/>
    </row>
    <row r="11765" spans="2:5">
      <c r="B11765" s="121">
        <v>1009</v>
      </c>
      <c r="C11765" s="121">
        <v>6</v>
      </c>
      <c r="D11765" s="734">
        <v>144.56813732360402</v>
      </c>
      <c r="E11765" s="733"/>
    </row>
    <row r="11766" spans="2:5">
      <c r="B11766" s="121">
        <v>1009</v>
      </c>
      <c r="C11766" s="121">
        <v>7</v>
      </c>
      <c r="D11766" s="734">
        <v>142.60862181082561</v>
      </c>
      <c r="E11766" s="733"/>
    </row>
    <row r="11767" spans="2:5">
      <c r="B11767" s="121">
        <v>1009</v>
      </c>
      <c r="C11767" s="121">
        <v>8</v>
      </c>
      <c r="D11767" s="734">
        <v>139.71701237193281</v>
      </c>
      <c r="E11767" s="733"/>
    </row>
    <row r="11768" spans="2:5">
      <c r="B11768" s="121">
        <v>1009</v>
      </c>
      <c r="C11768" s="121">
        <v>9</v>
      </c>
      <c r="D11768" s="734">
        <v>141.88250747159623</v>
      </c>
      <c r="E11768" s="733"/>
    </row>
    <row r="11769" spans="2:5">
      <c r="B11769" s="121">
        <v>1009</v>
      </c>
      <c r="C11769" s="121">
        <v>10</v>
      </c>
      <c r="D11769" s="734">
        <v>134.71706177819692</v>
      </c>
      <c r="E11769" s="733"/>
    </row>
    <row r="11770" spans="2:5">
      <c r="B11770" s="121">
        <v>1009</v>
      </c>
      <c r="C11770" s="121">
        <v>11</v>
      </c>
      <c r="D11770" s="734">
        <v>140.54126565490591</v>
      </c>
      <c r="E11770" s="733"/>
    </row>
    <row r="11771" spans="2:5">
      <c r="B11771" s="121">
        <v>1009</v>
      </c>
      <c r="C11771" s="121">
        <v>12</v>
      </c>
      <c r="D11771" s="734">
        <v>138.85433935689926</v>
      </c>
      <c r="E11771" s="733"/>
    </row>
    <row r="11772" spans="2:5">
      <c r="B11772" s="121">
        <v>1009</v>
      </c>
      <c r="C11772" s="121">
        <v>13</v>
      </c>
      <c r="D11772" s="734">
        <v>145.02924481538355</v>
      </c>
      <c r="E11772" s="733"/>
    </row>
    <row r="11773" spans="2:5">
      <c r="B11773" s="121">
        <v>1009</v>
      </c>
      <c r="C11773" s="121">
        <v>14</v>
      </c>
      <c r="D11773" s="734">
        <v>144.07678632935185</v>
      </c>
      <c r="E11773" s="733"/>
    </row>
    <row r="11774" spans="2:5">
      <c r="B11774" s="121">
        <v>1009</v>
      </c>
      <c r="C11774" s="121">
        <v>15</v>
      </c>
      <c r="D11774" s="734">
        <v>141.05420957192294</v>
      </c>
      <c r="E11774" s="733"/>
    </row>
    <row r="11775" spans="2:5">
      <c r="B11775" s="121">
        <v>1009</v>
      </c>
      <c r="C11775" s="121">
        <v>16</v>
      </c>
      <c r="D11775" s="734">
        <v>146.52524251487793</v>
      </c>
      <c r="E11775" s="733"/>
    </row>
    <row r="11776" spans="2:5">
      <c r="B11776" s="121">
        <v>1009</v>
      </c>
      <c r="C11776" s="121">
        <v>17</v>
      </c>
      <c r="D11776" s="734">
        <v>137.59738513910085</v>
      </c>
      <c r="E11776" s="733"/>
    </row>
    <row r="11777" spans="2:5">
      <c r="B11777" s="121">
        <v>1009</v>
      </c>
      <c r="C11777" s="121">
        <v>18</v>
      </c>
      <c r="D11777" s="734">
        <v>134.05568266430279</v>
      </c>
      <c r="E11777" s="733"/>
    </row>
    <row r="11778" spans="2:5">
      <c r="B11778" s="121">
        <v>1009</v>
      </c>
      <c r="C11778" s="121">
        <v>19</v>
      </c>
      <c r="D11778" s="734">
        <v>138.23547634947056</v>
      </c>
      <c r="E11778" s="733"/>
    </row>
    <row r="11779" spans="2:5">
      <c r="B11779" s="121">
        <v>1009</v>
      </c>
      <c r="C11779" s="121">
        <v>20</v>
      </c>
      <c r="D11779" s="734">
        <v>145.80308257963361</v>
      </c>
      <c r="E11779" s="733"/>
    </row>
    <row r="11780" spans="2:5">
      <c r="B11780" s="121">
        <v>1010</v>
      </c>
      <c r="C11780" s="121">
        <v>1</v>
      </c>
      <c r="D11780" s="734">
        <v>5</v>
      </c>
      <c r="E11780" s="733"/>
    </row>
    <row r="11781" spans="2:5">
      <c r="B11781" s="121">
        <v>1010</v>
      </c>
      <c r="C11781" s="121">
        <v>2</v>
      </c>
      <c r="D11781" s="734">
        <v>95.059085694767802</v>
      </c>
      <c r="E11781" s="733"/>
    </row>
    <row r="11782" spans="2:5">
      <c r="B11782" s="121">
        <v>1010</v>
      </c>
      <c r="C11782" s="121">
        <v>3</v>
      </c>
      <c r="D11782" s="734">
        <v>123.44613443170599</v>
      </c>
      <c r="E11782" s="733"/>
    </row>
    <row r="11783" spans="2:5">
      <c r="B11783" s="121">
        <v>1011</v>
      </c>
      <c r="C11783" s="121">
        <v>1</v>
      </c>
      <c r="D11783" s="734">
        <v>5</v>
      </c>
      <c r="E11783" s="733"/>
    </row>
    <row r="11784" spans="2:5">
      <c r="B11784" s="121">
        <v>1012</v>
      </c>
      <c r="C11784" s="121">
        <v>1</v>
      </c>
      <c r="D11784" s="734">
        <v>5</v>
      </c>
      <c r="E11784" s="733"/>
    </row>
    <row r="11785" spans="2:5">
      <c r="B11785" s="121">
        <v>1012</v>
      </c>
      <c r="C11785" s="121">
        <v>2</v>
      </c>
      <c r="D11785" s="734">
        <v>97.336079737270182</v>
      </c>
      <c r="E11785" s="733"/>
    </row>
    <row r="11786" spans="2:5">
      <c r="B11786" s="121">
        <v>1012</v>
      </c>
      <c r="C11786" s="121">
        <v>3</v>
      </c>
      <c r="D11786" s="734">
        <v>123.20185945600588</v>
      </c>
      <c r="E11786" s="733"/>
    </row>
    <row r="11787" spans="2:5">
      <c r="B11787" s="121">
        <v>1012</v>
      </c>
      <c r="C11787" s="121">
        <v>4</v>
      </c>
      <c r="D11787" s="734">
        <v>142.75335885790938</v>
      </c>
      <c r="E11787" s="733"/>
    </row>
    <row r="11788" spans="2:5">
      <c r="B11788" s="121">
        <v>1012</v>
      </c>
      <c r="C11788" s="121">
        <v>5</v>
      </c>
      <c r="D11788" s="734">
        <v>135.73964853993036</v>
      </c>
      <c r="E11788" s="733"/>
    </row>
    <row r="11789" spans="2:5">
      <c r="B11789" s="121">
        <v>1012</v>
      </c>
      <c r="C11789" s="121">
        <v>6</v>
      </c>
      <c r="D11789" s="734">
        <v>134.25855146028849</v>
      </c>
      <c r="E11789" s="733"/>
    </row>
    <row r="11790" spans="2:5">
      <c r="B11790" s="121">
        <v>1012</v>
      </c>
      <c r="C11790" s="121">
        <v>7</v>
      </c>
      <c r="D11790" s="734">
        <v>142.20625745632938</v>
      </c>
      <c r="E11790" s="733"/>
    </row>
    <row r="11791" spans="2:5">
      <c r="B11791" s="121">
        <v>1012</v>
      </c>
      <c r="C11791" s="121">
        <v>8</v>
      </c>
      <c r="D11791" s="734">
        <v>134.30687496976881</v>
      </c>
      <c r="E11791" s="733"/>
    </row>
    <row r="11792" spans="2:5">
      <c r="B11792" s="121">
        <v>1012</v>
      </c>
      <c r="C11792" s="121">
        <v>9</v>
      </c>
      <c r="D11792" s="734">
        <v>146.79817625251147</v>
      </c>
      <c r="E11792" s="733"/>
    </row>
    <row r="11793" spans="2:5">
      <c r="B11793" s="121">
        <v>1012</v>
      </c>
      <c r="C11793" s="121">
        <v>10</v>
      </c>
      <c r="D11793" s="734">
        <v>144.5687201755353</v>
      </c>
      <c r="E11793" s="733"/>
    </row>
    <row r="11794" spans="2:5">
      <c r="B11794" s="121">
        <v>1012</v>
      </c>
      <c r="C11794" s="121">
        <v>11</v>
      </c>
      <c r="D11794" s="734">
        <v>134.4062450549834</v>
      </c>
      <c r="E11794" s="733"/>
    </row>
    <row r="11795" spans="2:5">
      <c r="B11795" s="121">
        <v>1012</v>
      </c>
      <c r="C11795" s="121">
        <v>12</v>
      </c>
      <c r="D11795" s="734">
        <v>140.71192545945064</v>
      </c>
      <c r="E11795" s="733"/>
    </row>
    <row r="11796" spans="2:5">
      <c r="B11796" s="121">
        <v>1012</v>
      </c>
      <c r="C11796" s="121">
        <v>13</v>
      </c>
      <c r="D11796" s="734">
        <v>135.55136785657703</v>
      </c>
      <c r="E11796" s="733"/>
    </row>
    <row r="11797" spans="2:5">
      <c r="B11797" s="121">
        <v>1012</v>
      </c>
      <c r="C11797" s="121">
        <v>14</v>
      </c>
      <c r="D11797" s="734">
        <v>138.28269212781589</v>
      </c>
      <c r="E11797" s="733"/>
    </row>
    <row r="11798" spans="2:5">
      <c r="B11798" s="121">
        <v>1012</v>
      </c>
      <c r="C11798" s="121">
        <v>15</v>
      </c>
      <c r="D11798" s="734">
        <v>133.90876946763427</v>
      </c>
      <c r="E11798" s="733"/>
    </row>
    <row r="11799" spans="2:5">
      <c r="B11799" s="121">
        <v>1012</v>
      </c>
      <c r="C11799" s="121">
        <v>16</v>
      </c>
      <c r="D11799" s="734">
        <v>144.32210468556244</v>
      </c>
      <c r="E11799" s="733"/>
    </row>
    <row r="11800" spans="2:5">
      <c r="B11800" s="121">
        <v>1012</v>
      </c>
      <c r="C11800" s="121">
        <v>17</v>
      </c>
      <c r="D11800" s="734">
        <v>139.76053329841389</v>
      </c>
      <c r="E11800" s="733"/>
    </row>
    <row r="11801" spans="2:5">
      <c r="B11801" s="121">
        <v>1012</v>
      </c>
      <c r="C11801" s="121">
        <v>18</v>
      </c>
      <c r="D11801" s="734">
        <v>137.6702979892076</v>
      </c>
      <c r="E11801" s="733"/>
    </row>
    <row r="11802" spans="2:5">
      <c r="B11802" s="121">
        <v>1012</v>
      </c>
      <c r="C11802" s="121">
        <v>19</v>
      </c>
      <c r="D11802" s="734">
        <v>134.01577281035921</v>
      </c>
      <c r="E11802" s="733"/>
    </row>
    <row r="11803" spans="2:5">
      <c r="B11803" s="121">
        <v>1013</v>
      </c>
      <c r="C11803" s="121">
        <v>1</v>
      </c>
      <c r="D11803" s="734">
        <v>5</v>
      </c>
      <c r="E11803" s="733"/>
    </row>
    <row r="11804" spans="2:5">
      <c r="B11804" s="121">
        <v>1013</v>
      </c>
      <c r="C11804" s="121">
        <v>2</v>
      </c>
      <c r="D11804" s="734">
        <v>101.47375051060168</v>
      </c>
      <c r="E11804" s="733"/>
    </row>
    <row r="11805" spans="2:5">
      <c r="B11805" s="121">
        <v>1013</v>
      </c>
      <c r="C11805" s="121">
        <v>3</v>
      </c>
      <c r="D11805" s="734">
        <v>119.60076243859095</v>
      </c>
      <c r="E11805" s="733"/>
    </row>
    <row r="11806" spans="2:5">
      <c r="B11806" s="121">
        <v>1013</v>
      </c>
      <c r="C11806" s="121">
        <v>4</v>
      </c>
      <c r="D11806" s="734">
        <v>138.67790244349487</v>
      </c>
      <c r="E11806" s="733"/>
    </row>
    <row r="11807" spans="2:5">
      <c r="B11807" s="121">
        <v>1013</v>
      </c>
      <c r="C11807" s="121">
        <v>5</v>
      </c>
      <c r="D11807" s="734">
        <v>134.9983557868056</v>
      </c>
      <c r="E11807" s="733"/>
    </row>
    <row r="11808" spans="2:5">
      <c r="B11808" s="121">
        <v>1013</v>
      </c>
      <c r="C11808" s="121">
        <v>6</v>
      </c>
      <c r="D11808" s="734">
        <v>146.57730186240391</v>
      </c>
      <c r="E11808" s="733"/>
    </row>
    <row r="11809" spans="2:5">
      <c r="B11809" s="121">
        <v>1013</v>
      </c>
      <c r="C11809" s="121">
        <v>7</v>
      </c>
      <c r="D11809" s="734">
        <v>137.54451723681385</v>
      </c>
      <c r="E11809" s="733"/>
    </row>
    <row r="11810" spans="2:5">
      <c r="B11810" s="121">
        <v>1013</v>
      </c>
      <c r="C11810" s="121">
        <v>8</v>
      </c>
      <c r="D11810" s="734">
        <v>134.57610945496</v>
      </c>
      <c r="E11810" s="733"/>
    </row>
    <row r="11811" spans="2:5">
      <c r="B11811" s="121">
        <v>1013</v>
      </c>
      <c r="C11811" s="121">
        <v>9</v>
      </c>
      <c r="D11811" s="734">
        <v>146.10169736375013</v>
      </c>
      <c r="E11811" s="733"/>
    </row>
    <row r="11812" spans="2:5">
      <c r="B11812" s="121">
        <v>1013</v>
      </c>
      <c r="C11812" s="121">
        <v>10</v>
      </c>
      <c r="D11812" s="734">
        <v>146.81159555961852</v>
      </c>
      <c r="E11812" s="733"/>
    </row>
    <row r="11813" spans="2:5">
      <c r="B11813" s="121">
        <v>1013</v>
      </c>
      <c r="C11813" s="121">
        <v>11</v>
      </c>
      <c r="D11813" s="734">
        <v>140.78424801545069</v>
      </c>
      <c r="E11813" s="733"/>
    </row>
    <row r="11814" spans="2:5">
      <c r="B11814" s="121">
        <v>1013</v>
      </c>
      <c r="C11814" s="121">
        <v>12</v>
      </c>
      <c r="D11814" s="734">
        <v>139.37881714680114</v>
      </c>
      <c r="E11814" s="733"/>
    </row>
    <row r="11815" spans="2:5">
      <c r="B11815" s="121">
        <v>1013</v>
      </c>
      <c r="C11815" s="121">
        <v>13</v>
      </c>
      <c r="D11815" s="734">
        <v>136.85572446693394</v>
      </c>
      <c r="E11815" s="733"/>
    </row>
    <row r="11816" spans="2:5">
      <c r="B11816" s="121">
        <v>1013</v>
      </c>
      <c r="C11816" s="121">
        <v>14</v>
      </c>
      <c r="D11816" s="734">
        <v>142.74134123411696</v>
      </c>
      <c r="E11816" s="733"/>
    </row>
    <row r="11817" spans="2:5">
      <c r="B11817" s="121">
        <v>1013</v>
      </c>
      <c r="C11817" s="121">
        <v>15</v>
      </c>
      <c r="D11817" s="734">
        <v>145.77228947746516</v>
      </c>
      <c r="E11817" s="733"/>
    </row>
    <row r="11818" spans="2:5">
      <c r="B11818" s="121">
        <v>1013</v>
      </c>
      <c r="C11818" s="121">
        <v>16</v>
      </c>
      <c r="D11818" s="734">
        <v>145.96895934331832</v>
      </c>
      <c r="E11818" s="733"/>
    </row>
    <row r="11819" spans="2:5">
      <c r="B11819" s="121">
        <v>1013</v>
      </c>
      <c r="C11819" s="121">
        <v>17</v>
      </c>
      <c r="D11819" s="734">
        <v>145.65286360872116</v>
      </c>
      <c r="E11819" s="733"/>
    </row>
    <row r="11820" spans="2:5">
      <c r="B11820" s="121">
        <v>1013</v>
      </c>
      <c r="C11820" s="121">
        <v>18</v>
      </c>
      <c r="D11820" s="734">
        <v>145.76949499865538</v>
      </c>
      <c r="E11820" s="733"/>
    </row>
    <row r="11821" spans="2:5">
      <c r="B11821" s="121">
        <v>1013</v>
      </c>
      <c r="C11821" s="121">
        <v>19</v>
      </c>
      <c r="D11821" s="734">
        <v>142.76070339886661</v>
      </c>
      <c r="E11821" s="733"/>
    </row>
    <row r="11822" spans="2:5">
      <c r="B11822" s="121">
        <v>1013</v>
      </c>
      <c r="C11822" s="121">
        <v>20</v>
      </c>
      <c r="D11822" s="734">
        <v>134.83094609889201</v>
      </c>
      <c r="E11822" s="733"/>
    </row>
    <row r="11823" spans="2:5">
      <c r="B11823" s="121">
        <v>1013</v>
      </c>
      <c r="C11823" s="121">
        <v>21</v>
      </c>
      <c r="D11823" s="734">
        <v>134.29092054411112</v>
      </c>
      <c r="E11823" s="733"/>
    </row>
    <row r="11824" spans="2:5">
      <c r="B11824" s="121">
        <v>1013</v>
      </c>
      <c r="C11824" s="121">
        <v>22</v>
      </c>
      <c r="D11824" s="734">
        <v>137.69681460644432</v>
      </c>
      <c r="E11824" s="733"/>
    </row>
    <row r="11825" spans="2:5">
      <c r="B11825" s="121">
        <v>1013</v>
      </c>
      <c r="C11825" s="121">
        <v>23</v>
      </c>
      <c r="D11825" s="734">
        <v>134.66011452190568</v>
      </c>
      <c r="E11825" s="733"/>
    </row>
    <row r="11826" spans="2:5">
      <c r="B11826" s="121">
        <v>1013</v>
      </c>
      <c r="C11826" s="121">
        <v>24</v>
      </c>
      <c r="D11826" s="734">
        <v>139.77996214680874</v>
      </c>
      <c r="E11826" s="733"/>
    </row>
    <row r="11827" spans="2:5">
      <c r="B11827" s="121">
        <v>1013</v>
      </c>
      <c r="C11827" s="121">
        <v>25</v>
      </c>
      <c r="D11827" s="734">
        <v>140.86703749069997</v>
      </c>
      <c r="E11827" s="733"/>
    </row>
    <row r="11828" spans="2:5">
      <c r="B11828" s="121">
        <v>1013</v>
      </c>
      <c r="C11828" s="121">
        <v>26</v>
      </c>
      <c r="D11828" s="734">
        <v>134.69799301765499</v>
      </c>
      <c r="E11828" s="733"/>
    </row>
    <row r="11829" spans="2:5">
      <c r="B11829" s="121">
        <v>1013</v>
      </c>
      <c r="C11829" s="121">
        <v>27</v>
      </c>
      <c r="D11829" s="734">
        <v>135.72317649874435</v>
      </c>
      <c r="E11829" s="733"/>
    </row>
    <row r="11830" spans="2:5">
      <c r="B11830" s="121">
        <v>1014</v>
      </c>
      <c r="C11830" s="121">
        <v>1</v>
      </c>
      <c r="D11830" s="734">
        <v>5</v>
      </c>
      <c r="E11830" s="733"/>
    </row>
    <row r="11831" spans="2:5">
      <c r="B11831" s="121">
        <v>1015</v>
      </c>
      <c r="C11831" s="121">
        <v>1</v>
      </c>
      <c r="D11831" s="734">
        <v>5</v>
      </c>
      <c r="E11831" s="733"/>
    </row>
    <row r="11832" spans="2:5">
      <c r="B11832" s="121">
        <v>1016</v>
      </c>
      <c r="C11832" s="121">
        <v>1</v>
      </c>
      <c r="D11832" s="734">
        <v>5</v>
      </c>
      <c r="E11832" s="733"/>
    </row>
    <row r="11833" spans="2:5">
      <c r="B11833" s="121">
        <v>1016</v>
      </c>
      <c r="C11833" s="121">
        <v>2</v>
      </c>
      <c r="D11833" s="734">
        <v>101.00702917710342</v>
      </c>
      <c r="E11833" s="733"/>
    </row>
    <row r="11834" spans="2:5">
      <c r="B11834" s="121">
        <v>1016</v>
      </c>
      <c r="C11834" s="121">
        <v>3</v>
      </c>
      <c r="D11834" s="734">
        <v>115.21716551737951</v>
      </c>
      <c r="E11834" s="733"/>
    </row>
    <row r="11835" spans="2:5">
      <c r="B11835" s="121">
        <v>1016</v>
      </c>
      <c r="C11835" s="121">
        <v>4</v>
      </c>
      <c r="D11835" s="734">
        <v>137.50863838665941</v>
      </c>
      <c r="E11835" s="733"/>
    </row>
    <row r="11836" spans="2:5">
      <c r="B11836" s="121">
        <v>1016</v>
      </c>
      <c r="C11836" s="121">
        <v>5</v>
      </c>
      <c r="D11836" s="734">
        <v>144.83586468843404</v>
      </c>
      <c r="E11836" s="733"/>
    </row>
    <row r="11837" spans="2:5">
      <c r="B11837" s="121">
        <v>1016</v>
      </c>
      <c r="C11837" s="121">
        <v>6</v>
      </c>
      <c r="D11837" s="734">
        <v>135.73915721471201</v>
      </c>
      <c r="E11837" s="733"/>
    </row>
    <row r="11838" spans="2:5">
      <c r="B11838" s="121">
        <v>1016</v>
      </c>
      <c r="C11838" s="121">
        <v>7</v>
      </c>
      <c r="D11838" s="734">
        <v>145.07141186368693</v>
      </c>
      <c r="E11838" s="733"/>
    </row>
    <row r="11839" spans="2:5">
      <c r="B11839" s="121">
        <v>1016</v>
      </c>
      <c r="C11839" s="121">
        <v>8</v>
      </c>
      <c r="D11839" s="734">
        <v>144.7329172198865</v>
      </c>
      <c r="E11839" s="733"/>
    </row>
    <row r="11840" spans="2:5">
      <c r="B11840" s="121">
        <v>1016</v>
      </c>
      <c r="C11840" s="121">
        <v>9</v>
      </c>
      <c r="D11840" s="734">
        <v>134.24483699977208</v>
      </c>
      <c r="E11840" s="733"/>
    </row>
    <row r="11841" spans="2:5">
      <c r="B11841" s="121">
        <v>1016</v>
      </c>
      <c r="C11841" s="121">
        <v>10</v>
      </c>
      <c r="D11841" s="734">
        <v>141.44553561781095</v>
      </c>
      <c r="E11841" s="733"/>
    </row>
    <row r="11842" spans="2:5">
      <c r="B11842" s="121">
        <v>1016</v>
      </c>
      <c r="C11842" s="121">
        <v>11</v>
      </c>
      <c r="D11842" s="734">
        <v>146.08522023004645</v>
      </c>
      <c r="E11842" s="733"/>
    </row>
    <row r="11843" spans="2:5">
      <c r="B11843" s="121">
        <v>1016</v>
      </c>
      <c r="C11843" s="121">
        <v>12</v>
      </c>
      <c r="D11843" s="734">
        <v>134.51304674296981</v>
      </c>
      <c r="E11843" s="733"/>
    </row>
    <row r="11844" spans="2:5">
      <c r="B11844" s="121">
        <v>1016</v>
      </c>
      <c r="C11844" s="121">
        <v>13</v>
      </c>
      <c r="D11844" s="734">
        <v>134.75727469391288</v>
      </c>
      <c r="E11844" s="733"/>
    </row>
    <row r="11845" spans="2:5">
      <c r="B11845" s="121">
        <v>1016</v>
      </c>
      <c r="C11845" s="121">
        <v>14</v>
      </c>
      <c r="D11845" s="734">
        <v>139.36143081387505</v>
      </c>
      <c r="E11845" s="733"/>
    </row>
    <row r="11846" spans="2:5">
      <c r="B11846" s="121">
        <v>1016</v>
      </c>
      <c r="C11846" s="121">
        <v>15</v>
      </c>
      <c r="D11846" s="734">
        <v>144.91009871275139</v>
      </c>
      <c r="E11846" s="733"/>
    </row>
    <row r="11847" spans="2:5">
      <c r="B11847" s="121">
        <v>1016</v>
      </c>
      <c r="C11847" s="121">
        <v>16</v>
      </c>
      <c r="D11847" s="734">
        <v>134.23735042188613</v>
      </c>
      <c r="E11847" s="733"/>
    </row>
    <row r="11848" spans="2:5">
      <c r="B11848" s="121">
        <v>1016</v>
      </c>
      <c r="C11848" s="121">
        <v>17</v>
      </c>
      <c r="D11848" s="734">
        <v>147.04681458509123</v>
      </c>
      <c r="E11848" s="733"/>
    </row>
    <row r="11849" spans="2:5">
      <c r="B11849" s="121">
        <v>1016</v>
      </c>
      <c r="C11849" s="121">
        <v>18</v>
      </c>
      <c r="D11849" s="734">
        <v>145.79515166283059</v>
      </c>
      <c r="E11849" s="733"/>
    </row>
    <row r="11850" spans="2:5">
      <c r="B11850" s="121">
        <v>1016</v>
      </c>
      <c r="C11850" s="121">
        <v>19</v>
      </c>
      <c r="D11850" s="734">
        <v>137.7977533485425</v>
      </c>
      <c r="E11850" s="733"/>
    </row>
    <row r="11851" spans="2:5">
      <c r="B11851" s="121">
        <v>1016</v>
      </c>
      <c r="C11851" s="121">
        <v>20</v>
      </c>
      <c r="D11851" s="734">
        <v>146.91252165310422</v>
      </c>
      <c r="E11851" s="733"/>
    </row>
    <row r="11852" spans="2:5">
      <c r="B11852" s="121">
        <v>1016</v>
      </c>
      <c r="C11852" s="121">
        <v>21</v>
      </c>
      <c r="D11852" s="734">
        <v>140.31666239109015</v>
      </c>
      <c r="E11852" s="733"/>
    </row>
    <row r="11853" spans="2:5">
      <c r="B11853" s="121">
        <v>1016</v>
      </c>
      <c r="C11853" s="121">
        <v>22</v>
      </c>
      <c r="D11853" s="734">
        <v>138.72836406974358</v>
      </c>
      <c r="E11853" s="733"/>
    </row>
    <row r="11854" spans="2:5">
      <c r="B11854" s="121">
        <v>1016</v>
      </c>
      <c r="C11854" s="121">
        <v>23</v>
      </c>
      <c r="D11854" s="734">
        <v>137.71531691421168</v>
      </c>
      <c r="E11854" s="733"/>
    </row>
    <row r="11855" spans="2:5">
      <c r="B11855" s="121">
        <v>1016</v>
      </c>
      <c r="C11855" s="121">
        <v>24</v>
      </c>
      <c r="D11855" s="734">
        <v>140.65656501924093</v>
      </c>
      <c r="E11855" s="733"/>
    </row>
    <row r="11856" spans="2:5">
      <c r="B11856" s="121">
        <v>1016</v>
      </c>
      <c r="C11856" s="121">
        <v>25</v>
      </c>
      <c r="D11856" s="734">
        <v>138.48817288100457</v>
      </c>
      <c r="E11856" s="733"/>
    </row>
    <row r="11857" spans="2:5">
      <c r="B11857" s="121">
        <v>1016</v>
      </c>
      <c r="C11857" s="121">
        <v>26</v>
      </c>
      <c r="D11857" s="734">
        <v>144.06480678250409</v>
      </c>
      <c r="E11857" s="733"/>
    </row>
    <row r="11858" spans="2:5">
      <c r="B11858" s="121">
        <v>1016</v>
      </c>
      <c r="C11858" s="121">
        <v>27</v>
      </c>
      <c r="D11858" s="734">
        <v>143.71704559239706</v>
      </c>
      <c r="E11858" s="733"/>
    </row>
    <row r="11859" spans="2:5">
      <c r="B11859" s="121">
        <v>1016</v>
      </c>
      <c r="C11859" s="121">
        <v>28</v>
      </c>
      <c r="D11859" s="734">
        <v>134.60920105022291</v>
      </c>
      <c r="E11859" s="733"/>
    </row>
    <row r="11860" spans="2:5">
      <c r="B11860" s="121">
        <v>1016</v>
      </c>
      <c r="C11860" s="121">
        <v>29</v>
      </c>
      <c r="D11860" s="734">
        <v>144.82737146246996</v>
      </c>
      <c r="E11860" s="733"/>
    </row>
    <row r="11861" spans="2:5">
      <c r="B11861" s="121">
        <v>1016</v>
      </c>
      <c r="C11861" s="121">
        <v>30</v>
      </c>
      <c r="D11861" s="734">
        <v>141.93459481130299</v>
      </c>
      <c r="E11861" s="733"/>
    </row>
    <row r="11862" spans="2:5">
      <c r="B11862" s="121">
        <v>1016</v>
      </c>
      <c r="C11862" s="121">
        <v>31</v>
      </c>
      <c r="D11862" s="734">
        <v>138.29142261703615</v>
      </c>
      <c r="E11862" s="733"/>
    </row>
    <row r="11863" spans="2:5">
      <c r="B11863" s="121">
        <v>1016</v>
      </c>
      <c r="C11863" s="121">
        <v>32</v>
      </c>
      <c r="D11863" s="734">
        <v>136.1762635083538</v>
      </c>
      <c r="E11863" s="733"/>
    </row>
    <row r="11864" spans="2:5">
      <c r="B11864" s="121">
        <v>1016</v>
      </c>
      <c r="C11864" s="121">
        <v>33</v>
      </c>
      <c r="D11864" s="734">
        <v>142.45165180992177</v>
      </c>
      <c r="E11864" s="733"/>
    </row>
    <row r="11865" spans="2:5">
      <c r="B11865" s="121">
        <v>1016</v>
      </c>
      <c r="C11865" s="121">
        <v>34</v>
      </c>
      <c r="D11865" s="734">
        <v>134.52845288693601</v>
      </c>
      <c r="E11865" s="733"/>
    </row>
    <row r="11866" spans="2:5">
      <c r="B11866" s="121">
        <v>1016</v>
      </c>
      <c r="C11866" s="121">
        <v>35</v>
      </c>
      <c r="D11866" s="734">
        <v>134.94164683574968</v>
      </c>
      <c r="E11866" s="733"/>
    </row>
    <row r="11867" spans="2:5">
      <c r="B11867" s="121">
        <v>1016</v>
      </c>
      <c r="C11867" s="121">
        <v>36</v>
      </c>
      <c r="D11867" s="734">
        <v>143.48005535074563</v>
      </c>
      <c r="E11867" s="733"/>
    </row>
    <row r="11868" spans="2:5">
      <c r="B11868" s="121">
        <v>1017</v>
      </c>
      <c r="C11868" s="121">
        <v>1</v>
      </c>
      <c r="D11868" s="734">
        <v>5</v>
      </c>
      <c r="E11868" s="733"/>
    </row>
    <row r="11869" spans="2:5">
      <c r="B11869" s="121">
        <v>1017</v>
      </c>
      <c r="C11869" s="121">
        <v>2</v>
      </c>
      <c r="D11869" s="734">
        <v>95.201776286814436</v>
      </c>
      <c r="E11869" s="733"/>
    </row>
    <row r="11870" spans="2:5">
      <c r="B11870" s="121">
        <v>1017</v>
      </c>
      <c r="C11870" s="121">
        <v>3</v>
      </c>
      <c r="D11870" s="734">
        <v>121.91597035906602</v>
      </c>
      <c r="E11870" s="733"/>
    </row>
    <row r="11871" spans="2:5">
      <c r="B11871" s="121">
        <v>1017</v>
      </c>
      <c r="C11871" s="121">
        <v>4</v>
      </c>
      <c r="D11871" s="734">
        <v>142.86428080216388</v>
      </c>
      <c r="E11871" s="733"/>
    </row>
    <row r="11872" spans="2:5">
      <c r="B11872" s="121">
        <v>1017</v>
      </c>
      <c r="C11872" s="121">
        <v>5</v>
      </c>
      <c r="D11872" s="734">
        <v>135.86412019733447</v>
      </c>
      <c r="E11872" s="733"/>
    </row>
    <row r="11873" spans="2:5">
      <c r="B11873" s="121">
        <v>1017</v>
      </c>
      <c r="C11873" s="121">
        <v>6</v>
      </c>
      <c r="D11873" s="734">
        <v>143.98151837987061</v>
      </c>
      <c r="E11873" s="733"/>
    </row>
    <row r="11874" spans="2:5">
      <c r="B11874" s="121">
        <v>1017</v>
      </c>
      <c r="C11874" s="121">
        <v>7</v>
      </c>
      <c r="D11874" s="734">
        <v>145.6049253132152</v>
      </c>
      <c r="E11874" s="733"/>
    </row>
    <row r="11875" spans="2:5">
      <c r="B11875" s="121">
        <v>1017</v>
      </c>
      <c r="C11875" s="121">
        <v>8</v>
      </c>
      <c r="D11875" s="734">
        <v>146.79626149739815</v>
      </c>
      <c r="E11875" s="733"/>
    </row>
    <row r="11876" spans="2:5">
      <c r="B11876" s="121">
        <v>1017</v>
      </c>
      <c r="C11876" s="121">
        <v>9</v>
      </c>
      <c r="D11876" s="734">
        <v>136.30575463806625</v>
      </c>
      <c r="E11876" s="733"/>
    </row>
    <row r="11877" spans="2:5">
      <c r="B11877" s="121">
        <v>1017</v>
      </c>
      <c r="C11877" s="121">
        <v>10</v>
      </c>
      <c r="D11877" s="734">
        <v>145.77144204579128</v>
      </c>
      <c r="E11877" s="733"/>
    </row>
    <row r="11878" spans="2:5">
      <c r="B11878" s="121">
        <v>1017</v>
      </c>
      <c r="C11878" s="121">
        <v>11</v>
      </c>
      <c r="D11878" s="734">
        <v>139.74803667584945</v>
      </c>
      <c r="E11878" s="733"/>
    </row>
    <row r="11879" spans="2:5">
      <c r="B11879" s="121">
        <v>1017</v>
      </c>
      <c r="C11879" s="121">
        <v>12</v>
      </c>
      <c r="D11879" s="734">
        <v>139.05211324962895</v>
      </c>
      <c r="E11879" s="733"/>
    </row>
    <row r="11880" spans="2:5">
      <c r="B11880" s="121">
        <v>1018</v>
      </c>
      <c r="C11880" s="121">
        <v>1</v>
      </c>
      <c r="D11880" s="734">
        <v>5</v>
      </c>
      <c r="E11880" s="733"/>
    </row>
    <row r="11881" spans="2:5">
      <c r="B11881" s="121">
        <v>1019</v>
      </c>
      <c r="C11881" s="121">
        <v>1</v>
      </c>
      <c r="D11881" s="734">
        <v>5</v>
      </c>
      <c r="E11881" s="733"/>
    </row>
    <row r="11882" spans="2:5">
      <c r="B11882" s="121">
        <v>1019</v>
      </c>
      <c r="C11882" s="121">
        <v>2</v>
      </c>
      <c r="D11882" s="734">
        <v>97.201321783017178</v>
      </c>
      <c r="E11882" s="733"/>
    </row>
    <row r="11883" spans="2:5">
      <c r="B11883" s="121">
        <v>1019</v>
      </c>
      <c r="C11883" s="121">
        <v>3</v>
      </c>
      <c r="D11883" s="734">
        <v>122.02002232081776</v>
      </c>
      <c r="E11883" s="733"/>
    </row>
    <row r="11884" spans="2:5">
      <c r="B11884" s="121">
        <v>1019</v>
      </c>
      <c r="C11884" s="121">
        <v>4</v>
      </c>
      <c r="D11884" s="734">
        <v>144.64848957609286</v>
      </c>
      <c r="E11884" s="733"/>
    </row>
    <row r="11885" spans="2:5">
      <c r="B11885" s="121">
        <v>1019</v>
      </c>
      <c r="C11885" s="121">
        <v>5</v>
      </c>
      <c r="D11885" s="734">
        <v>146.05017512711632</v>
      </c>
      <c r="E11885" s="733"/>
    </row>
    <row r="11886" spans="2:5">
      <c r="B11886" s="121">
        <v>1019</v>
      </c>
      <c r="C11886" s="121">
        <v>6</v>
      </c>
      <c r="D11886" s="734">
        <v>138.53242907489636</v>
      </c>
      <c r="E11886" s="733"/>
    </row>
    <row r="11887" spans="2:5">
      <c r="B11887" s="121">
        <v>1019</v>
      </c>
      <c r="C11887" s="121">
        <v>7</v>
      </c>
      <c r="D11887" s="734">
        <v>139.73746354261976</v>
      </c>
      <c r="E11887" s="733"/>
    </row>
    <row r="11888" spans="2:5">
      <c r="B11888" s="121">
        <v>1019</v>
      </c>
      <c r="C11888" s="121">
        <v>8</v>
      </c>
      <c r="D11888" s="734">
        <v>135.85266008451339</v>
      </c>
      <c r="E11888" s="733"/>
    </row>
    <row r="11889" spans="2:5">
      <c r="B11889" s="121">
        <v>1019</v>
      </c>
      <c r="C11889" s="121">
        <v>9</v>
      </c>
      <c r="D11889" s="734">
        <v>146.65250452806114</v>
      </c>
      <c r="E11889" s="733"/>
    </row>
    <row r="11890" spans="2:5">
      <c r="B11890" s="121">
        <v>1019</v>
      </c>
      <c r="C11890" s="121">
        <v>10</v>
      </c>
      <c r="D11890" s="734">
        <v>146.53745686722567</v>
      </c>
      <c r="E11890" s="733"/>
    </row>
    <row r="11891" spans="2:5">
      <c r="B11891" s="121">
        <v>1019</v>
      </c>
      <c r="C11891" s="121">
        <v>11</v>
      </c>
      <c r="D11891" s="734">
        <v>140.23102891449039</v>
      </c>
      <c r="E11891" s="733"/>
    </row>
    <row r="11892" spans="2:5">
      <c r="B11892" s="121">
        <v>1019</v>
      </c>
      <c r="C11892" s="121">
        <v>12</v>
      </c>
      <c r="D11892" s="734">
        <v>140.34123921520214</v>
      </c>
      <c r="E11892" s="733"/>
    </row>
    <row r="11893" spans="2:5">
      <c r="B11893" s="121">
        <v>1019</v>
      </c>
      <c r="C11893" s="121">
        <v>13</v>
      </c>
      <c r="D11893" s="734">
        <v>142.30972440547455</v>
      </c>
      <c r="E11893" s="733"/>
    </row>
    <row r="11894" spans="2:5">
      <c r="B11894" s="121">
        <v>1019</v>
      </c>
      <c r="C11894" s="121">
        <v>14</v>
      </c>
      <c r="D11894" s="734">
        <v>137.18531050726762</v>
      </c>
      <c r="E11894" s="733"/>
    </row>
    <row r="11895" spans="2:5">
      <c r="B11895" s="121">
        <v>1019</v>
      </c>
      <c r="C11895" s="121">
        <v>15</v>
      </c>
      <c r="D11895" s="734">
        <v>135.45368716985206</v>
      </c>
      <c r="E11895" s="733"/>
    </row>
    <row r="11896" spans="2:5">
      <c r="B11896" s="121">
        <v>1019</v>
      </c>
      <c r="C11896" s="121">
        <v>16</v>
      </c>
      <c r="D11896" s="734">
        <v>136.44384027585971</v>
      </c>
      <c r="E11896" s="733"/>
    </row>
    <row r="11897" spans="2:5">
      <c r="B11897" s="121">
        <v>1019</v>
      </c>
      <c r="C11897" s="121">
        <v>17</v>
      </c>
      <c r="D11897" s="734">
        <v>136.19173549460541</v>
      </c>
      <c r="E11897" s="733"/>
    </row>
    <row r="11898" spans="2:5">
      <c r="B11898" s="121">
        <v>1019</v>
      </c>
      <c r="C11898" s="121">
        <v>18</v>
      </c>
      <c r="D11898" s="734">
        <v>135.78047973474037</v>
      </c>
      <c r="E11898" s="733"/>
    </row>
    <row r="11899" spans="2:5">
      <c r="B11899" s="121">
        <v>1019</v>
      </c>
      <c r="C11899" s="121">
        <v>19</v>
      </c>
      <c r="D11899" s="734">
        <v>144.72387033232422</v>
      </c>
      <c r="E11899" s="733"/>
    </row>
    <row r="11900" spans="2:5">
      <c r="B11900" s="121">
        <v>1019</v>
      </c>
      <c r="C11900" s="121">
        <v>20</v>
      </c>
      <c r="D11900" s="734">
        <v>142.81211898762419</v>
      </c>
      <c r="E11900" s="733"/>
    </row>
    <row r="11901" spans="2:5">
      <c r="B11901" s="121">
        <v>1019</v>
      </c>
      <c r="C11901" s="121">
        <v>21</v>
      </c>
      <c r="D11901" s="734">
        <v>138.80565392578185</v>
      </c>
      <c r="E11901" s="733"/>
    </row>
    <row r="11902" spans="2:5">
      <c r="B11902" s="121">
        <v>1019</v>
      </c>
      <c r="C11902" s="121">
        <v>22</v>
      </c>
      <c r="D11902" s="734">
        <v>144.30076290418552</v>
      </c>
      <c r="E11902" s="733"/>
    </row>
    <row r="11903" spans="2:5">
      <c r="B11903" s="121">
        <v>1019</v>
      </c>
      <c r="C11903" s="121">
        <v>23</v>
      </c>
      <c r="D11903" s="734">
        <v>144.82355769186464</v>
      </c>
      <c r="E11903" s="733"/>
    </row>
    <row r="11904" spans="2:5">
      <c r="B11904" s="121">
        <v>1019</v>
      </c>
      <c r="C11904" s="121">
        <v>24</v>
      </c>
      <c r="D11904" s="734">
        <v>142.70848640250384</v>
      </c>
      <c r="E11904" s="733"/>
    </row>
    <row r="11905" spans="2:5">
      <c r="B11905" s="121">
        <v>1019</v>
      </c>
      <c r="C11905" s="121">
        <v>25</v>
      </c>
      <c r="D11905" s="734">
        <v>146.28880806719383</v>
      </c>
      <c r="E11905" s="733"/>
    </row>
    <row r="11906" spans="2:5">
      <c r="B11906" s="121">
        <v>1019</v>
      </c>
      <c r="C11906" s="121">
        <v>26</v>
      </c>
      <c r="D11906" s="734">
        <v>135.68686244425882</v>
      </c>
      <c r="E11906" s="733"/>
    </row>
    <row r="11907" spans="2:5">
      <c r="B11907" s="121">
        <v>1019</v>
      </c>
      <c r="C11907" s="121">
        <v>27</v>
      </c>
      <c r="D11907" s="734">
        <v>137.76444115220292</v>
      </c>
      <c r="E11907" s="733"/>
    </row>
    <row r="11908" spans="2:5">
      <c r="B11908" s="121">
        <v>1019</v>
      </c>
      <c r="C11908" s="121">
        <v>28</v>
      </c>
      <c r="D11908" s="734">
        <v>139.5509692365346</v>
      </c>
      <c r="E11908" s="733"/>
    </row>
    <row r="11909" spans="2:5">
      <c r="B11909" s="121">
        <v>1019</v>
      </c>
      <c r="C11909" s="121">
        <v>29</v>
      </c>
      <c r="D11909" s="734">
        <v>136.64873893560915</v>
      </c>
      <c r="E11909" s="733"/>
    </row>
    <row r="11910" spans="2:5">
      <c r="B11910" s="121">
        <v>1019</v>
      </c>
      <c r="C11910" s="121">
        <v>30</v>
      </c>
      <c r="D11910" s="734">
        <v>141.88977919783918</v>
      </c>
      <c r="E11910" s="733"/>
    </row>
    <row r="11911" spans="2:5">
      <c r="B11911" s="121">
        <v>1019</v>
      </c>
      <c r="C11911" s="121">
        <v>31</v>
      </c>
      <c r="D11911" s="734">
        <v>143.28865178990253</v>
      </c>
      <c r="E11911" s="733"/>
    </row>
    <row r="11912" spans="2:5">
      <c r="B11912" s="121">
        <v>1019</v>
      </c>
      <c r="C11912" s="121">
        <v>32</v>
      </c>
      <c r="D11912" s="734">
        <v>144.9940948783098</v>
      </c>
      <c r="E11912" s="733"/>
    </row>
    <row r="11913" spans="2:5">
      <c r="B11913" s="121">
        <v>1019</v>
      </c>
      <c r="C11913" s="121">
        <v>33</v>
      </c>
      <c r="D11913" s="734">
        <v>134.9427161218947</v>
      </c>
      <c r="E11913" s="733"/>
    </row>
    <row r="11914" spans="2:5">
      <c r="B11914" s="121">
        <v>1019</v>
      </c>
      <c r="C11914" s="121">
        <v>34</v>
      </c>
      <c r="D11914" s="734">
        <v>146.77057096226889</v>
      </c>
      <c r="E11914" s="733"/>
    </row>
    <row r="11915" spans="2:5">
      <c r="B11915" s="121">
        <v>1019</v>
      </c>
      <c r="C11915" s="121">
        <v>35</v>
      </c>
      <c r="D11915" s="734">
        <v>140.94348797662835</v>
      </c>
      <c r="E11915" s="733"/>
    </row>
    <row r="11916" spans="2:5">
      <c r="B11916" s="121">
        <v>1019</v>
      </c>
      <c r="C11916" s="121">
        <v>36</v>
      </c>
      <c r="D11916" s="734">
        <v>137.46727932903104</v>
      </c>
      <c r="E11916" s="733"/>
    </row>
    <row r="11917" spans="2:5">
      <c r="B11917" s="121">
        <v>1020</v>
      </c>
      <c r="C11917" s="121">
        <v>1</v>
      </c>
      <c r="D11917" s="734">
        <v>5</v>
      </c>
      <c r="E11917" s="733"/>
    </row>
    <row r="11918" spans="2:5">
      <c r="B11918" s="121">
        <v>1020</v>
      </c>
      <c r="C11918" s="121">
        <v>2</v>
      </c>
      <c r="D11918" s="734">
        <v>99.919748568068457</v>
      </c>
      <c r="E11918" s="733"/>
    </row>
    <row r="11919" spans="2:5">
      <c r="B11919" s="121">
        <v>1020</v>
      </c>
      <c r="C11919" s="121">
        <v>3</v>
      </c>
      <c r="D11919" s="734">
        <v>114.71679843411532</v>
      </c>
      <c r="E11919" s="733"/>
    </row>
    <row r="11920" spans="2:5">
      <c r="B11920" s="121">
        <v>1020</v>
      </c>
      <c r="C11920" s="121">
        <v>4</v>
      </c>
      <c r="D11920" s="734">
        <v>141.24904253624786</v>
      </c>
      <c r="E11920" s="733"/>
    </row>
    <row r="11921" spans="2:5">
      <c r="B11921" s="121">
        <v>1020</v>
      </c>
      <c r="C11921" s="121">
        <v>5</v>
      </c>
      <c r="D11921" s="734">
        <v>136.02008844548104</v>
      </c>
      <c r="E11921" s="733"/>
    </row>
    <row r="11922" spans="2:5">
      <c r="B11922" s="121">
        <v>1020</v>
      </c>
      <c r="C11922" s="121">
        <v>6</v>
      </c>
      <c r="D11922" s="734">
        <v>144.79441734548831</v>
      </c>
      <c r="E11922" s="733"/>
    </row>
    <row r="11923" spans="2:5">
      <c r="B11923" s="121">
        <v>1020</v>
      </c>
      <c r="C11923" s="121">
        <v>7</v>
      </c>
      <c r="D11923" s="734">
        <v>145.55886515317971</v>
      </c>
      <c r="E11923" s="733"/>
    </row>
    <row r="11924" spans="2:5">
      <c r="B11924" s="121">
        <v>1020</v>
      </c>
      <c r="C11924" s="121">
        <v>8</v>
      </c>
      <c r="D11924" s="734">
        <v>138.06320542125852</v>
      </c>
      <c r="E11924" s="733"/>
    </row>
    <row r="11925" spans="2:5">
      <c r="B11925" s="121">
        <v>1020</v>
      </c>
      <c r="C11925" s="121">
        <v>9</v>
      </c>
      <c r="D11925" s="734">
        <v>134.89760194349935</v>
      </c>
      <c r="E11925" s="733"/>
    </row>
    <row r="11926" spans="2:5">
      <c r="B11926" s="121">
        <v>1020</v>
      </c>
      <c r="C11926" s="121">
        <v>10</v>
      </c>
      <c r="D11926" s="734">
        <v>141.6879488592138</v>
      </c>
      <c r="E11926" s="733"/>
    </row>
    <row r="11927" spans="2:5">
      <c r="B11927" s="121">
        <v>1020</v>
      </c>
      <c r="C11927" s="121">
        <v>11</v>
      </c>
      <c r="D11927" s="734">
        <v>139.918576025108</v>
      </c>
      <c r="E11927" s="733"/>
    </row>
    <row r="11928" spans="2:5">
      <c r="B11928" s="121">
        <v>1020</v>
      </c>
      <c r="C11928" s="121">
        <v>12</v>
      </c>
      <c r="D11928" s="734">
        <v>140.69798168568059</v>
      </c>
      <c r="E11928" s="733"/>
    </row>
    <row r="11929" spans="2:5">
      <c r="B11929" s="121">
        <v>1020</v>
      </c>
      <c r="C11929" s="121">
        <v>13</v>
      </c>
      <c r="D11929" s="734">
        <v>134.84355292434353</v>
      </c>
      <c r="E11929" s="733"/>
    </row>
    <row r="11930" spans="2:5">
      <c r="B11930" s="121">
        <v>1020</v>
      </c>
      <c r="C11930" s="121">
        <v>14</v>
      </c>
      <c r="D11930" s="734">
        <v>146.79118013047275</v>
      </c>
      <c r="E11930" s="733"/>
    </row>
    <row r="11931" spans="2:5">
      <c r="B11931" s="121">
        <v>1020</v>
      </c>
      <c r="C11931" s="121">
        <v>15</v>
      </c>
      <c r="D11931" s="734">
        <v>136.82027103045036</v>
      </c>
      <c r="E11931" s="733"/>
    </row>
    <row r="11932" spans="2:5">
      <c r="B11932" s="121">
        <v>1020</v>
      </c>
      <c r="C11932" s="121">
        <v>16</v>
      </c>
      <c r="D11932" s="734">
        <v>141.57097596759499</v>
      </c>
      <c r="E11932" s="733"/>
    </row>
    <row r="11933" spans="2:5">
      <c r="B11933" s="121">
        <v>1020</v>
      </c>
      <c r="C11933" s="121">
        <v>17</v>
      </c>
      <c r="D11933" s="734">
        <v>144.91566434919329</v>
      </c>
      <c r="E11933" s="733"/>
    </row>
    <row r="11934" spans="2:5">
      <c r="B11934" s="121">
        <v>1020</v>
      </c>
      <c r="C11934" s="121">
        <v>18</v>
      </c>
      <c r="D11934" s="734">
        <v>142.79278720280661</v>
      </c>
      <c r="E11934" s="733"/>
    </row>
    <row r="11935" spans="2:5">
      <c r="B11935" s="121">
        <v>1020</v>
      </c>
      <c r="C11935" s="121">
        <v>19</v>
      </c>
      <c r="D11935" s="734">
        <v>142.73216470466988</v>
      </c>
      <c r="E11935" s="733"/>
    </row>
    <row r="11936" spans="2:5">
      <c r="B11936" s="121">
        <v>1020</v>
      </c>
      <c r="C11936" s="121">
        <v>20</v>
      </c>
      <c r="D11936" s="734">
        <v>146.63585895163479</v>
      </c>
      <c r="E11936" s="733"/>
    </row>
    <row r="11937" spans="2:5">
      <c r="B11937" s="121">
        <v>1020</v>
      </c>
      <c r="C11937" s="121">
        <v>21</v>
      </c>
      <c r="D11937" s="734">
        <v>141.75473828023374</v>
      </c>
      <c r="E11937" s="733"/>
    </row>
    <row r="11938" spans="2:5">
      <c r="B11938" s="121">
        <v>1020</v>
      </c>
      <c r="C11938" s="121">
        <v>22</v>
      </c>
      <c r="D11938" s="734">
        <v>140.69556826816424</v>
      </c>
      <c r="E11938" s="733"/>
    </row>
    <row r="11939" spans="2:5">
      <c r="B11939" s="121">
        <v>1020</v>
      </c>
      <c r="C11939" s="121">
        <v>23</v>
      </c>
      <c r="D11939" s="734">
        <v>140.45703094016483</v>
      </c>
      <c r="E11939" s="733"/>
    </row>
    <row r="11940" spans="2:5">
      <c r="B11940" s="121">
        <v>1020</v>
      </c>
      <c r="C11940" s="121">
        <v>24</v>
      </c>
      <c r="D11940" s="734">
        <v>133.94823424306375</v>
      </c>
      <c r="E11940" s="733"/>
    </row>
    <row r="11941" spans="2:5">
      <c r="B11941" s="121">
        <v>1020</v>
      </c>
      <c r="C11941" s="121">
        <v>25</v>
      </c>
      <c r="D11941" s="734">
        <v>141.02438205168477</v>
      </c>
      <c r="E11941" s="733"/>
    </row>
    <row r="11942" spans="2:5">
      <c r="B11942" s="121">
        <v>1020</v>
      </c>
      <c r="C11942" s="121">
        <v>26</v>
      </c>
      <c r="D11942" s="734">
        <v>140.05968704242011</v>
      </c>
      <c r="E11942" s="733"/>
    </row>
    <row r="11943" spans="2:5">
      <c r="B11943" s="121">
        <v>1020</v>
      </c>
      <c r="C11943" s="121">
        <v>27</v>
      </c>
      <c r="D11943" s="734">
        <v>139.74011313715528</v>
      </c>
      <c r="E11943" s="733"/>
    </row>
    <row r="11944" spans="2:5">
      <c r="B11944" s="121">
        <v>1020</v>
      </c>
      <c r="C11944" s="121">
        <v>28</v>
      </c>
      <c r="D11944" s="734">
        <v>138.53599821813697</v>
      </c>
      <c r="E11944" s="733"/>
    </row>
    <row r="11945" spans="2:5">
      <c r="B11945" s="121">
        <v>1020</v>
      </c>
      <c r="C11945" s="121">
        <v>29</v>
      </c>
      <c r="D11945" s="734">
        <v>141.65367773403756</v>
      </c>
      <c r="E11945" s="733"/>
    </row>
    <row r="11946" spans="2:5">
      <c r="B11946" s="121">
        <v>1020</v>
      </c>
      <c r="C11946" s="121">
        <v>30</v>
      </c>
      <c r="D11946" s="734">
        <v>146.59570231560417</v>
      </c>
      <c r="E11946" s="733"/>
    </row>
    <row r="11947" spans="2:5">
      <c r="B11947" s="121">
        <v>1020</v>
      </c>
      <c r="C11947" s="121">
        <v>31</v>
      </c>
      <c r="D11947" s="734">
        <v>134.99537784779511</v>
      </c>
      <c r="E11947" s="733"/>
    </row>
    <row r="11948" spans="2:5">
      <c r="B11948" s="121">
        <v>1020</v>
      </c>
      <c r="C11948" s="121">
        <v>32</v>
      </c>
      <c r="D11948" s="734">
        <v>144.51624377493084</v>
      </c>
      <c r="E11948" s="733"/>
    </row>
    <row r="11949" spans="2:5">
      <c r="B11949" s="121">
        <v>1020</v>
      </c>
      <c r="C11949" s="121">
        <v>33</v>
      </c>
      <c r="D11949" s="734">
        <v>140.75704442062954</v>
      </c>
      <c r="E11949" s="733"/>
    </row>
    <row r="11950" spans="2:5">
      <c r="B11950" s="121">
        <v>1020</v>
      </c>
      <c r="C11950" s="121">
        <v>34</v>
      </c>
      <c r="D11950" s="734">
        <v>145.68520590806207</v>
      </c>
      <c r="E11950" s="733"/>
    </row>
    <row r="11951" spans="2:5">
      <c r="B11951" s="121">
        <v>1020</v>
      </c>
      <c r="C11951" s="121">
        <v>35</v>
      </c>
      <c r="D11951" s="734">
        <v>146.34915774693238</v>
      </c>
      <c r="E11951" s="733"/>
    </row>
    <row r="11952" spans="2:5">
      <c r="B11952" s="121">
        <v>1020</v>
      </c>
      <c r="C11952" s="121">
        <v>36</v>
      </c>
      <c r="D11952" s="734">
        <v>143.55366127069928</v>
      </c>
      <c r="E11952" s="733"/>
    </row>
    <row r="11953" spans="2:5">
      <c r="B11953" s="121">
        <v>1021</v>
      </c>
      <c r="C11953" s="121">
        <v>1</v>
      </c>
      <c r="D11953" s="734">
        <v>5</v>
      </c>
      <c r="E11953" s="733"/>
    </row>
    <row r="11954" spans="2:5">
      <c r="B11954" s="121">
        <v>1021</v>
      </c>
      <c r="C11954" s="121">
        <v>2</v>
      </c>
      <c r="D11954" s="734">
        <v>100.61602598917163</v>
      </c>
      <c r="E11954" s="733"/>
    </row>
    <row r="11955" spans="2:5">
      <c r="B11955" s="121">
        <v>1021</v>
      </c>
      <c r="C11955" s="121">
        <v>3</v>
      </c>
      <c r="D11955" s="734">
        <v>124.51676969457327</v>
      </c>
      <c r="E11955" s="733"/>
    </row>
    <row r="11956" spans="2:5">
      <c r="B11956" s="121">
        <v>1021</v>
      </c>
      <c r="C11956" s="121">
        <v>4</v>
      </c>
      <c r="D11956" s="734">
        <v>140.43386296166227</v>
      </c>
      <c r="E11956" s="733"/>
    </row>
    <row r="11957" spans="2:5">
      <c r="B11957" s="121">
        <v>1021</v>
      </c>
      <c r="C11957" s="121">
        <v>5</v>
      </c>
      <c r="D11957" s="734">
        <v>142.86843212289725</v>
      </c>
      <c r="E11957" s="733"/>
    </row>
    <row r="11958" spans="2:5">
      <c r="B11958" s="121">
        <v>1021</v>
      </c>
      <c r="C11958" s="121">
        <v>6</v>
      </c>
      <c r="D11958" s="734">
        <v>140.06343575271558</v>
      </c>
      <c r="E11958" s="733"/>
    </row>
    <row r="11959" spans="2:5">
      <c r="B11959" s="121">
        <v>1021</v>
      </c>
      <c r="C11959" s="121">
        <v>7</v>
      </c>
      <c r="D11959" s="734">
        <v>136.47909158649961</v>
      </c>
      <c r="E11959" s="733"/>
    </row>
    <row r="11960" spans="2:5">
      <c r="B11960" s="121">
        <v>1022</v>
      </c>
      <c r="C11960" s="121">
        <v>1</v>
      </c>
      <c r="D11960" s="734">
        <v>5</v>
      </c>
      <c r="E11960" s="733"/>
    </row>
    <row r="11961" spans="2:5">
      <c r="B11961" s="121">
        <v>1022</v>
      </c>
      <c r="C11961" s="121">
        <v>2</v>
      </c>
      <c r="D11961" s="734">
        <v>94.220586062468044</v>
      </c>
      <c r="E11961" s="733"/>
    </row>
    <row r="11962" spans="2:5">
      <c r="B11962" s="121">
        <v>1022</v>
      </c>
      <c r="C11962" s="121">
        <v>3</v>
      </c>
      <c r="D11962" s="734">
        <v>120.94591261575819</v>
      </c>
      <c r="E11962" s="733"/>
    </row>
    <row r="11963" spans="2:5">
      <c r="B11963" s="121">
        <v>1022</v>
      </c>
      <c r="C11963" s="121">
        <v>4</v>
      </c>
      <c r="D11963" s="734">
        <v>139.64669471708334</v>
      </c>
      <c r="E11963" s="733"/>
    </row>
    <row r="11964" spans="2:5">
      <c r="B11964" s="121">
        <v>1022</v>
      </c>
      <c r="C11964" s="121">
        <v>5</v>
      </c>
      <c r="D11964" s="734">
        <v>134.56080735399971</v>
      </c>
      <c r="E11964" s="733"/>
    </row>
    <row r="11965" spans="2:5">
      <c r="B11965" s="121">
        <v>1022</v>
      </c>
      <c r="C11965" s="121">
        <v>6</v>
      </c>
      <c r="D11965" s="734">
        <v>143.70623805938533</v>
      </c>
      <c r="E11965" s="733"/>
    </row>
    <row r="11966" spans="2:5">
      <c r="B11966" s="121">
        <v>1022</v>
      </c>
      <c r="C11966" s="121">
        <v>7</v>
      </c>
      <c r="D11966" s="734">
        <v>138.01810378726182</v>
      </c>
      <c r="E11966" s="733"/>
    </row>
    <row r="11967" spans="2:5">
      <c r="B11967" s="121">
        <v>1022</v>
      </c>
      <c r="C11967" s="121">
        <v>8</v>
      </c>
      <c r="D11967" s="734">
        <v>140.91265946550624</v>
      </c>
      <c r="E11967" s="733"/>
    </row>
    <row r="11968" spans="2:5">
      <c r="B11968" s="121">
        <v>1022</v>
      </c>
      <c r="C11968" s="121">
        <v>9</v>
      </c>
      <c r="D11968" s="734">
        <v>135.49175061375527</v>
      </c>
      <c r="E11968" s="733"/>
    </row>
    <row r="11969" spans="2:5">
      <c r="B11969" s="121">
        <v>1022</v>
      </c>
      <c r="C11969" s="121">
        <v>10</v>
      </c>
      <c r="D11969" s="734">
        <v>139.04658994018959</v>
      </c>
      <c r="E11969" s="733"/>
    </row>
    <row r="11970" spans="2:5">
      <c r="B11970" s="121">
        <v>1022</v>
      </c>
      <c r="C11970" s="121">
        <v>11</v>
      </c>
      <c r="D11970" s="734">
        <v>134.80532765736197</v>
      </c>
      <c r="E11970" s="733"/>
    </row>
    <row r="11971" spans="2:5">
      <c r="B11971" s="121">
        <v>1022</v>
      </c>
      <c r="C11971" s="121">
        <v>12</v>
      </c>
      <c r="D11971" s="734">
        <v>141.85447341088243</v>
      </c>
      <c r="E11971" s="733"/>
    </row>
    <row r="11972" spans="2:5">
      <c r="B11972" s="121">
        <v>1022</v>
      </c>
      <c r="C11972" s="121">
        <v>13</v>
      </c>
      <c r="D11972" s="734">
        <v>134.96410993456539</v>
      </c>
      <c r="E11972" s="733"/>
    </row>
    <row r="11973" spans="2:5">
      <c r="B11973" s="121">
        <v>1022</v>
      </c>
      <c r="C11973" s="121">
        <v>14</v>
      </c>
      <c r="D11973" s="734">
        <v>143.40227075416715</v>
      </c>
      <c r="E11973" s="733"/>
    </row>
    <row r="11974" spans="2:5">
      <c r="B11974" s="121">
        <v>1022</v>
      </c>
      <c r="C11974" s="121">
        <v>15</v>
      </c>
      <c r="D11974" s="734">
        <v>139.33313971054687</v>
      </c>
      <c r="E11974" s="733"/>
    </row>
    <row r="11975" spans="2:5">
      <c r="B11975" s="121">
        <v>1022</v>
      </c>
      <c r="C11975" s="121">
        <v>16</v>
      </c>
      <c r="D11975" s="734">
        <v>136.23338007488294</v>
      </c>
      <c r="E11975" s="733"/>
    </row>
    <row r="11976" spans="2:5">
      <c r="B11976" s="121">
        <v>1022</v>
      </c>
      <c r="C11976" s="121">
        <v>17</v>
      </c>
      <c r="D11976" s="734">
        <v>134.71540764748698</v>
      </c>
      <c r="E11976" s="733"/>
    </row>
    <row r="11977" spans="2:5">
      <c r="B11977" s="121">
        <v>1022</v>
      </c>
      <c r="C11977" s="121">
        <v>18</v>
      </c>
      <c r="D11977" s="734">
        <v>140.73045038590854</v>
      </c>
      <c r="E11977" s="733"/>
    </row>
    <row r="11978" spans="2:5">
      <c r="B11978" s="121">
        <v>1022</v>
      </c>
      <c r="C11978" s="121">
        <v>19</v>
      </c>
      <c r="D11978" s="734">
        <v>146.456416085576</v>
      </c>
      <c r="E11978" s="733"/>
    </row>
    <row r="11979" spans="2:5">
      <c r="B11979" s="121">
        <v>1022</v>
      </c>
      <c r="C11979" s="121">
        <v>20</v>
      </c>
      <c r="D11979" s="734">
        <v>136.71579405032193</v>
      </c>
      <c r="E11979" s="733"/>
    </row>
    <row r="11980" spans="2:5">
      <c r="B11980" s="121">
        <v>1022</v>
      </c>
      <c r="C11980" s="121">
        <v>21</v>
      </c>
      <c r="D11980" s="734">
        <v>141.69236898546666</v>
      </c>
      <c r="E11980" s="733"/>
    </row>
    <row r="11981" spans="2:5">
      <c r="B11981" s="121">
        <v>1022</v>
      </c>
      <c r="C11981" s="121">
        <v>22</v>
      </c>
      <c r="D11981" s="734">
        <v>142.78612221055204</v>
      </c>
      <c r="E11981" s="733"/>
    </row>
    <row r="11982" spans="2:5">
      <c r="B11982" s="121">
        <v>1022</v>
      </c>
      <c r="C11982" s="121">
        <v>23</v>
      </c>
      <c r="D11982" s="734">
        <v>146.09773039912668</v>
      </c>
      <c r="E11982" s="733"/>
    </row>
    <row r="11983" spans="2:5">
      <c r="B11983" s="121">
        <v>1022</v>
      </c>
      <c r="C11983" s="121">
        <v>24</v>
      </c>
      <c r="D11983" s="734">
        <v>136.71689775808665</v>
      </c>
      <c r="E11983" s="733"/>
    </row>
    <row r="11984" spans="2:5">
      <c r="B11984" s="121">
        <v>1022</v>
      </c>
      <c r="C11984" s="121">
        <v>25</v>
      </c>
      <c r="D11984" s="734">
        <v>146.6879705179368</v>
      </c>
      <c r="E11984" s="733"/>
    </row>
    <row r="11985" spans="2:5">
      <c r="B11985" s="121">
        <v>1022</v>
      </c>
      <c r="C11985" s="121">
        <v>26</v>
      </c>
      <c r="D11985" s="734">
        <v>133.95030155878453</v>
      </c>
      <c r="E11985" s="733"/>
    </row>
    <row r="11986" spans="2:5">
      <c r="B11986" s="121">
        <v>1022</v>
      </c>
      <c r="C11986" s="121">
        <v>27</v>
      </c>
      <c r="D11986" s="734">
        <v>137.5925907404748</v>
      </c>
      <c r="E11986" s="733"/>
    </row>
    <row r="11987" spans="2:5">
      <c r="B11987" s="121">
        <v>1022</v>
      </c>
      <c r="C11987" s="121">
        <v>28</v>
      </c>
      <c r="D11987" s="734">
        <v>140.28003364020057</v>
      </c>
      <c r="E11987" s="733"/>
    </row>
    <row r="11988" spans="2:5">
      <c r="B11988" s="121">
        <v>1022</v>
      </c>
      <c r="C11988" s="121">
        <v>29</v>
      </c>
      <c r="D11988" s="734">
        <v>140.79044028497287</v>
      </c>
      <c r="E11988" s="733"/>
    </row>
    <row r="11989" spans="2:5">
      <c r="B11989" s="121">
        <v>1022</v>
      </c>
      <c r="C11989" s="121">
        <v>30</v>
      </c>
      <c r="D11989" s="734">
        <v>134.76862031324632</v>
      </c>
      <c r="E11989" s="733"/>
    </row>
    <row r="11990" spans="2:5">
      <c r="B11990" s="121">
        <v>1022</v>
      </c>
      <c r="C11990" s="121">
        <v>31</v>
      </c>
      <c r="D11990" s="734">
        <v>136.22963553572623</v>
      </c>
      <c r="E11990" s="733"/>
    </row>
    <row r="11991" spans="2:5">
      <c r="B11991" s="121">
        <v>1022</v>
      </c>
      <c r="C11991" s="121">
        <v>32</v>
      </c>
      <c r="D11991" s="734">
        <v>134.0231422587907</v>
      </c>
      <c r="E11991" s="733"/>
    </row>
    <row r="11992" spans="2:5">
      <c r="B11992" s="121">
        <v>1022</v>
      </c>
      <c r="C11992" s="121">
        <v>33</v>
      </c>
      <c r="D11992" s="734">
        <v>138.4045958562005</v>
      </c>
      <c r="E11992" s="733"/>
    </row>
    <row r="11993" spans="2:5">
      <c r="B11993" s="121">
        <v>1022</v>
      </c>
      <c r="C11993" s="121">
        <v>34</v>
      </c>
      <c r="D11993" s="734">
        <v>140.60704848844645</v>
      </c>
      <c r="E11993" s="733"/>
    </row>
    <row r="11994" spans="2:5">
      <c r="B11994" s="121">
        <v>1022</v>
      </c>
      <c r="C11994" s="121">
        <v>35</v>
      </c>
      <c r="D11994" s="734">
        <v>145.81673664573734</v>
      </c>
      <c r="E11994" s="733"/>
    </row>
    <row r="11995" spans="2:5">
      <c r="B11995" s="121">
        <v>1022</v>
      </c>
      <c r="C11995" s="121">
        <v>36</v>
      </c>
      <c r="D11995" s="734">
        <v>135.00814079600994</v>
      </c>
      <c r="E11995" s="733"/>
    </row>
    <row r="11996" spans="2:5">
      <c r="B11996" s="121">
        <v>1023</v>
      </c>
      <c r="C11996" s="121">
        <v>1</v>
      </c>
      <c r="D11996" s="734">
        <v>5</v>
      </c>
      <c r="E11996" s="733"/>
    </row>
    <row r="11997" spans="2:5">
      <c r="B11997" s="121">
        <v>1024</v>
      </c>
      <c r="C11997" s="121">
        <v>1</v>
      </c>
      <c r="D11997" s="734">
        <v>5</v>
      </c>
      <c r="E11997" s="733"/>
    </row>
    <row r="11998" spans="2:5">
      <c r="B11998" s="121">
        <v>1024</v>
      </c>
      <c r="C11998" s="121">
        <v>2</v>
      </c>
      <c r="D11998" s="734">
        <v>96.759649526917016</v>
      </c>
      <c r="E11998" s="733"/>
    </row>
    <row r="11999" spans="2:5">
      <c r="B11999" s="121">
        <v>1025</v>
      </c>
      <c r="C11999" s="121">
        <v>1</v>
      </c>
      <c r="D11999" s="734">
        <v>5</v>
      </c>
      <c r="E11999" s="733"/>
    </row>
    <row r="12000" spans="2:5">
      <c r="B12000" s="121">
        <v>1025</v>
      </c>
      <c r="C12000" s="121">
        <v>2</v>
      </c>
      <c r="D12000" s="734">
        <v>102.09743612345123</v>
      </c>
      <c r="E12000" s="733"/>
    </row>
    <row r="12001" spans="2:5">
      <c r="B12001" s="121">
        <v>1026</v>
      </c>
      <c r="C12001" s="121">
        <v>1</v>
      </c>
      <c r="D12001" s="734">
        <v>5</v>
      </c>
      <c r="E12001" s="733"/>
    </row>
    <row r="12002" spans="2:5">
      <c r="B12002" s="121">
        <v>1026</v>
      </c>
      <c r="C12002" s="121">
        <v>2</v>
      </c>
      <c r="D12002" s="734">
        <v>96.129815051637394</v>
      </c>
      <c r="E12002" s="733"/>
    </row>
    <row r="12003" spans="2:5">
      <c r="B12003" s="121">
        <v>1026</v>
      </c>
      <c r="C12003" s="121">
        <v>3</v>
      </c>
      <c r="D12003" s="734">
        <v>121.47601002204811</v>
      </c>
      <c r="E12003" s="733"/>
    </row>
    <row r="12004" spans="2:5">
      <c r="B12004" s="121">
        <v>1026</v>
      </c>
      <c r="C12004" s="121">
        <v>4</v>
      </c>
      <c r="D12004" s="734">
        <v>138.30143117651744</v>
      </c>
      <c r="E12004" s="733"/>
    </row>
    <row r="12005" spans="2:5">
      <c r="B12005" s="121">
        <v>1026</v>
      </c>
      <c r="C12005" s="121">
        <v>5</v>
      </c>
      <c r="D12005" s="734">
        <v>142.43998442154637</v>
      </c>
      <c r="E12005" s="733"/>
    </row>
    <row r="12006" spans="2:5">
      <c r="B12006" s="121">
        <v>1026</v>
      </c>
      <c r="C12006" s="121">
        <v>6</v>
      </c>
      <c r="D12006" s="734">
        <v>139.00357116064868</v>
      </c>
      <c r="E12006" s="733"/>
    </row>
    <row r="12007" spans="2:5">
      <c r="B12007" s="121">
        <v>1027</v>
      </c>
      <c r="C12007" s="121">
        <v>1</v>
      </c>
      <c r="D12007" s="734">
        <v>5</v>
      </c>
      <c r="E12007" s="733"/>
    </row>
    <row r="12008" spans="2:5">
      <c r="B12008" s="121">
        <v>1027</v>
      </c>
      <c r="C12008" s="121">
        <v>2</v>
      </c>
      <c r="D12008" s="734">
        <v>95.612980046020397</v>
      </c>
      <c r="E12008" s="733"/>
    </row>
    <row r="12009" spans="2:5">
      <c r="B12009" s="121">
        <v>1027</v>
      </c>
      <c r="C12009" s="121">
        <v>3</v>
      </c>
      <c r="D12009" s="734">
        <v>116.73408339607812</v>
      </c>
      <c r="E12009" s="733"/>
    </row>
    <row r="12010" spans="2:5">
      <c r="B12010" s="121">
        <v>1027</v>
      </c>
      <c r="C12010" s="121">
        <v>4</v>
      </c>
      <c r="D12010" s="734">
        <v>142.73481425565348</v>
      </c>
      <c r="E12010" s="733"/>
    </row>
    <row r="12011" spans="2:5">
      <c r="B12011" s="121">
        <v>1027</v>
      </c>
      <c r="C12011" s="121">
        <v>5</v>
      </c>
      <c r="D12011" s="734">
        <v>139.69135275166593</v>
      </c>
      <c r="E12011" s="733"/>
    </row>
    <row r="12012" spans="2:5">
      <c r="B12012" s="121">
        <v>1027</v>
      </c>
      <c r="C12012" s="121">
        <v>6</v>
      </c>
      <c r="D12012" s="734">
        <v>138.96856957366967</v>
      </c>
      <c r="E12012" s="733"/>
    </row>
    <row r="12013" spans="2:5">
      <c r="B12013" s="121">
        <v>1027</v>
      </c>
      <c r="C12013" s="121">
        <v>7</v>
      </c>
      <c r="D12013" s="734">
        <v>143.69036023468968</v>
      </c>
      <c r="E12013" s="733"/>
    </row>
    <row r="12014" spans="2:5">
      <c r="B12014" s="121">
        <v>1027</v>
      </c>
      <c r="C12014" s="121">
        <v>8</v>
      </c>
      <c r="D12014" s="734">
        <v>135.36798490410504</v>
      </c>
      <c r="E12014" s="733"/>
    </row>
    <row r="12015" spans="2:5">
      <c r="B12015" s="121">
        <v>1027</v>
      </c>
      <c r="C12015" s="121">
        <v>9</v>
      </c>
      <c r="D12015" s="734">
        <v>137.83872930694915</v>
      </c>
      <c r="E12015" s="733"/>
    </row>
    <row r="12016" spans="2:5">
      <c r="B12016" s="121">
        <v>1027</v>
      </c>
      <c r="C12016" s="121">
        <v>10</v>
      </c>
      <c r="D12016" s="734">
        <v>136.93373035599041</v>
      </c>
      <c r="E12016" s="733"/>
    </row>
    <row r="12017" spans="2:5">
      <c r="B12017" s="121">
        <v>1027</v>
      </c>
      <c r="C12017" s="121">
        <v>11</v>
      </c>
      <c r="D12017" s="734">
        <v>139.52109349713788</v>
      </c>
      <c r="E12017" s="733"/>
    </row>
    <row r="12018" spans="2:5">
      <c r="B12018" s="121">
        <v>1027</v>
      </c>
      <c r="C12018" s="121">
        <v>12</v>
      </c>
      <c r="D12018" s="734">
        <v>140.84316648498125</v>
      </c>
      <c r="E12018" s="733"/>
    </row>
    <row r="12019" spans="2:5">
      <c r="B12019" s="121">
        <v>1027</v>
      </c>
      <c r="C12019" s="121">
        <v>13</v>
      </c>
      <c r="D12019" s="734">
        <v>138.67297692768483</v>
      </c>
      <c r="E12019" s="733"/>
    </row>
    <row r="12020" spans="2:5">
      <c r="B12020" s="121">
        <v>1027</v>
      </c>
      <c r="C12020" s="121">
        <v>14</v>
      </c>
      <c r="D12020" s="734">
        <v>142.88979716702238</v>
      </c>
      <c r="E12020" s="733"/>
    </row>
    <row r="12021" spans="2:5">
      <c r="B12021" s="121">
        <v>1027</v>
      </c>
      <c r="C12021" s="121">
        <v>15</v>
      </c>
      <c r="D12021" s="734">
        <v>134.29249286855938</v>
      </c>
      <c r="E12021" s="733"/>
    </row>
    <row r="12022" spans="2:5">
      <c r="B12022" s="121">
        <v>1027</v>
      </c>
      <c r="C12022" s="121">
        <v>16</v>
      </c>
      <c r="D12022" s="734">
        <v>135.96986291240674</v>
      </c>
      <c r="E12022" s="733"/>
    </row>
    <row r="12023" spans="2:5">
      <c r="B12023" s="121">
        <v>1027</v>
      </c>
      <c r="C12023" s="121">
        <v>17</v>
      </c>
      <c r="D12023" s="734">
        <v>140.89426707156886</v>
      </c>
      <c r="E12023" s="733"/>
    </row>
    <row r="12024" spans="2:5">
      <c r="B12024" s="121">
        <v>1027</v>
      </c>
      <c r="C12024" s="121">
        <v>18</v>
      </c>
      <c r="D12024" s="734">
        <v>139.33892742954595</v>
      </c>
      <c r="E12024" s="733"/>
    </row>
    <row r="12025" spans="2:5">
      <c r="B12025" s="121">
        <v>1027</v>
      </c>
      <c r="C12025" s="121">
        <v>19</v>
      </c>
      <c r="D12025" s="734">
        <v>134.83618093823929</v>
      </c>
      <c r="E12025" s="733"/>
    </row>
    <row r="12026" spans="2:5">
      <c r="B12026" s="121">
        <v>1027</v>
      </c>
      <c r="C12026" s="121">
        <v>20</v>
      </c>
      <c r="D12026" s="734">
        <v>140.3282519244321</v>
      </c>
      <c r="E12026" s="733"/>
    </row>
    <row r="12027" spans="2:5">
      <c r="B12027" s="121">
        <v>1027</v>
      </c>
      <c r="C12027" s="121">
        <v>21</v>
      </c>
      <c r="D12027" s="734">
        <v>145.71915926182098</v>
      </c>
      <c r="E12027" s="733"/>
    </row>
    <row r="12028" spans="2:5">
      <c r="B12028" s="121">
        <v>1027</v>
      </c>
      <c r="C12028" s="121">
        <v>22</v>
      </c>
      <c r="D12028" s="734">
        <v>143.72036915621499</v>
      </c>
      <c r="E12028" s="733"/>
    </row>
    <row r="12029" spans="2:5">
      <c r="B12029" s="121">
        <v>1027</v>
      </c>
      <c r="C12029" s="121">
        <v>23</v>
      </c>
      <c r="D12029" s="734">
        <v>141.81463532308953</v>
      </c>
      <c r="E12029" s="733"/>
    </row>
    <row r="12030" spans="2:5">
      <c r="B12030" s="121">
        <v>1027</v>
      </c>
      <c r="C12030" s="121">
        <v>24</v>
      </c>
      <c r="D12030" s="734">
        <v>140.02333738416885</v>
      </c>
      <c r="E12030" s="733"/>
    </row>
    <row r="12031" spans="2:5">
      <c r="B12031" s="121">
        <v>1028</v>
      </c>
      <c r="C12031" s="121">
        <v>1</v>
      </c>
      <c r="D12031" s="734">
        <v>5</v>
      </c>
      <c r="E12031" s="733"/>
    </row>
    <row r="12032" spans="2:5">
      <c r="B12032" s="121">
        <v>1028</v>
      </c>
      <c r="C12032" s="121">
        <v>2</v>
      </c>
      <c r="D12032" s="734">
        <v>98.955036163054231</v>
      </c>
      <c r="E12032" s="733"/>
    </row>
    <row r="12033" spans="2:5">
      <c r="B12033" s="121">
        <v>1028</v>
      </c>
      <c r="C12033" s="121">
        <v>3</v>
      </c>
      <c r="D12033" s="734">
        <v>115.89513184625011</v>
      </c>
      <c r="E12033" s="733"/>
    </row>
    <row r="12034" spans="2:5">
      <c r="B12034" s="121">
        <v>1028</v>
      </c>
      <c r="C12034" s="121">
        <v>4</v>
      </c>
      <c r="D12034" s="734">
        <v>142.65049799393091</v>
      </c>
      <c r="E12034" s="733"/>
    </row>
    <row r="12035" spans="2:5">
      <c r="B12035" s="121">
        <v>1028</v>
      </c>
      <c r="C12035" s="121">
        <v>5</v>
      </c>
      <c r="D12035" s="734">
        <v>144.50685661212256</v>
      </c>
      <c r="E12035" s="733"/>
    </row>
    <row r="12036" spans="2:5">
      <c r="B12036" s="121">
        <v>1028</v>
      </c>
      <c r="C12036" s="121">
        <v>6</v>
      </c>
      <c r="D12036" s="734">
        <v>143.25615730686999</v>
      </c>
      <c r="E12036" s="733"/>
    </row>
    <row r="12037" spans="2:5">
      <c r="B12037" s="121">
        <v>1028</v>
      </c>
      <c r="C12037" s="121">
        <v>7</v>
      </c>
      <c r="D12037" s="734">
        <v>145.98635247506994</v>
      </c>
      <c r="E12037" s="733"/>
    </row>
    <row r="12038" spans="2:5">
      <c r="B12038" s="121">
        <v>1028</v>
      </c>
      <c r="C12038" s="121">
        <v>8</v>
      </c>
      <c r="D12038" s="734">
        <v>136.55726957508278</v>
      </c>
      <c r="E12038" s="733"/>
    </row>
    <row r="12039" spans="2:5">
      <c r="B12039" s="121">
        <v>1028</v>
      </c>
      <c r="C12039" s="121">
        <v>9</v>
      </c>
      <c r="D12039" s="734">
        <v>141.19889595856483</v>
      </c>
      <c r="E12039" s="733"/>
    </row>
    <row r="12040" spans="2:5">
      <c r="B12040" s="121">
        <v>1028</v>
      </c>
      <c r="C12040" s="121">
        <v>10</v>
      </c>
      <c r="D12040" s="734">
        <v>141.35474466320841</v>
      </c>
      <c r="E12040" s="733"/>
    </row>
    <row r="12041" spans="2:5">
      <c r="B12041" s="121">
        <v>1028</v>
      </c>
      <c r="C12041" s="121">
        <v>11</v>
      </c>
      <c r="D12041" s="734">
        <v>140.92995549832276</v>
      </c>
      <c r="E12041" s="733"/>
    </row>
    <row r="12042" spans="2:5">
      <c r="B12042" s="121">
        <v>1028</v>
      </c>
      <c r="C12042" s="121">
        <v>12</v>
      </c>
      <c r="D12042" s="734">
        <v>138.9192384109032</v>
      </c>
      <c r="E12042" s="733"/>
    </row>
    <row r="12043" spans="2:5">
      <c r="B12043" s="121">
        <v>1028</v>
      </c>
      <c r="C12043" s="121">
        <v>13</v>
      </c>
      <c r="D12043" s="734">
        <v>141.75054155095648</v>
      </c>
      <c r="E12043" s="733"/>
    </row>
    <row r="12044" spans="2:5">
      <c r="B12044" s="121">
        <v>1028</v>
      </c>
      <c r="C12044" s="121">
        <v>14</v>
      </c>
      <c r="D12044" s="734">
        <v>139.99497827491962</v>
      </c>
      <c r="E12044" s="733"/>
    </row>
    <row r="12045" spans="2:5">
      <c r="B12045" s="121">
        <v>1028</v>
      </c>
      <c r="C12045" s="121">
        <v>15</v>
      </c>
      <c r="D12045" s="734">
        <v>134.44123730658893</v>
      </c>
      <c r="E12045" s="733"/>
    </row>
    <row r="12046" spans="2:5">
      <c r="B12046" s="121">
        <v>1028</v>
      </c>
      <c r="C12046" s="121">
        <v>16</v>
      </c>
      <c r="D12046" s="734">
        <v>135.80643075067493</v>
      </c>
      <c r="E12046" s="733"/>
    </row>
    <row r="12047" spans="2:5">
      <c r="B12047" s="121">
        <v>1028</v>
      </c>
      <c r="C12047" s="121">
        <v>17</v>
      </c>
      <c r="D12047" s="734">
        <v>134.82488540841223</v>
      </c>
      <c r="E12047" s="733"/>
    </row>
    <row r="12048" spans="2:5">
      <c r="B12048" s="121">
        <v>1028</v>
      </c>
      <c r="C12048" s="121">
        <v>18</v>
      </c>
      <c r="D12048" s="734">
        <v>145.10463761979511</v>
      </c>
      <c r="E12048" s="733"/>
    </row>
    <row r="12049" spans="2:5">
      <c r="B12049" s="121">
        <v>1028</v>
      </c>
      <c r="C12049" s="121">
        <v>19</v>
      </c>
      <c r="D12049" s="734">
        <v>141.67763363548795</v>
      </c>
      <c r="E12049" s="733"/>
    </row>
    <row r="12050" spans="2:5">
      <c r="B12050" s="121">
        <v>1028</v>
      </c>
      <c r="C12050" s="121">
        <v>20</v>
      </c>
      <c r="D12050" s="734">
        <v>137.40364343957708</v>
      </c>
      <c r="E12050" s="733"/>
    </row>
    <row r="12051" spans="2:5">
      <c r="B12051" s="121">
        <v>1028</v>
      </c>
      <c r="C12051" s="121">
        <v>21</v>
      </c>
      <c r="D12051" s="734">
        <v>146.71406227396275</v>
      </c>
      <c r="E12051" s="733"/>
    </row>
    <row r="12052" spans="2:5">
      <c r="B12052" s="121">
        <v>1029</v>
      </c>
      <c r="C12052" s="121">
        <v>1</v>
      </c>
      <c r="D12052" s="734">
        <v>5</v>
      </c>
      <c r="E12052" s="733"/>
    </row>
    <row r="12053" spans="2:5">
      <c r="B12053" s="121">
        <v>1029</v>
      </c>
      <c r="C12053" s="121">
        <v>2</v>
      </c>
      <c r="D12053" s="734">
        <v>98.829317512890583</v>
      </c>
      <c r="E12053" s="733"/>
    </row>
    <row r="12054" spans="2:5">
      <c r="B12054" s="121">
        <v>1029</v>
      </c>
      <c r="C12054" s="121">
        <v>3</v>
      </c>
      <c r="D12054" s="734">
        <v>124.44740227041292</v>
      </c>
      <c r="E12054" s="733"/>
    </row>
    <row r="12055" spans="2:5">
      <c r="B12055" s="121">
        <v>1029</v>
      </c>
      <c r="C12055" s="121">
        <v>4</v>
      </c>
      <c r="D12055" s="734">
        <v>143.67341282231345</v>
      </c>
      <c r="E12055" s="733"/>
    </row>
    <row r="12056" spans="2:5">
      <c r="B12056" s="121">
        <v>1029</v>
      </c>
      <c r="C12056" s="121">
        <v>5</v>
      </c>
      <c r="D12056" s="734">
        <v>146.24437961892878</v>
      </c>
      <c r="E12056" s="733"/>
    </row>
    <row r="12057" spans="2:5">
      <c r="B12057" s="121">
        <v>1029</v>
      </c>
      <c r="C12057" s="121">
        <v>6</v>
      </c>
      <c r="D12057" s="734">
        <v>139.75684474513159</v>
      </c>
      <c r="E12057" s="733"/>
    </row>
    <row r="12058" spans="2:5">
      <c r="B12058" s="121">
        <v>1029</v>
      </c>
      <c r="C12058" s="121">
        <v>7</v>
      </c>
      <c r="D12058" s="734">
        <v>143.90131243932009</v>
      </c>
      <c r="E12058" s="733"/>
    </row>
    <row r="12059" spans="2:5">
      <c r="B12059" s="121">
        <v>1029</v>
      </c>
      <c r="C12059" s="121">
        <v>8</v>
      </c>
      <c r="D12059" s="734">
        <v>146.97889505306102</v>
      </c>
      <c r="E12059" s="733"/>
    </row>
    <row r="12060" spans="2:5">
      <c r="B12060" s="121">
        <v>1029</v>
      </c>
      <c r="C12060" s="121">
        <v>9</v>
      </c>
      <c r="D12060" s="734">
        <v>134.74176218920832</v>
      </c>
      <c r="E12060" s="733"/>
    </row>
    <row r="12061" spans="2:5">
      <c r="B12061" s="121">
        <v>1030</v>
      </c>
      <c r="C12061" s="121">
        <v>1</v>
      </c>
      <c r="D12061" s="734">
        <v>5</v>
      </c>
      <c r="E12061" s="733"/>
    </row>
    <row r="12062" spans="2:5">
      <c r="B12062" s="121">
        <v>1031</v>
      </c>
      <c r="C12062" s="121">
        <v>1</v>
      </c>
      <c r="D12062" s="734">
        <v>5</v>
      </c>
      <c r="E12062" s="733"/>
    </row>
    <row r="12063" spans="2:5">
      <c r="B12063" s="121">
        <v>1031</v>
      </c>
      <c r="C12063" s="121">
        <v>2</v>
      </c>
      <c r="D12063" s="734">
        <v>102.10910655079255</v>
      </c>
      <c r="E12063" s="733"/>
    </row>
    <row r="12064" spans="2:5">
      <c r="B12064" s="121">
        <v>1031</v>
      </c>
      <c r="C12064" s="121">
        <v>3</v>
      </c>
      <c r="D12064" s="734">
        <v>124.59513313078962</v>
      </c>
      <c r="E12064" s="733"/>
    </row>
    <row r="12065" spans="2:5">
      <c r="B12065" s="121">
        <v>1031</v>
      </c>
      <c r="C12065" s="121">
        <v>4</v>
      </c>
      <c r="D12065" s="734">
        <v>135.17600663021517</v>
      </c>
      <c r="E12065" s="733"/>
    </row>
    <row r="12066" spans="2:5">
      <c r="B12066" s="121">
        <v>1031</v>
      </c>
      <c r="C12066" s="121">
        <v>5</v>
      </c>
      <c r="D12066" s="734">
        <v>140.83655053790736</v>
      </c>
      <c r="E12066" s="733"/>
    </row>
    <row r="12067" spans="2:5">
      <c r="B12067" s="121">
        <v>1031</v>
      </c>
      <c r="C12067" s="121">
        <v>6</v>
      </c>
      <c r="D12067" s="734">
        <v>134.91983230416676</v>
      </c>
      <c r="E12067" s="733"/>
    </row>
    <row r="12068" spans="2:5">
      <c r="B12068" s="121">
        <v>1031</v>
      </c>
      <c r="C12068" s="121">
        <v>7</v>
      </c>
      <c r="D12068" s="734">
        <v>142.70364593593433</v>
      </c>
      <c r="E12068" s="733"/>
    </row>
    <row r="12069" spans="2:5">
      <c r="B12069" s="121">
        <v>1031</v>
      </c>
      <c r="C12069" s="121">
        <v>8</v>
      </c>
      <c r="D12069" s="734">
        <v>140.41109864794518</v>
      </c>
      <c r="E12069" s="733"/>
    </row>
    <row r="12070" spans="2:5">
      <c r="B12070" s="121">
        <v>1031</v>
      </c>
      <c r="C12070" s="121">
        <v>9</v>
      </c>
      <c r="D12070" s="734">
        <v>135.47629373323082</v>
      </c>
      <c r="E12070" s="733"/>
    </row>
    <row r="12071" spans="2:5">
      <c r="B12071" s="121">
        <v>1031</v>
      </c>
      <c r="C12071" s="121">
        <v>10</v>
      </c>
      <c r="D12071" s="734">
        <v>142.07601538156575</v>
      </c>
      <c r="E12071" s="733"/>
    </row>
    <row r="12072" spans="2:5">
      <c r="B12072" s="121">
        <v>1031</v>
      </c>
      <c r="C12072" s="121">
        <v>11</v>
      </c>
      <c r="D12072" s="734">
        <v>135.55032411100464</v>
      </c>
      <c r="E12072" s="733"/>
    </row>
    <row r="12073" spans="2:5">
      <c r="B12073" s="121">
        <v>1031</v>
      </c>
      <c r="C12073" s="121">
        <v>12</v>
      </c>
      <c r="D12073" s="734">
        <v>145.22460117027347</v>
      </c>
      <c r="E12073" s="733"/>
    </row>
    <row r="12074" spans="2:5">
      <c r="B12074" s="121">
        <v>1031</v>
      </c>
      <c r="C12074" s="121">
        <v>13</v>
      </c>
      <c r="D12074" s="734">
        <v>136.2414033420483</v>
      </c>
      <c r="E12074" s="733"/>
    </row>
    <row r="12075" spans="2:5">
      <c r="B12075" s="121">
        <v>1031</v>
      </c>
      <c r="C12075" s="121">
        <v>14</v>
      </c>
      <c r="D12075" s="734">
        <v>141.38593384423262</v>
      </c>
      <c r="E12075" s="733"/>
    </row>
    <row r="12076" spans="2:5">
      <c r="B12076" s="121">
        <v>1031</v>
      </c>
      <c r="C12076" s="121">
        <v>15</v>
      </c>
      <c r="D12076" s="734">
        <v>134.81790523248932</v>
      </c>
      <c r="E12076" s="733"/>
    </row>
    <row r="12077" spans="2:5">
      <c r="B12077" s="121">
        <v>1031</v>
      </c>
      <c r="C12077" s="121">
        <v>16</v>
      </c>
      <c r="D12077" s="734">
        <v>142.7249587994115</v>
      </c>
      <c r="E12077" s="733"/>
    </row>
    <row r="12078" spans="2:5">
      <c r="B12078" s="121">
        <v>1031</v>
      </c>
      <c r="C12078" s="121">
        <v>17</v>
      </c>
      <c r="D12078" s="734">
        <v>141.97960613680871</v>
      </c>
      <c r="E12078" s="733"/>
    </row>
    <row r="12079" spans="2:5">
      <c r="B12079" s="121">
        <v>1031</v>
      </c>
      <c r="C12079" s="121">
        <v>18</v>
      </c>
      <c r="D12079" s="734">
        <v>137.38523751480952</v>
      </c>
      <c r="E12079" s="733"/>
    </row>
    <row r="12080" spans="2:5">
      <c r="B12080" s="121">
        <v>1031</v>
      </c>
      <c r="C12080" s="121">
        <v>19</v>
      </c>
      <c r="D12080" s="734">
        <v>145.24260809874417</v>
      </c>
      <c r="E12080" s="733"/>
    </row>
    <row r="12081" spans="2:5">
      <c r="B12081" s="121">
        <v>1031</v>
      </c>
      <c r="C12081" s="121">
        <v>20</v>
      </c>
      <c r="D12081" s="734">
        <v>143.46771620786353</v>
      </c>
      <c r="E12081" s="733"/>
    </row>
    <row r="12082" spans="2:5">
      <c r="B12082" s="121">
        <v>1031</v>
      </c>
      <c r="C12082" s="121">
        <v>21</v>
      </c>
      <c r="D12082" s="734">
        <v>145.75144151180342</v>
      </c>
      <c r="E12082" s="733"/>
    </row>
    <row r="12083" spans="2:5">
      <c r="B12083" s="121">
        <v>1031</v>
      </c>
      <c r="C12083" s="121">
        <v>22</v>
      </c>
      <c r="D12083" s="734">
        <v>137.60749514149671</v>
      </c>
      <c r="E12083" s="733"/>
    </row>
    <row r="12084" spans="2:5">
      <c r="B12084" s="121">
        <v>1031</v>
      </c>
      <c r="C12084" s="121">
        <v>23</v>
      </c>
      <c r="D12084" s="734">
        <v>144.69181838230543</v>
      </c>
      <c r="E12084" s="733"/>
    </row>
    <row r="12085" spans="2:5">
      <c r="B12085" s="121">
        <v>1031</v>
      </c>
      <c r="C12085" s="121">
        <v>24</v>
      </c>
      <c r="D12085" s="734">
        <v>145.86950555166038</v>
      </c>
      <c r="E12085" s="733"/>
    </row>
    <row r="12086" spans="2:5">
      <c r="B12086" s="121">
        <v>1031</v>
      </c>
      <c r="C12086" s="121">
        <v>25</v>
      </c>
      <c r="D12086" s="734">
        <v>140.75217116044928</v>
      </c>
      <c r="E12086" s="733"/>
    </row>
    <row r="12087" spans="2:5">
      <c r="B12087" s="121">
        <v>1031</v>
      </c>
      <c r="C12087" s="121">
        <v>26</v>
      </c>
      <c r="D12087" s="734">
        <v>137.47838725527123</v>
      </c>
      <c r="E12087" s="733"/>
    </row>
    <row r="12088" spans="2:5">
      <c r="B12088" s="121">
        <v>1031</v>
      </c>
      <c r="C12088" s="121">
        <v>27</v>
      </c>
      <c r="D12088" s="734">
        <v>139.69679645654952</v>
      </c>
      <c r="E12088" s="733"/>
    </row>
    <row r="12089" spans="2:5">
      <c r="B12089" s="121">
        <v>1031</v>
      </c>
      <c r="C12089" s="121">
        <v>28</v>
      </c>
      <c r="D12089" s="734">
        <v>145.90277828028002</v>
      </c>
      <c r="E12089" s="733"/>
    </row>
    <row r="12090" spans="2:5">
      <c r="B12090" s="121">
        <v>1031</v>
      </c>
      <c r="C12090" s="121">
        <v>29</v>
      </c>
      <c r="D12090" s="734">
        <v>134.82067223134791</v>
      </c>
      <c r="E12090" s="733"/>
    </row>
    <row r="12091" spans="2:5">
      <c r="B12091" s="121">
        <v>1031</v>
      </c>
      <c r="C12091" s="121">
        <v>30</v>
      </c>
      <c r="D12091" s="734">
        <v>134.66340296500059</v>
      </c>
      <c r="E12091" s="733"/>
    </row>
    <row r="12092" spans="2:5">
      <c r="B12092" s="121">
        <v>1031</v>
      </c>
      <c r="C12092" s="121">
        <v>31</v>
      </c>
      <c r="D12092" s="734">
        <v>141.71113342013561</v>
      </c>
      <c r="E12092" s="733"/>
    </row>
    <row r="12093" spans="2:5">
      <c r="B12093" s="121">
        <v>1031</v>
      </c>
      <c r="C12093" s="121">
        <v>32</v>
      </c>
      <c r="D12093" s="734">
        <v>139.99284432528438</v>
      </c>
      <c r="E12093" s="733"/>
    </row>
    <row r="12094" spans="2:5">
      <c r="B12094" s="121">
        <v>1031</v>
      </c>
      <c r="C12094" s="121">
        <v>33</v>
      </c>
      <c r="D12094" s="734">
        <v>142.62491502757592</v>
      </c>
      <c r="E12094" s="733"/>
    </row>
    <row r="12095" spans="2:5">
      <c r="B12095" s="121">
        <v>1031</v>
      </c>
      <c r="C12095" s="121">
        <v>34</v>
      </c>
      <c r="D12095" s="734">
        <v>136.46720868108483</v>
      </c>
      <c r="E12095" s="733"/>
    </row>
    <row r="12096" spans="2:5">
      <c r="B12096" s="121">
        <v>1031</v>
      </c>
      <c r="C12096" s="121">
        <v>35</v>
      </c>
      <c r="D12096" s="734">
        <v>141.53980889783625</v>
      </c>
      <c r="E12096" s="733"/>
    </row>
    <row r="12097" spans="2:5">
      <c r="B12097" s="121">
        <v>1031</v>
      </c>
      <c r="C12097" s="121">
        <v>36</v>
      </c>
      <c r="D12097" s="734">
        <v>138.82777222423442</v>
      </c>
      <c r="E12097" s="733"/>
    </row>
    <row r="12098" spans="2:5">
      <c r="B12098" s="121">
        <v>1032</v>
      </c>
      <c r="C12098" s="121">
        <v>1</v>
      </c>
      <c r="D12098" s="734">
        <v>5</v>
      </c>
      <c r="E12098" s="733"/>
    </row>
    <row r="12099" spans="2:5">
      <c r="B12099" s="121">
        <v>1033</v>
      </c>
      <c r="C12099" s="121">
        <v>1</v>
      </c>
      <c r="D12099" s="734">
        <v>5</v>
      </c>
      <c r="E12099" s="733"/>
    </row>
    <row r="12100" spans="2:5">
      <c r="B12100" s="121">
        <v>1034</v>
      </c>
      <c r="C12100" s="121">
        <v>1</v>
      </c>
      <c r="D12100" s="734">
        <v>5</v>
      </c>
      <c r="E12100" s="733"/>
    </row>
    <row r="12101" spans="2:5">
      <c r="B12101" s="121">
        <v>1034</v>
      </c>
      <c r="C12101" s="121">
        <v>2</v>
      </c>
      <c r="D12101" s="734">
        <v>99.863776810236985</v>
      </c>
      <c r="E12101" s="733"/>
    </row>
    <row r="12102" spans="2:5">
      <c r="B12102" s="121">
        <v>1035</v>
      </c>
      <c r="C12102" s="121">
        <v>1</v>
      </c>
      <c r="D12102" s="734">
        <v>5</v>
      </c>
      <c r="E12102" s="733"/>
    </row>
    <row r="12103" spans="2:5">
      <c r="B12103" s="121">
        <v>1035</v>
      </c>
      <c r="C12103" s="121">
        <v>2</v>
      </c>
      <c r="D12103" s="734">
        <v>97.058586829702023</v>
      </c>
      <c r="E12103" s="733"/>
    </row>
    <row r="12104" spans="2:5">
      <c r="B12104" s="121">
        <v>1035</v>
      </c>
      <c r="C12104" s="121">
        <v>3</v>
      </c>
      <c r="D12104" s="734">
        <v>125.3001099147658</v>
      </c>
      <c r="E12104" s="733"/>
    </row>
    <row r="12105" spans="2:5">
      <c r="B12105" s="121">
        <v>1035</v>
      </c>
      <c r="C12105" s="121">
        <v>4</v>
      </c>
      <c r="D12105" s="734">
        <v>140.23920125760043</v>
      </c>
      <c r="E12105" s="733"/>
    </row>
    <row r="12106" spans="2:5">
      <c r="B12106" s="121">
        <v>1035</v>
      </c>
      <c r="C12106" s="121">
        <v>5</v>
      </c>
      <c r="D12106" s="734">
        <v>144.49608718065736</v>
      </c>
      <c r="E12106" s="733"/>
    </row>
    <row r="12107" spans="2:5">
      <c r="B12107" s="121">
        <v>1036</v>
      </c>
      <c r="C12107" s="121">
        <v>1</v>
      </c>
      <c r="D12107" s="734">
        <v>5</v>
      </c>
      <c r="E12107" s="733"/>
    </row>
    <row r="12108" spans="2:5">
      <c r="B12108" s="121">
        <v>1036</v>
      </c>
      <c r="C12108" s="121">
        <v>2</v>
      </c>
      <c r="D12108" s="734">
        <v>103.02281302463805</v>
      </c>
      <c r="E12108" s="733"/>
    </row>
    <row r="12109" spans="2:5">
      <c r="B12109" s="121">
        <v>1037</v>
      </c>
      <c r="C12109" s="121">
        <v>1</v>
      </c>
      <c r="D12109" s="734">
        <v>5</v>
      </c>
      <c r="E12109" s="733"/>
    </row>
    <row r="12110" spans="2:5">
      <c r="B12110" s="121">
        <v>1037</v>
      </c>
      <c r="C12110" s="121">
        <v>2</v>
      </c>
      <c r="D12110" s="734">
        <v>95.185713893721612</v>
      </c>
      <c r="E12110" s="733"/>
    </row>
    <row r="12111" spans="2:5">
      <c r="B12111" s="121">
        <v>1037</v>
      </c>
      <c r="C12111" s="121">
        <v>3</v>
      </c>
      <c r="D12111" s="734">
        <v>125.30173230608249</v>
      </c>
      <c r="E12111" s="733"/>
    </row>
    <row r="12112" spans="2:5">
      <c r="B12112" s="121">
        <v>1037</v>
      </c>
      <c r="C12112" s="121">
        <v>4</v>
      </c>
      <c r="D12112" s="734">
        <v>140.37426674024678</v>
      </c>
      <c r="E12112" s="733"/>
    </row>
    <row r="12113" spans="2:5">
      <c r="B12113" s="121">
        <v>1038</v>
      </c>
      <c r="C12113" s="121">
        <v>1</v>
      </c>
      <c r="D12113" s="734">
        <v>5</v>
      </c>
      <c r="E12113" s="733"/>
    </row>
    <row r="12114" spans="2:5">
      <c r="B12114" s="121">
        <v>1039</v>
      </c>
      <c r="C12114" s="121">
        <v>1</v>
      </c>
      <c r="D12114" s="734">
        <v>5</v>
      </c>
      <c r="E12114" s="733"/>
    </row>
    <row r="12115" spans="2:5">
      <c r="B12115" s="121">
        <v>1040</v>
      </c>
      <c r="C12115" s="121">
        <v>1</v>
      </c>
      <c r="D12115" s="734">
        <v>5</v>
      </c>
      <c r="E12115" s="733"/>
    </row>
    <row r="12116" spans="2:5">
      <c r="B12116" s="121">
        <v>1040</v>
      </c>
      <c r="C12116" s="121">
        <v>2</v>
      </c>
      <c r="D12116" s="734">
        <v>95.081251087732838</v>
      </c>
      <c r="E12116" s="733"/>
    </row>
    <row r="12117" spans="2:5">
      <c r="B12117" s="121">
        <v>1040</v>
      </c>
      <c r="C12117" s="121">
        <v>3</v>
      </c>
      <c r="D12117" s="734">
        <v>122.19206673421216</v>
      </c>
      <c r="E12117" s="733"/>
    </row>
    <row r="12118" spans="2:5">
      <c r="B12118" s="121">
        <v>1040</v>
      </c>
      <c r="C12118" s="121">
        <v>4</v>
      </c>
      <c r="D12118" s="734">
        <v>138.8143257162636</v>
      </c>
      <c r="E12118" s="733"/>
    </row>
    <row r="12119" spans="2:5">
      <c r="B12119" s="121">
        <v>1040</v>
      </c>
      <c r="C12119" s="121">
        <v>5</v>
      </c>
      <c r="D12119" s="734">
        <v>142.24799789121494</v>
      </c>
      <c r="E12119" s="733"/>
    </row>
    <row r="12120" spans="2:5">
      <c r="B12120" s="121">
        <v>1040</v>
      </c>
      <c r="C12120" s="121">
        <v>6</v>
      </c>
      <c r="D12120" s="734">
        <v>134.96878770804241</v>
      </c>
      <c r="E12120" s="733"/>
    </row>
    <row r="12121" spans="2:5">
      <c r="B12121" s="121">
        <v>1040</v>
      </c>
      <c r="C12121" s="121">
        <v>7</v>
      </c>
      <c r="D12121" s="734">
        <v>136.29841925610398</v>
      </c>
      <c r="E12121" s="733"/>
    </row>
    <row r="12122" spans="2:5">
      <c r="B12122" s="121">
        <v>1040</v>
      </c>
      <c r="C12122" s="121">
        <v>8</v>
      </c>
      <c r="D12122" s="734">
        <v>134.36726538803606</v>
      </c>
      <c r="E12122" s="733"/>
    </row>
    <row r="12123" spans="2:5">
      <c r="B12123" s="121">
        <v>1040</v>
      </c>
      <c r="C12123" s="121">
        <v>9</v>
      </c>
      <c r="D12123" s="734">
        <v>143.00677492971502</v>
      </c>
      <c r="E12123" s="733"/>
    </row>
    <row r="12124" spans="2:5">
      <c r="B12124" s="121">
        <v>1040</v>
      </c>
      <c r="C12124" s="121">
        <v>10</v>
      </c>
      <c r="D12124" s="734">
        <v>141.56339098306927</v>
      </c>
      <c r="E12124" s="733"/>
    </row>
    <row r="12125" spans="2:5">
      <c r="B12125" s="121">
        <v>1041</v>
      </c>
      <c r="C12125" s="121">
        <v>1</v>
      </c>
      <c r="D12125" s="734">
        <v>5</v>
      </c>
      <c r="E12125" s="733"/>
    </row>
    <row r="12126" spans="2:5">
      <c r="B12126" s="121">
        <v>1041</v>
      </c>
      <c r="C12126" s="121">
        <v>2</v>
      </c>
      <c r="D12126" s="734">
        <v>96.410525125904726</v>
      </c>
      <c r="E12126" s="733"/>
    </row>
    <row r="12127" spans="2:5">
      <c r="B12127" s="121">
        <v>1041</v>
      </c>
      <c r="C12127" s="121">
        <v>3</v>
      </c>
      <c r="D12127" s="734">
        <v>118.99222008759352</v>
      </c>
      <c r="E12127" s="733"/>
    </row>
    <row r="12128" spans="2:5">
      <c r="B12128" s="121">
        <v>1041</v>
      </c>
      <c r="C12128" s="121">
        <v>4</v>
      </c>
      <c r="D12128" s="734">
        <v>140.19832105025066</v>
      </c>
      <c r="E12128" s="733"/>
    </row>
    <row r="12129" spans="2:5">
      <c r="B12129" s="121">
        <v>1041</v>
      </c>
      <c r="C12129" s="121">
        <v>5</v>
      </c>
      <c r="D12129" s="734">
        <v>139.77394381231218</v>
      </c>
      <c r="E12129" s="733"/>
    </row>
    <row r="12130" spans="2:5">
      <c r="B12130" s="121">
        <v>1041</v>
      </c>
      <c r="C12130" s="121">
        <v>6</v>
      </c>
      <c r="D12130" s="734">
        <v>145.77721636781533</v>
      </c>
      <c r="E12130" s="733"/>
    </row>
    <row r="12131" spans="2:5">
      <c r="B12131" s="121">
        <v>1041</v>
      </c>
      <c r="C12131" s="121">
        <v>7</v>
      </c>
      <c r="D12131" s="734">
        <v>136.68591263984925</v>
      </c>
      <c r="E12131" s="733"/>
    </row>
    <row r="12132" spans="2:5">
      <c r="B12132" s="121">
        <v>1042</v>
      </c>
      <c r="C12132" s="121">
        <v>1</v>
      </c>
      <c r="D12132" s="734">
        <v>5</v>
      </c>
      <c r="E12132" s="733"/>
    </row>
    <row r="12133" spans="2:5">
      <c r="B12133" s="121">
        <v>1042</v>
      </c>
      <c r="C12133" s="121">
        <v>2</v>
      </c>
      <c r="D12133" s="734">
        <v>96.172045163966985</v>
      </c>
      <c r="E12133" s="733"/>
    </row>
    <row r="12134" spans="2:5">
      <c r="B12134" s="121">
        <v>1042</v>
      </c>
      <c r="C12134" s="121">
        <v>3</v>
      </c>
      <c r="D12134" s="734">
        <v>118.76209456006724</v>
      </c>
      <c r="E12134" s="733"/>
    </row>
    <row r="12135" spans="2:5">
      <c r="B12135" s="121">
        <v>1042</v>
      </c>
      <c r="C12135" s="121">
        <v>4</v>
      </c>
      <c r="D12135" s="734">
        <v>135.92907449133028</v>
      </c>
      <c r="E12135" s="733"/>
    </row>
    <row r="12136" spans="2:5">
      <c r="B12136" s="121">
        <v>1042</v>
      </c>
      <c r="C12136" s="121">
        <v>5</v>
      </c>
      <c r="D12136" s="734">
        <v>146.75913691671644</v>
      </c>
      <c r="E12136" s="733"/>
    </row>
    <row r="12137" spans="2:5">
      <c r="B12137" s="121">
        <v>1042</v>
      </c>
      <c r="C12137" s="121">
        <v>6</v>
      </c>
      <c r="D12137" s="734">
        <v>145.37154029290906</v>
      </c>
      <c r="E12137" s="733"/>
    </row>
    <row r="12138" spans="2:5">
      <c r="B12138" s="121">
        <v>1042</v>
      </c>
      <c r="C12138" s="121">
        <v>7</v>
      </c>
      <c r="D12138" s="734">
        <v>141.75008456340689</v>
      </c>
      <c r="E12138" s="733"/>
    </row>
    <row r="12139" spans="2:5">
      <c r="B12139" s="121">
        <v>1042</v>
      </c>
      <c r="C12139" s="121">
        <v>8</v>
      </c>
      <c r="D12139" s="734">
        <v>134.45809961220451</v>
      </c>
      <c r="E12139" s="733"/>
    </row>
    <row r="12140" spans="2:5">
      <c r="B12140" s="121">
        <v>1042</v>
      </c>
      <c r="C12140" s="121">
        <v>9</v>
      </c>
      <c r="D12140" s="734">
        <v>136.54986733890993</v>
      </c>
      <c r="E12140" s="733"/>
    </row>
    <row r="12141" spans="2:5">
      <c r="B12141" s="121">
        <v>1042</v>
      </c>
      <c r="C12141" s="121">
        <v>10</v>
      </c>
      <c r="D12141" s="734">
        <v>139.52607381666755</v>
      </c>
      <c r="E12141" s="733"/>
    </row>
    <row r="12142" spans="2:5">
      <c r="B12142" s="121">
        <v>1042</v>
      </c>
      <c r="C12142" s="121">
        <v>11</v>
      </c>
      <c r="D12142" s="734">
        <v>140.41989409931665</v>
      </c>
      <c r="E12142" s="733"/>
    </row>
    <row r="12143" spans="2:5">
      <c r="B12143" s="121">
        <v>1042</v>
      </c>
      <c r="C12143" s="121">
        <v>12</v>
      </c>
      <c r="D12143" s="734">
        <v>135.32612777743239</v>
      </c>
      <c r="E12143" s="733"/>
    </row>
    <row r="12144" spans="2:5">
      <c r="B12144" s="121">
        <v>1042</v>
      </c>
      <c r="C12144" s="121">
        <v>13</v>
      </c>
      <c r="D12144" s="734">
        <v>134.00029451695337</v>
      </c>
      <c r="E12144" s="733"/>
    </row>
    <row r="12145" spans="2:5">
      <c r="B12145" s="121">
        <v>1042</v>
      </c>
      <c r="C12145" s="121">
        <v>14</v>
      </c>
      <c r="D12145" s="734">
        <v>135.36024108258997</v>
      </c>
      <c r="E12145" s="733"/>
    </row>
    <row r="12146" spans="2:5">
      <c r="B12146" s="121">
        <v>1042</v>
      </c>
      <c r="C12146" s="121">
        <v>15</v>
      </c>
      <c r="D12146" s="734">
        <v>146.7539215609147</v>
      </c>
      <c r="E12146" s="733"/>
    </row>
    <row r="12147" spans="2:5">
      <c r="B12147" s="121">
        <v>1042</v>
      </c>
      <c r="C12147" s="121">
        <v>16</v>
      </c>
      <c r="D12147" s="734">
        <v>144.72489890858745</v>
      </c>
      <c r="E12147" s="733"/>
    </row>
    <row r="12148" spans="2:5">
      <c r="B12148" s="121">
        <v>1042</v>
      </c>
      <c r="C12148" s="121">
        <v>17</v>
      </c>
      <c r="D12148" s="734">
        <v>144.68995084626138</v>
      </c>
      <c r="E12148" s="733"/>
    </row>
    <row r="12149" spans="2:5">
      <c r="B12149" s="121">
        <v>1042</v>
      </c>
      <c r="C12149" s="121">
        <v>18</v>
      </c>
      <c r="D12149" s="734">
        <v>146.54276293615757</v>
      </c>
      <c r="E12149" s="733"/>
    </row>
    <row r="12150" spans="2:5">
      <c r="B12150" s="121">
        <v>1043</v>
      </c>
      <c r="C12150" s="121">
        <v>1</v>
      </c>
      <c r="D12150" s="734">
        <v>5</v>
      </c>
      <c r="E12150" s="733"/>
    </row>
    <row r="12151" spans="2:5">
      <c r="B12151" s="121">
        <v>1044</v>
      </c>
      <c r="C12151" s="121">
        <v>1</v>
      </c>
      <c r="D12151" s="734">
        <v>5</v>
      </c>
      <c r="E12151" s="733"/>
    </row>
    <row r="12152" spans="2:5">
      <c r="B12152" s="121">
        <v>1044</v>
      </c>
      <c r="C12152" s="121">
        <v>2</v>
      </c>
      <c r="D12152" s="734">
        <v>96.570221698155876</v>
      </c>
      <c r="E12152" s="733"/>
    </row>
    <row r="12153" spans="2:5">
      <c r="B12153" s="121">
        <v>1044</v>
      </c>
      <c r="C12153" s="121">
        <v>3</v>
      </c>
      <c r="D12153" s="734">
        <v>121.16761643036851</v>
      </c>
      <c r="E12153" s="733"/>
    </row>
    <row r="12154" spans="2:5">
      <c r="B12154" s="121">
        <v>1044</v>
      </c>
      <c r="C12154" s="121">
        <v>4</v>
      </c>
      <c r="D12154" s="734">
        <v>144.75687014055435</v>
      </c>
      <c r="E12154" s="733"/>
    </row>
    <row r="12155" spans="2:5">
      <c r="B12155" s="121">
        <v>1044</v>
      </c>
      <c r="C12155" s="121">
        <v>5</v>
      </c>
      <c r="D12155" s="734">
        <v>135.64497695459855</v>
      </c>
      <c r="E12155" s="733"/>
    </row>
    <row r="12156" spans="2:5">
      <c r="B12156" s="121">
        <v>1045</v>
      </c>
      <c r="C12156" s="121">
        <v>1</v>
      </c>
      <c r="D12156" s="734">
        <v>5</v>
      </c>
      <c r="E12156" s="733"/>
    </row>
    <row r="12157" spans="2:5">
      <c r="B12157" s="121">
        <v>1045</v>
      </c>
      <c r="C12157" s="121">
        <v>2</v>
      </c>
      <c r="D12157" s="734">
        <v>97.264942084667027</v>
      </c>
      <c r="E12157" s="733"/>
    </row>
    <row r="12158" spans="2:5">
      <c r="B12158" s="121">
        <v>1045</v>
      </c>
      <c r="C12158" s="121">
        <v>3</v>
      </c>
      <c r="D12158" s="734">
        <v>117.44885586096393</v>
      </c>
      <c r="E12158" s="733"/>
    </row>
    <row r="12159" spans="2:5">
      <c r="B12159" s="121">
        <v>1045</v>
      </c>
      <c r="C12159" s="121">
        <v>4</v>
      </c>
      <c r="D12159" s="734">
        <v>138.01187774516944</v>
      </c>
      <c r="E12159" s="733"/>
    </row>
    <row r="12160" spans="2:5">
      <c r="B12160" s="121">
        <v>1045</v>
      </c>
      <c r="C12160" s="121">
        <v>5</v>
      </c>
      <c r="D12160" s="734">
        <v>136.34463133280738</v>
      </c>
      <c r="E12160" s="733"/>
    </row>
    <row r="12161" spans="2:5">
      <c r="B12161" s="121">
        <v>1045</v>
      </c>
      <c r="C12161" s="121">
        <v>6</v>
      </c>
      <c r="D12161" s="734">
        <v>144.72044730576064</v>
      </c>
      <c r="E12161" s="733"/>
    </row>
    <row r="12162" spans="2:5">
      <c r="B12162" s="121">
        <v>1045</v>
      </c>
      <c r="C12162" s="121">
        <v>7</v>
      </c>
      <c r="D12162" s="734">
        <v>136.27116954975708</v>
      </c>
      <c r="E12162" s="733"/>
    </row>
    <row r="12163" spans="2:5">
      <c r="B12163" s="121">
        <v>1045</v>
      </c>
      <c r="C12163" s="121">
        <v>8</v>
      </c>
      <c r="D12163" s="734">
        <v>137.24559944009857</v>
      </c>
      <c r="E12163" s="733"/>
    </row>
    <row r="12164" spans="2:5">
      <c r="B12164" s="121">
        <v>1045</v>
      </c>
      <c r="C12164" s="121">
        <v>9</v>
      </c>
      <c r="D12164" s="734">
        <v>147.05011873144571</v>
      </c>
      <c r="E12164" s="733"/>
    </row>
    <row r="12165" spans="2:5">
      <c r="B12165" s="121">
        <v>1045</v>
      </c>
      <c r="C12165" s="121">
        <v>10</v>
      </c>
      <c r="D12165" s="734">
        <v>139.79536398243698</v>
      </c>
      <c r="E12165" s="733"/>
    </row>
    <row r="12166" spans="2:5">
      <c r="B12166" s="121">
        <v>1045</v>
      </c>
      <c r="C12166" s="121">
        <v>11</v>
      </c>
      <c r="D12166" s="734">
        <v>136.22940588473261</v>
      </c>
      <c r="E12166" s="733"/>
    </row>
    <row r="12167" spans="2:5">
      <c r="B12167" s="121">
        <v>1045</v>
      </c>
      <c r="C12167" s="121">
        <v>12</v>
      </c>
      <c r="D12167" s="734">
        <v>146.07867798389842</v>
      </c>
      <c r="E12167" s="733"/>
    </row>
    <row r="12168" spans="2:5">
      <c r="B12168" s="121">
        <v>1045</v>
      </c>
      <c r="C12168" s="121">
        <v>13</v>
      </c>
      <c r="D12168" s="734">
        <v>142.76783584890123</v>
      </c>
      <c r="E12168" s="733"/>
    </row>
    <row r="12169" spans="2:5">
      <c r="B12169" s="121">
        <v>1045</v>
      </c>
      <c r="C12169" s="121">
        <v>14</v>
      </c>
      <c r="D12169" s="734">
        <v>135.84333772444032</v>
      </c>
      <c r="E12169" s="733"/>
    </row>
    <row r="12170" spans="2:5">
      <c r="B12170" s="121">
        <v>1045</v>
      </c>
      <c r="C12170" s="121">
        <v>15</v>
      </c>
      <c r="D12170" s="734">
        <v>135.21667777140934</v>
      </c>
      <c r="E12170" s="733"/>
    </row>
    <row r="12171" spans="2:5">
      <c r="B12171" s="121">
        <v>1045</v>
      </c>
      <c r="C12171" s="121">
        <v>16</v>
      </c>
      <c r="D12171" s="734">
        <v>134.2271392065899</v>
      </c>
      <c r="E12171" s="733"/>
    </row>
    <row r="12172" spans="2:5">
      <c r="B12172" s="121">
        <v>1045</v>
      </c>
      <c r="C12172" s="121">
        <v>17</v>
      </c>
      <c r="D12172" s="734">
        <v>134.2124646421986</v>
      </c>
      <c r="E12172" s="733"/>
    </row>
    <row r="12173" spans="2:5">
      <c r="B12173" s="121">
        <v>1045</v>
      </c>
      <c r="C12173" s="121">
        <v>18</v>
      </c>
      <c r="D12173" s="734">
        <v>137.47361435788446</v>
      </c>
      <c r="E12173" s="733"/>
    </row>
    <row r="12174" spans="2:5">
      <c r="B12174" s="121">
        <v>1045</v>
      </c>
      <c r="C12174" s="121">
        <v>19</v>
      </c>
      <c r="D12174" s="734">
        <v>136.89313705178873</v>
      </c>
      <c r="E12174" s="733"/>
    </row>
    <row r="12175" spans="2:5">
      <c r="B12175" s="121">
        <v>1045</v>
      </c>
      <c r="C12175" s="121">
        <v>20</v>
      </c>
      <c r="D12175" s="734">
        <v>135.82681392133631</v>
      </c>
      <c r="E12175" s="733"/>
    </row>
    <row r="12176" spans="2:5">
      <c r="B12176" s="121">
        <v>1045</v>
      </c>
      <c r="C12176" s="121">
        <v>21</v>
      </c>
      <c r="D12176" s="734">
        <v>137.81283399151852</v>
      </c>
      <c r="E12176" s="733"/>
    </row>
    <row r="12177" spans="2:5">
      <c r="B12177" s="121">
        <v>1045</v>
      </c>
      <c r="C12177" s="121">
        <v>22</v>
      </c>
      <c r="D12177" s="734">
        <v>136.83161190332046</v>
      </c>
      <c r="E12177" s="733"/>
    </row>
    <row r="12178" spans="2:5">
      <c r="B12178" s="121">
        <v>1045</v>
      </c>
      <c r="C12178" s="121">
        <v>23</v>
      </c>
      <c r="D12178" s="734">
        <v>136.73828009666443</v>
      </c>
      <c r="E12178" s="733"/>
    </row>
    <row r="12179" spans="2:5">
      <c r="B12179" s="121">
        <v>1045</v>
      </c>
      <c r="C12179" s="121">
        <v>24</v>
      </c>
      <c r="D12179" s="734">
        <v>142.70679314602364</v>
      </c>
      <c r="E12179" s="733"/>
    </row>
    <row r="12180" spans="2:5">
      <c r="B12180" s="121">
        <v>1045</v>
      </c>
      <c r="C12180" s="121">
        <v>25</v>
      </c>
      <c r="D12180" s="734">
        <v>136.40369279616439</v>
      </c>
      <c r="E12180" s="733"/>
    </row>
    <row r="12181" spans="2:5">
      <c r="B12181" s="121">
        <v>1045</v>
      </c>
      <c r="C12181" s="121">
        <v>26</v>
      </c>
      <c r="D12181" s="734">
        <v>135.67579607290335</v>
      </c>
      <c r="E12181" s="733"/>
    </row>
    <row r="12182" spans="2:5">
      <c r="B12182" s="121">
        <v>1045</v>
      </c>
      <c r="C12182" s="121">
        <v>27</v>
      </c>
      <c r="D12182" s="734">
        <v>136.66275471222224</v>
      </c>
      <c r="E12182" s="733"/>
    </row>
    <row r="12183" spans="2:5">
      <c r="B12183" s="121">
        <v>1045</v>
      </c>
      <c r="C12183" s="121">
        <v>28</v>
      </c>
      <c r="D12183" s="734">
        <v>144.27114114826588</v>
      </c>
      <c r="E12183" s="733"/>
    </row>
    <row r="12184" spans="2:5">
      <c r="B12184" s="121">
        <v>1045</v>
      </c>
      <c r="C12184" s="121">
        <v>29</v>
      </c>
      <c r="D12184" s="734">
        <v>136.03769087618883</v>
      </c>
      <c r="E12184" s="733"/>
    </row>
    <row r="12185" spans="2:5">
      <c r="B12185" s="121">
        <v>1045</v>
      </c>
      <c r="C12185" s="121">
        <v>30</v>
      </c>
      <c r="D12185" s="734">
        <v>136.53593915811993</v>
      </c>
      <c r="E12185" s="733"/>
    </row>
    <row r="12186" spans="2:5">
      <c r="B12186" s="121">
        <v>1045</v>
      </c>
      <c r="C12186" s="121">
        <v>31</v>
      </c>
      <c r="D12186" s="734">
        <v>135.72037976938074</v>
      </c>
      <c r="E12186" s="733"/>
    </row>
    <row r="12187" spans="2:5">
      <c r="B12187" s="121">
        <v>1045</v>
      </c>
      <c r="C12187" s="121">
        <v>32</v>
      </c>
      <c r="D12187" s="734">
        <v>138.64574499990439</v>
      </c>
      <c r="E12187" s="733"/>
    </row>
    <row r="12188" spans="2:5">
      <c r="B12188" s="121">
        <v>1045</v>
      </c>
      <c r="C12188" s="121">
        <v>33</v>
      </c>
      <c r="D12188" s="734">
        <v>137.79259307231004</v>
      </c>
      <c r="E12188" s="733"/>
    </row>
    <row r="12189" spans="2:5">
      <c r="B12189" s="121">
        <v>1045</v>
      </c>
      <c r="C12189" s="121">
        <v>34</v>
      </c>
      <c r="D12189" s="734">
        <v>146.28130664769523</v>
      </c>
      <c r="E12189" s="733"/>
    </row>
    <row r="12190" spans="2:5">
      <c r="B12190" s="121">
        <v>1045</v>
      </c>
      <c r="C12190" s="121">
        <v>35</v>
      </c>
      <c r="D12190" s="734">
        <v>147.00369164028069</v>
      </c>
      <c r="E12190" s="733"/>
    </row>
    <row r="12191" spans="2:5">
      <c r="B12191" s="121">
        <v>1045</v>
      </c>
      <c r="C12191" s="121">
        <v>36</v>
      </c>
      <c r="D12191" s="734">
        <v>144.24199604761924</v>
      </c>
      <c r="E12191" s="733"/>
    </row>
    <row r="12192" spans="2:5">
      <c r="B12192" s="121">
        <v>1046</v>
      </c>
      <c r="C12192" s="121">
        <v>1</v>
      </c>
      <c r="D12192" s="734">
        <v>5</v>
      </c>
      <c r="E12192" s="733"/>
    </row>
    <row r="12193" spans="2:5">
      <c r="B12193" s="121">
        <v>1046</v>
      </c>
      <c r="C12193" s="121">
        <v>2</v>
      </c>
      <c r="D12193" s="734">
        <v>97.871247419367791</v>
      </c>
      <c r="E12193" s="733"/>
    </row>
    <row r="12194" spans="2:5">
      <c r="B12194" s="121">
        <v>1046</v>
      </c>
      <c r="C12194" s="121">
        <v>3</v>
      </c>
      <c r="D12194" s="734">
        <v>123.06393263071651</v>
      </c>
      <c r="E12194" s="733"/>
    </row>
    <row r="12195" spans="2:5">
      <c r="B12195" s="121">
        <v>1046</v>
      </c>
      <c r="C12195" s="121">
        <v>4</v>
      </c>
      <c r="D12195" s="734">
        <v>145.60322958346975</v>
      </c>
      <c r="E12195" s="733"/>
    </row>
    <row r="12196" spans="2:5">
      <c r="B12196" s="121">
        <v>1046</v>
      </c>
      <c r="C12196" s="121">
        <v>5</v>
      </c>
      <c r="D12196" s="734">
        <v>138.39319823845406</v>
      </c>
      <c r="E12196" s="733"/>
    </row>
    <row r="12197" spans="2:5">
      <c r="B12197" s="121">
        <v>1046</v>
      </c>
      <c r="C12197" s="121">
        <v>6</v>
      </c>
      <c r="D12197" s="734">
        <v>143.33844021179678</v>
      </c>
      <c r="E12197" s="733"/>
    </row>
    <row r="12198" spans="2:5">
      <c r="B12198" s="121">
        <v>1046</v>
      </c>
      <c r="C12198" s="121">
        <v>7</v>
      </c>
      <c r="D12198" s="734">
        <v>143.70601873983767</v>
      </c>
      <c r="E12198" s="733"/>
    </row>
    <row r="12199" spans="2:5">
      <c r="B12199" s="121">
        <v>1046</v>
      </c>
      <c r="C12199" s="121">
        <v>8</v>
      </c>
      <c r="D12199" s="734">
        <v>136.66306944727373</v>
      </c>
      <c r="E12199" s="733"/>
    </row>
    <row r="12200" spans="2:5">
      <c r="B12200" s="121">
        <v>1046</v>
      </c>
      <c r="C12200" s="121">
        <v>9</v>
      </c>
      <c r="D12200" s="734">
        <v>144.09094355492161</v>
      </c>
      <c r="E12200" s="733"/>
    </row>
    <row r="12201" spans="2:5">
      <c r="B12201" s="121">
        <v>1046</v>
      </c>
      <c r="C12201" s="121">
        <v>10</v>
      </c>
      <c r="D12201" s="734">
        <v>140.44631448778861</v>
      </c>
      <c r="E12201" s="733"/>
    </row>
    <row r="12202" spans="2:5">
      <c r="B12202" s="121">
        <v>1046</v>
      </c>
      <c r="C12202" s="121">
        <v>11</v>
      </c>
      <c r="D12202" s="734">
        <v>137.69496495617074</v>
      </c>
      <c r="E12202" s="733"/>
    </row>
    <row r="12203" spans="2:5">
      <c r="B12203" s="121">
        <v>1046</v>
      </c>
      <c r="C12203" s="121">
        <v>12</v>
      </c>
      <c r="D12203" s="734">
        <v>138.42033022107742</v>
      </c>
      <c r="E12203" s="733"/>
    </row>
    <row r="12204" spans="2:5">
      <c r="B12204" s="121">
        <v>1047</v>
      </c>
      <c r="C12204" s="121">
        <v>1</v>
      </c>
      <c r="D12204" s="734">
        <v>5</v>
      </c>
      <c r="E12204" s="733"/>
    </row>
    <row r="12205" spans="2:5">
      <c r="B12205" s="121">
        <v>1047</v>
      </c>
      <c r="C12205" s="121">
        <v>2</v>
      </c>
      <c r="D12205" s="734">
        <v>96.349444519944527</v>
      </c>
      <c r="E12205" s="733"/>
    </row>
    <row r="12206" spans="2:5">
      <c r="B12206" s="121">
        <v>1047</v>
      </c>
      <c r="C12206" s="121">
        <v>3</v>
      </c>
      <c r="D12206" s="734">
        <v>121.92470754998325</v>
      </c>
      <c r="E12206" s="733"/>
    </row>
    <row r="12207" spans="2:5">
      <c r="B12207" s="121">
        <v>1047</v>
      </c>
      <c r="C12207" s="121">
        <v>4</v>
      </c>
      <c r="D12207" s="734">
        <v>138.35513521285753</v>
      </c>
      <c r="E12207" s="733"/>
    </row>
    <row r="12208" spans="2:5">
      <c r="B12208" s="121">
        <v>1047</v>
      </c>
      <c r="C12208" s="121">
        <v>5</v>
      </c>
      <c r="D12208" s="734">
        <v>136.7720501279899</v>
      </c>
      <c r="E12208" s="733"/>
    </row>
    <row r="12209" spans="2:5">
      <c r="B12209" s="121">
        <v>1047</v>
      </c>
      <c r="C12209" s="121">
        <v>6</v>
      </c>
      <c r="D12209" s="734">
        <v>140.48283480983025</v>
      </c>
      <c r="E12209" s="733"/>
    </row>
    <row r="12210" spans="2:5">
      <c r="B12210" s="121">
        <v>1047</v>
      </c>
      <c r="C12210" s="121">
        <v>7</v>
      </c>
      <c r="D12210" s="734">
        <v>138.35733231148467</v>
      </c>
      <c r="E12210" s="733"/>
    </row>
    <row r="12211" spans="2:5">
      <c r="B12211" s="121">
        <v>1047</v>
      </c>
      <c r="C12211" s="121">
        <v>8</v>
      </c>
      <c r="D12211" s="734">
        <v>143.77562522086043</v>
      </c>
      <c r="E12211" s="733"/>
    </row>
    <row r="12212" spans="2:5">
      <c r="B12212" s="121">
        <v>1047</v>
      </c>
      <c r="C12212" s="121">
        <v>9</v>
      </c>
      <c r="D12212" s="734">
        <v>140.87672077627147</v>
      </c>
      <c r="E12212" s="733"/>
    </row>
    <row r="12213" spans="2:5">
      <c r="B12213" s="121">
        <v>1047</v>
      </c>
      <c r="C12213" s="121">
        <v>10</v>
      </c>
      <c r="D12213" s="734">
        <v>141.6620652166057</v>
      </c>
      <c r="E12213" s="733"/>
    </row>
    <row r="12214" spans="2:5">
      <c r="B12214" s="121">
        <v>1047</v>
      </c>
      <c r="C12214" s="121">
        <v>11</v>
      </c>
      <c r="D12214" s="734">
        <v>139.74199098289029</v>
      </c>
      <c r="E12214" s="733"/>
    </row>
    <row r="12215" spans="2:5">
      <c r="B12215" s="121">
        <v>1047</v>
      </c>
      <c r="C12215" s="121">
        <v>12</v>
      </c>
      <c r="D12215" s="734">
        <v>135.68757890679436</v>
      </c>
      <c r="E12215" s="733"/>
    </row>
    <row r="12216" spans="2:5">
      <c r="B12216" s="121">
        <v>1047</v>
      </c>
      <c r="C12216" s="121">
        <v>13</v>
      </c>
      <c r="D12216" s="734">
        <v>133.95499916834893</v>
      </c>
      <c r="E12216" s="733"/>
    </row>
    <row r="12217" spans="2:5">
      <c r="B12217" s="121">
        <v>1048</v>
      </c>
      <c r="C12217" s="121">
        <v>1</v>
      </c>
      <c r="D12217" s="734">
        <v>5</v>
      </c>
      <c r="E12217" s="733"/>
    </row>
    <row r="12218" spans="2:5">
      <c r="B12218" s="121">
        <v>1049</v>
      </c>
      <c r="C12218" s="121">
        <v>1</v>
      </c>
      <c r="D12218" s="734">
        <v>5</v>
      </c>
      <c r="E12218" s="733"/>
    </row>
    <row r="12219" spans="2:5">
      <c r="B12219" s="121">
        <v>1049</v>
      </c>
      <c r="C12219" s="121">
        <v>2</v>
      </c>
      <c r="D12219" s="734">
        <v>97.598064891848423</v>
      </c>
      <c r="E12219" s="733"/>
    </row>
    <row r="12220" spans="2:5">
      <c r="B12220" s="121">
        <v>1049</v>
      </c>
      <c r="C12220" s="121">
        <v>3</v>
      </c>
      <c r="D12220" s="734">
        <v>123.10608291843228</v>
      </c>
      <c r="E12220" s="733"/>
    </row>
    <row r="12221" spans="2:5">
      <c r="B12221" s="121">
        <v>1049</v>
      </c>
      <c r="C12221" s="121">
        <v>4</v>
      </c>
      <c r="D12221" s="734">
        <v>136.44016174849656</v>
      </c>
      <c r="E12221" s="733"/>
    </row>
    <row r="12222" spans="2:5">
      <c r="B12222" s="121">
        <v>1050</v>
      </c>
      <c r="C12222" s="121">
        <v>1</v>
      </c>
      <c r="D12222" s="734">
        <v>5</v>
      </c>
      <c r="E12222" s="733"/>
    </row>
    <row r="12223" spans="2:5">
      <c r="B12223" s="121">
        <v>1050</v>
      </c>
      <c r="C12223" s="121">
        <v>2</v>
      </c>
      <c r="D12223" s="734">
        <v>103.25560868635635</v>
      </c>
      <c r="E12223" s="733"/>
    </row>
    <row r="12224" spans="2:5">
      <c r="B12224" s="121">
        <v>1050</v>
      </c>
      <c r="C12224" s="121">
        <v>3</v>
      </c>
      <c r="D12224" s="734">
        <v>120.80647726907135</v>
      </c>
      <c r="E12224" s="733"/>
    </row>
    <row r="12225" spans="2:5">
      <c r="B12225" s="121">
        <v>1050</v>
      </c>
      <c r="C12225" s="121">
        <v>4</v>
      </c>
      <c r="D12225" s="734">
        <v>144.74615269089207</v>
      </c>
      <c r="E12225" s="733"/>
    </row>
    <row r="12226" spans="2:5">
      <c r="B12226" s="121">
        <v>1050</v>
      </c>
      <c r="C12226" s="121">
        <v>5</v>
      </c>
      <c r="D12226" s="734">
        <v>144.02859942891513</v>
      </c>
      <c r="E12226" s="733"/>
    </row>
    <row r="12227" spans="2:5">
      <c r="B12227" s="121">
        <v>1050</v>
      </c>
      <c r="C12227" s="121">
        <v>6</v>
      </c>
      <c r="D12227" s="734">
        <v>140.6729198882478</v>
      </c>
      <c r="E12227" s="733"/>
    </row>
    <row r="12228" spans="2:5">
      <c r="B12228" s="121">
        <v>1051</v>
      </c>
      <c r="C12228" s="121">
        <v>1</v>
      </c>
      <c r="D12228" s="734">
        <v>5</v>
      </c>
      <c r="E12228" s="733"/>
    </row>
    <row r="12229" spans="2:5">
      <c r="B12229" s="121">
        <v>1051</v>
      </c>
      <c r="C12229" s="121">
        <v>2</v>
      </c>
      <c r="D12229" s="734">
        <v>100.59303388936958</v>
      </c>
      <c r="E12229" s="733"/>
    </row>
    <row r="12230" spans="2:5">
      <c r="B12230" s="121">
        <v>1051</v>
      </c>
      <c r="C12230" s="121">
        <v>3</v>
      </c>
      <c r="D12230" s="734">
        <v>114.79350341085559</v>
      </c>
      <c r="E12230" s="733"/>
    </row>
    <row r="12231" spans="2:5">
      <c r="B12231" s="121">
        <v>1051</v>
      </c>
      <c r="C12231" s="121">
        <v>4</v>
      </c>
      <c r="D12231" s="734">
        <v>141.60785646841379</v>
      </c>
      <c r="E12231" s="733"/>
    </row>
    <row r="12232" spans="2:5">
      <c r="B12232" s="121">
        <v>1051</v>
      </c>
      <c r="C12232" s="121">
        <v>5</v>
      </c>
      <c r="D12232" s="734">
        <v>147.0878968286282</v>
      </c>
      <c r="E12232" s="733"/>
    </row>
    <row r="12233" spans="2:5">
      <c r="B12233" s="121">
        <v>1051</v>
      </c>
      <c r="C12233" s="121">
        <v>6</v>
      </c>
      <c r="D12233" s="734">
        <v>144.60124785942782</v>
      </c>
      <c r="E12233" s="733"/>
    </row>
    <row r="12234" spans="2:5">
      <c r="B12234" s="121">
        <v>1051</v>
      </c>
      <c r="C12234" s="121">
        <v>7</v>
      </c>
      <c r="D12234" s="734">
        <v>139.95536272697575</v>
      </c>
      <c r="E12234" s="733"/>
    </row>
    <row r="12235" spans="2:5">
      <c r="B12235" s="121">
        <v>1051</v>
      </c>
      <c r="C12235" s="121">
        <v>8</v>
      </c>
      <c r="D12235" s="734">
        <v>136.75884257787985</v>
      </c>
      <c r="E12235" s="733"/>
    </row>
    <row r="12236" spans="2:5">
      <c r="B12236" s="121">
        <v>1051</v>
      </c>
      <c r="C12236" s="121">
        <v>9</v>
      </c>
      <c r="D12236" s="734">
        <v>141.83455523251257</v>
      </c>
      <c r="E12236" s="733"/>
    </row>
    <row r="12237" spans="2:5">
      <c r="B12237" s="121">
        <v>1051</v>
      </c>
      <c r="C12237" s="121">
        <v>10</v>
      </c>
      <c r="D12237" s="734">
        <v>144.91348486193945</v>
      </c>
      <c r="E12237" s="733"/>
    </row>
    <row r="12238" spans="2:5">
      <c r="B12238" s="121">
        <v>1051</v>
      </c>
      <c r="C12238" s="121">
        <v>11</v>
      </c>
      <c r="D12238" s="734">
        <v>143.48503062819913</v>
      </c>
      <c r="E12238" s="733"/>
    </row>
    <row r="12239" spans="2:5">
      <c r="B12239" s="121">
        <v>1051</v>
      </c>
      <c r="C12239" s="121">
        <v>12</v>
      </c>
      <c r="D12239" s="734">
        <v>145.55847757060855</v>
      </c>
      <c r="E12239" s="733"/>
    </row>
    <row r="12240" spans="2:5">
      <c r="B12240" s="121">
        <v>1051</v>
      </c>
      <c r="C12240" s="121">
        <v>13</v>
      </c>
      <c r="D12240" s="734">
        <v>146.39751954796643</v>
      </c>
      <c r="E12240" s="733"/>
    </row>
    <row r="12241" spans="2:5">
      <c r="B12241" s="121">
        <v>1051</v>
      </c>
      <c r="C12241" s="121">
        <v>14</v>
      </c>
      <c r="D12241" s="734">
        <v>139.37090820705464</v>
      </c>
      <c r="E12241" s="733"/>
    </row>
    <row r="12242" spans="2:5">
      <c r="B12242" s="121">
        <v>1052</v>
      </c>
      <c r="C12242" s="121">
        <v>1</v>
      </c>
      <c r="D12242" s="734">
        <v>5</v>
      </c>
      <c r="E12242" s="733"/>
    </row>
    <row r="12243" spans="2:5">
      <c r="B12243" s="121">
        <v>1052</v>
      </c>
      <c r="C12243" s="121">
        <v>2</v>
      </c>
      <c r="D12243" s="734">
        <v>95.999828897283223</v>
      </c>
      <c r="E12243" s="733"/>
    </row>
    <row r="12244" spans="2:5">
      <c r="B12244" s="121">
        <v>1052</v>
      </c>
      <c r="C12244" s="121">
        <v>3</v>
      </c>
      <c r="D12244" s="734">
        <v>123.52608440905273</v>
      </c>
      <c r="E12244" s="733"/>
    </row>
    <row r="12245" spans="2:5">
      <c r="B12245" s="121">
        <v>1052</v>
      </c>
      <c r="C12245" s="121">
        <v>4</v>
      </c>
      <c r="D12245" s="734">
        <v>146.0765361893115</v>
      </c>
      <c r="E12245" s="733"/>
    </row>
    <row r="12246" spans="2:5">
      <c r="B12246" s="121">
        <v>1052</v>
      </c>
      <c r="C12246" s="121">
        <v>5</v>
      </c>
      <c r="D12246" s="734">
        <v>140.19453631156878</v>
      </c>
      <c r="E12246" s="733"/>
    </row>
    <row r="12247" spans="2:5">
      <c r="B12247" s="121">
        <v>1052</v>
      </c>
      <c r="C12247" s="121">
        <v>6</v>
      </c>
      <c r="D12247" s="734">
        <v>136.66915504261021</v>
      </c>
      <c r="E12247" s="733"/>
    </row>
    <row r="12248" spans="2:5">
      <c r="B12248" s="121">
        <v>1052</v>
      </c>
      <c r="C12248" s="121">
        <v>7</v>
      </c>
      <c r="D12248" s="734">
        <v>140.68217563412207</v>
      </c>
      <c r="E12248" s="733"/>
    </row>
    <row r="12249" spans="2:5">
      <c r="B12249" s="121">
        <v>1052</v>
      </c>
      <c r="C12249" s="121">
        <v>8</v>
      </c>
      <c r="D12249" s="734">
        <v>136.97337134677636</v>
      </c>
      <c r="E12249" s="733"/>
    </row>
    <row r="12250" spans="2:5">
      <c r="B12250" s="121">
        <v>1052</v>
      </c>
      <c r="C12250" s="121">
        <v>9</v>
      </c>
      <c r="D12250" s="734">
        <v>136.49810635411458</v>
      </c>
      <c r="E12250" s="733"/>
    </row>
    <row r="12251" spans="2:5">
      <c r="B12251" s="121">
        <v>1052</v>
      </c>
      <c r="C12251" s="121">
        <v>10</v>
      </c>
      <c r="D12251" s="734">
        <v>134.55506522608871</v>
      </c>
      <c r="E12251" s="733"/>
    </row>
    <row r="12252" spans="2:5">
      <c r="B12252" s="121">
        <v>1052</v>
      </c>
      <c r="C12252" s="121">
        <v>11</v>
      </c>
      <c r="D12252" s="734">
        <v>137.37404354923217</v>
      </c>
      <c r="E12252" s="733"/>
    </row>
    <row r="12253" spans="2:5">
      <c r="B12253" s="121">
        <v>1052</v>
      </c>
      <c r="C12253" s="121">
        <v>12</v>
      </c>
      <c r="D12253" s="734">
        <v>139.03720208437815</v>
      </c>
      <c r="E12253" s="733"/>
    </row>
    <row r="12254" spans="2:5">
      <c r="B12254" s="121">
        <v>1053</v>
      </c>
      <c r="C12254" s="121">
        <v>1</v>
      </c>
      <c r="D12254" s="734">
        <v>5</v>
      </c>
      <c r="E12254" s="733"/>
    </row>
    <row r="12255" spans="2:5">
      <c r="B12255" s="121">
        <v>1054</v>
      </c>
      <c r="C12255" s="121">
        <v>1</v>
      </c>
      <c r="D12255" s="734">
        <v>5</v>
      </c>
      <c r="E12255" s="733"/>
    </row>
    <row r="12256" spans="2:5">
      <c r="B12256" s="121">
        <v>1055</v>
      </c>
      <c r="C12256" s="121">
        <v>1</v>
      </c>
      <c r="D12256" s="734">
        <v>5</v>
      </c>
      <c r="E12256" s="733"/>
    </row>
    <row r="12257" spans="2:5">
      <c r="B12257" s="121">
        <v>1056</v>
      </c>
      <c r="C12257" s="121">
        <v>1</v>
      </c>
      <c r="D12257" s="734">
        <v>5</v>
      </c>
      <c r="E12257" s="733"/>
    </row>
    <row r="12258" spans="2:5">
      <c r="B12258" s="121">
        <v>1057</v>
      </c>
      <c r="C12258" s="121">
        <v>1</v>
      </c>
      <c r="D12258" s="734">
        <v>5</v>
      </c>
      <c r="E12258" s="733"/>
    </row>
    <row r="12259" spans="2:5">
      <c r="B12259" s="121">
        <v>1058</v>
      </c>
      <c r="C12259" s="121">
        <v>1</v>
      </c>
      <c r="D12259" s="734">
        <v>5</v>
      </c>
      <c r="E12259" s="733"/>
    </row>
    <row r="12260" spans="2:5">
      <c r="B12260" s="121">
        <v>1058</v>
      </c>
      <c r="C12260" s="121">
        <v>2</v>
      </c>
      <c r="D12260" s="734">
        <v>103.27959853999285</v>
      </c>
      <c r="E12260" s="733"/>
    </row>
    <row r="12261" spans="2:5">
      <c r="B12261" s="121">
        <v>1058</v>
      </c>
      <c r="C12261" s="121">
        <v>3</v>
      </c>
      <c r="D12261" s="734">
        <v>115.09663934536826</v>
      </c>
      <c r="E12261" s="733"/>
    </row>
    <row r="12262" spans="2:5">
      <c r="B12262" s="121">
        <v>1058</v>
      </c>
      <c r="C12262" s="121">
        <v>4</v>
      </c>
      <c r="D12262" s="734">
        <v>147.05045629168475</v>
      </c>
      <c r="E12262" s="733"/>
    </row>
    <row r="12263" spans="2:5">
      <c r="B12263" s="121">
        <v>1058</v>
      </c>
      <c r="C12263" s="121">
        <v>5</v>
      </c>
      <c r="D12263" s="734">
        <v>145.83454031153374</v>
      </c>
      <c r="E12263" s="733"/>
    </row>
    <row r="12264" spans="2:5">
      <c r="B12264" s="121">
        <v>1058</v>
      </c>
      <c r="C12264" s="121">
        <v>6</v>
      </c>
      <c r="D12264" s="734">
        <v>138.02567242544507</v>
      </c>
      <c r="E12264" s="733"/>
    </row>
    <row r="12265" spans="2:5">
      <c r="B12265" s="121">
        <v>1058</v>
      </c>
      <c r="C12265" s="121">
        <v>7</v>
      </c>
      <c r="D12265" s="734">
        <v>138.01340418707591</v>
      </c>
      <c r="E12265" s="733"/>
    </row>
    <row r="12266" spans="2:5">
      <c r="B12266" s="121">
        <v>1058</v>
      </c>
      <c r="C12266" s="121">
        <v>8</v>
      </c>
      <c r="D12266" s="734">
        <v>140.27222730373597</v>
      </c>
      <c r="E12266" s="733"/>
    </row>
    <row r="12267" spans="2:5">
      <c r="B12267" s="121">
        <v>1058</v>
      </c>
      <c r="C12267" s="121">
        <v>9</v>
      </c>
      <c r="D12267" s="734">
        <v>146.79432171777722</v>
      </c>
      <c r="E12267" s="733"/>
    </row>
    <row r="12268" spans="2:5">
      <c r="B12268" s="121">
        <v>1058</v>
      </c>
      <c r="C12268" s="121">
        <v>10</v>
      </c>
      <c r="D12268" s="734">
        <v>134.56345949622485</v>
      </c>
      <c r="E12268" s="733"/>
    </row>
    <row r="12269" spans="2:5">
      <c r="B12269" s="121">
        <v>1058</v>
      </c>
      <c r="C12269" s="121">
        <v>11</v>
      </c>
      <c r="D12269" s="734">
        <v>137.97906239755463</v>
      </c>
      <c r="E12269" s="733"/>
    </row>
    <row r="12270" spans="2:5">
      <c r="B12270" s="121">
        <v>1058</v>
      </c>
      <c r="C12270" s="121">
        <v>12</v>
      </c>
      <c r="D12270" s="734">
        <v>143.61336173780251</v>
      </c>
      <c r="E12270" s="733"/>
    </row>
    <row r="12271" spans="2:5">
      <c r="B12271" s="121">
        <v>1058</v>
      </c>
      <c r="C12271" s="121">
        <v>13</v>
      </c>
      <c r="D12271" s="734">
        <v>139.34444265262724</v>
      </c>
      <c r="E12271" s="733"/>
    </row>
    <row r="12272" spans="2:5">
      <c r="B12272" s="121">
        <v>1058</v>
      </c>
      <c r="C12272" s="121">
        <v>14</v>
      </c>
      <c r="D12272" s="734">
        <v>139.88888780800005</v>
      </c>
      <c r="E12272" s="733"/>
    </row>
    <row r="12273" spans="2:5">
      <c r="B12273" s="121">
        <v>1058</v>
      </c>
      <c r="C12273" s="121">
        <v>15</v>
      </c>
      <c r="D12273" s="734">
        <v>140.39691750704947</v>
      </c>
      <c r="E12273" s="733"/>
    </row>
    <row r="12274" spans="2:5">
      <c r="B12274" s="121">
        <v>1058</v>
      </c>
      <c r="C12274" s="121">
        <v>16</v>
      </c>
      <c r="D12274" s="734">
        <v>133.94281718039076</v>
      </c>
      <c r="E12274" s="733"/>
    </row>
    <row r="12275" spans="2:5">
      <c r="B12275" s="121">
        <v>1058</v>
      </c>
      <c r="C12275" s="121">
        <v>17</v>
      </c>
      <c r="D12275" s="734">
        <v>141.68738007016728</v>
      </c>
      <c r="E12275" s="733"/>
    </row>
    <row r="12276" spans="2:5">
      <c r="B12276" s="121">
        <v>1058</v>
      </c>
      <c r="C12276" s="121">
        <v>18</v>
      </c>
      <c r="D12276" s="734">
        <v>135.00251153141855</v>
      </c>
      <c r="E12276" s="733"/>
    </row>
    <row r="12277" spans="2:5">
      <c r="B12277" s="121">
        <v>1058</v>
      </c>
      <c r="C12277" s="121">
        <v>19</v>
      </c>
      <c r="D12277" s="734">
        <v>137.83299789994683</v>
      </c>
      <c r="E12277" s="733"/>
    </row>
    <row r="12278" spans="2:5">
      <c r="B12278" s="121">
        <v>1058</v>
      </c>
      <c r="C12278" s="121">
        <v>20</v>
      </c>
      <c r="D12278" s="734">
        <v>141.06075613033497</v>
      </c>
      <c r="E12278" s="733"/>
    </row>
    <row r="12279" spans="2:5">
      <c r="B12279" s="121">
        <v>1058</v>
      </c>
      <c r="C12279" s="121">
        <v>21</v>
      </c>
      <c r="D12279" s="734">
        <v>140.4857870354258</v>
      </c>
      <c r="E12279" s="733"/>
    </row>
    <row r="12280" spans="2:5">
      <c r="B12280" s="121">
        <v>1058</v>
      </c>
      <c r="C12280" s="121">
        <v>22</v>
      </c>
      <c r="D12280" s="734">
        <v>144.32274301701347</v>
      </c>
      <c r="E12280" s="733"/>
    </row>
    <row r="12281" spans="2:5">
      <c r="B12281" s="121">
        <v>1058</v>
      </c>
      <c r="C12281" s="121">
        <v>23</v>
      </c>
      <c r="D12281" s="734">
        <v>140.35351204014967</v>
      </c>
      <c r="E12281" s="733"/>
    </row>
    <row r="12282" spans="2:5">
      <c r="B12282" s="121">
        <v>1058</v>
      </c>
      <c r="C12282" s="121">
        <v>24</v>
      </c>
      <c r="D12282" s="734">
        <v>143.64720562110881</v>
      </c>
      <c r="E12282" s="733"/>
    </row>
    <row r="12283" spans="2:5">
      <c r="B12283" s="121">
        <v>1058</v>
      </c>
      <c r="C12283" s="121">
        <v>25</v>
      </c>
      <c r="D12283" s="734">
        <v>144.83158194801314</v>
      </c>
      <c r="E12283" s="733"/>
    </row>
    <row r="12284" spans="2:5">
      <c r="B12284" s="121">
        <v>1058</v>
      </c>
      <c r="C12284" s="121">
        <v>26</v>
      </c>
      <c r="D12284" s="734">
        <v>141.83196757753444</v>
      </c>
      <c r="E12284" s="733"/>
    </row>
    <row r="12285" spans="2:5">
      <c r="B12285" s="121">
        <v>1058</v>
      </c>
      <c r="C12285" s="121">
        <v>27</v>
      </c>
      <c r="D12285" s="734">
        <v>134.73305320461006</v>
      </c>
      <c r="E12285" s="733"/>
    </row>
    <row r="12286" spans="2:5">
      <c r="B12286" s="121">
        <v>1058</v>
      </c>
      <c r="C12286" s="121">
        <v>28</v>
      </c>
      <c r="D12286" s="734">
        <v>143.91365961054851</v>
      </c>
      <c r="E12286" s="733"/>
    </row>
    <row r="12287" spans="2:5">
      <c r="B12287" s="121">
        <v>1058</v>
      </c>
      <c r="C12287" s="121">
        <v>29</v>
      </c>
      <c r="D12287" s="734">
        <v>138.96853683079848</v>
      </c>
      <c r="E12287" s="733"/>
    </row>
    <row r="12288" spans="2:5">
      <c r="B12288" s="121">
        <v>1058</v>
      </c>
      <c r="C12288" s="121">
        <v>30</v>
      </c>
      <c r="D12288" s="734">
        <v>141.07647386573595</v>
      </c>
      <c r="E12288" s="733"/>
    </row>
    <row r="12289" spans="2:5">
      <c r="B12289" s="121">
        <v>1058</v>
      </c>
      <c r="C12289" s="121">
        <v>31</v>
      </c>
      <c r="D12289" s="734">
        <v>137.70242732914213</v>
      </c>
      <c r="E12289" s="733"/>
    </row>
    <row r="12290" spans="2:5">
      <c r="B12290" s="121">
        <v>1058</v>
      </c>
      <c r="C12290" s="121">
        <v>32</v>
      </c>
      <c r="D12290" s="734">
        <v>135.28932963302714</v>
      </c>
      <c r="E12290" s="733"/>
    </row>
    <row r="12291" spans="2:5">
      <c r="B12291" s="121">
        <v>1058</v>
      </c>
      <c r="C12291" s="121">
        <v>33</v>
      </c>
      <c r="D12291" s="734">
        <v>146.32145207536306</v>
      </c>
      <c r="E12291" s="733"/>
    </row>
    <row r="12292" spans="2:5">
      <c r="B12292" s="121">
        <v>1058</v>
      </c>
      <c r="C12292" s="121">
        <v>34</v>
      </c>
      <c r="D12292" s="734">
        <v>144.33306233172249</v>
      </c>
      <c r="E12292" s="733"/>
    </row>
    <row r="12293" spans="2:5">
      <c r="B12293" s="121">
        <v>1059</v>
      </c>
      <c r="C12293" s="121">
        <v>1</v>
      </c>
      <c r="D12293" s="734">
        <v>5</v>
      </c>
      <c r="E12293" s="733"/>
    </row>
    <row r="12294" spans="2:5">
      <c r="B12294" s="121">
        <v>1060</v>
      </c>
      <c r="C12294" s="121">
        <v>1</v>
      </c>
      <c r="D12294" s="734">
        <v>5</v>
      </c>
      <c r="E12294" s="733"/>
    </row>
    <row r="12295" spans="2:5">
      <c r="B12295" s="121">
        <v>1060</v>
      </c>
      <c r="C12295" s="121">
        <v>2</v>
      </c>
      <c r="D12295" s="734">
        <v>100.00032080049893</v>
      </c>
      <c r="E12295" s="733"/>
    </row>
    <row r="12296" spans="2:5">
      <c r="B12296" s="121">
        <v>1060</v>
      </c>
      <c r="C12296" s="121">
        <v>3</v>
      </c>
      <c r="D12296" s="734">
        <v>116.93165066482668</v>
      </c>
      <c r="E12296" s="733"/>
    </row>
    <row r="12297" spans="2:5">
      <c r="B12297" s="121">
        <v>1060</v>
      </c>
      <c r="C12297" s="121">
        <v>4</v>
      </c>
      <c r="D12297" s="734">
        <v>136.75865823899562</v>
      </c>
      <c r="E12297" s="733"/>
    </row>
    <row r="12298" spans="2:5">
      <c r="B12298" s="121">
        <v>1060</v>
      </c>
      <c r="C12298" s="121">
        <v>5</v>
      </c>
      <c r="D12298" s="734">
        <v>140.23955072867003</v>
      </c>
      <c r="E12298" s="733"/>
    </row>
    <row r="12299" spans="2:5">
      <c r="B12299" s="121">
        <v>1060</v>
      </c>
      <c r="C12299" s="121">
        <v>6</v>
      </c>
      <c r="D12299" s="734">
        <v>139.81400010467112</v>
      </c>
      <c r="E12299" s="733"/>
    </row>
    <row r="12300" spans="2:5">
      <c r="B12300" s="121">
        <v>1060</v>
      </c>
      <c r="C12300" s="121">
        <v>7</v>
      </c>
      <c r="D12300" s="734">
        <v>135.73154884611463</v>
      </c>
      <c r="E12300" s="733"/>
    </row>
    <row r="12301" spans="2:5">
      <c r="B12301" s="121">
        <v>1060</v>
      </c>
      <c r="C12301" s="121">
        <v>8</v>
      </c>
      <c r="D12301" s="734">
        <v>134.16534921680795</v>
      </c>
      <c r="E12301" s="733"/>
    </row>
    <row r="12302" spans="2:5">
      <c r="B12302" s="121">
        <v>1060</v>
      </c>
      <c r="C12302" s="121">
        <v>9</v>
      </c>
      <c r="D12302" s="734">
        <v>137.95989043374271</v>
      </c>
      <c r="E12302" s="733"/>
    </row>
    <row r="12303" spans="2:5">
      <c r="B12303" s="121">
        <v>1060</v>
      </c>
      <c r="C12303" s="121">
        <v>10</v>
      </c>
      <c r="D12303" s="734">
        <v>145.74138666323279</v>
      </c>
      <c r="E12303" s="733"/>
    </row>
    <row r="12304" spans="2:5">
      <c r="B12304" s="121">
        <v>1060</v>
      </c>
      <c r="C12304" s="121">
        <v>11</v>
      </c>
      <c r="D12304" s="734">
        <v>143.84944165949986</v>
      </c>
      <c r="E12304" s="733"/>
    </row>
    <row r="12305" spans="2:5">
      <c r="B12305" s="121">
        <v>1060</v>
      </c>
      <c r="C12305" s="121">
        <v>12</v>
      </c>
      <c r="D12305" s="734">
        <v>140.55384849269925</v>
      </c>
      <c r="E12305" s="733"/>
    </row>
    <row r="12306" spans="2:5">
      <c r="B12306" s="121">
        <v>1060</v>
      </c>
      <c r="C12306" s="121">
        <v>13</v>
      </c>
      <c r="D12306" s="734">
        <v>146.70648755576354</v>
      </c>
      <c r="E12306" s="733"/>
    </row>
    <row r="12307" spans="2:5">
      <c r="B12307" s="121">
        <v>1060</v>
      </c>
      <c r="C12307" s="121">
        <v>14</v>
      </c>
      <c r="D12307" s="734">
        <v>139.47364605191297</v>
      </c>
      <c r="E12307" s="733"/>
    </row>
    <row r="12308" spans="2:5">
      <c r="B12308" s="121">
        <v>1060</v>
      </c>
      <c r="C12308" s="121">
        <v>15</v>
      </c>
      <c r="D12308" s="734">
        <v>144.76302426512822</v>
      </c>
      <c r="E12308" s="733"/>
    </row>
    <row r="12309" spans="2:5">
      <c r="B12309" s="121">
        <v>1060</v>
      </c>
      <c r="C12309" s="121">
        <v>16</v>
      </c>
      <c r="D12309" s="734">
        <v>140.82214411100313</v>
      </c>
      <c r="E12309" s="733"/>
    </row>
    <row r="12310" spans="2:5">
      <c r="B12310" s="121">
        <v>1060</v>
      </c>
      <c r="C12310" s="121">
        <v>17</v>
      </c>
      <c r="D12310" s="734">
        <v>146.22792616328999</v>
      </c>
      <c r="E12310" s="733"/>
    </row>
    <row r="12311" spans="2:5">
      <c r="B12311" s="121">
        <v>1060</v>
      </c>
      <c r="C12311" s="121">
        <v>18</v>
      </c>
      <c r="D12311" s="734">
        <v>142.95116883805869</v>
      </c>
      <c r="E12311" s="733"/>
    </row>
    <row r="12312" spans="2:5">
      <c r="B12312" s="121">
        <v>1060</v>
      </c>
      <c r="C12312" s="121">
        <v>19</v>
      </c>
      <c r="D12312" s="734">
        <v>139.51734169616122</v>
      </c>
      <c r="E12312" s="733"/>
    </row>
    <row r="12313" spans="2:5">
      <c r="B12313" s="121">
        <v>1060</v>
      </c>
      <c r="C12313" s="121">
        <v>20</v>
      </c>
      <c r="D12313" s="734">
        <v>142.60358115805562</v>
      </c>
      <c r="E12313" s="733"/>
    </row>
    <row r="12314" spans="2:5">
      <c r="B12314" s="121">
        <v>1061</v>
      </c>
      <c r="C12314" s="121">
        <v>1</v>
      </c>
      <c r="D12314" s="734">
        <v>5</v>
      </c>
      <c r="E12314" s="733"/>
    </row>
    <row r="12315" spans="2:5">
      <c r="B12315" s="121">
        <v>1061</v>
      </c>
      <c r="C12315" s="121">
        <v>2</v>
      </c>
      <c r="D12315" s="734">
        <v>97.625875652695498</v>
      </c>
      <c r="E12315" s="733"/>
    </row>
    <row r="12316" spans="2:5">
      <c r="B12316" s="121">
        <v>1061</v>
      </c>
      <c r="C12316" s="121">
        <v>3</v>
      </c>
      <c r="D12316" s="734">
        <v>115.01829905057636</v>
      </c>
      <c r="E12316" s="733"/>
    </row>
    <row r="12317" spans="2:5">
      <c r="B12317" s="121">
        <v>1061</v>
      </c>
      <c r="C12317" s="121">
        <v>4</v>
      </c>
      <c r="D12317" s="734">
        <v>146.47847801264703</v>
      </c>
      <c r="E12317" s="733"/>
    </row>
    <row r="12318" spans="2:5">
      <c r="B12318" s="121">
        <v>1061</v>
      </c>
      <c r="C12318" s="121">
        <v>5</v>
      </c>
      <c r="D12318" s="734">
        <v>143.6252043689764</v>
      </c>
      <c r="E12318" s="733"/>
    </row>
    <row r="12319" spans="2:5">
      <c r="B12319" s="121">
        <v>1061</v>
      </c>
      <c r="C12319" s="121">
        <v>6</v>
      </c>
      <c r="D12319" s="734">
        <v>142.59839757043073</v>
      </c>
      <c r="E12319" s="733"/>
    </row>
    <row r="12320" spans="2:5">
      <c r="B12320" s="121">
        <v>1061</v>
      </c>
      <c r="C12320" s="121">
        <v>7</v>
      </c>
      <c r="D12320" s="734">
        <v>144.53332318770293</v>
      </c>
      <c r="E12320" s="733"/>
    </row>
    <row r="12321" spans="2:5">
      <c r="B12321" s="121">
        <v>1061</v>
      </c>
      <c r="C12321" s="121">
        <v>8</v>
      </c>
      <c r="D12321" s="734">
        <v>141.40471800088795</v>
      </c>
      <c r="E12321" s="733"/>
    </row>
    <row r="12322" spans="2:5">
      <c r="B12322" s="121">
        <v>1061</v>
      </c>
      <c r="C12322" s="121">
        <v>9</v>
      </c>
      <c r="D12322" s="734">
        <v>143.71710408477779</v>
      </c>
      <c r="E12322" s="733"/>
    </row>
    <row r="12323" spans="2:5">
      <c r="B12323" s="121">
        <v>1061</v>
      </c>
      <c r="C12323" s="121">
        <v>10</v>
      </c>
      <c r="D12323" s="734">
        <v>143.63846634295783</v>
      </c>
      <c r="E12323" s="733"/>
    </row>
    <row r="12324" spans="2:5">
      <c r="B12324" s="121">
        <v>1061</v>
      </c>
      <c r="C12324" s="121">
        <v>11</v>
      </c>
      <c r="D12324" s="734">
        <v>141.80667186813528</v>
      </c>
      <c r="E12324" s="733"/>
    </row>
    <row r="12325" spans="2:5">
      <c r="B12325" s="121">
        <v>1061</v>
      </c>
      <c r="C12325" s="121">
        <v>12</v>
      </c>
      <c r="D12325" s="734">
        <v>139.59263615764283</v>
      </c>
      <c r="E12325" s="733"/>
    </row>
    <row r="12326" spans="2:5">
      <c r="B12326" s="121">
        <v>1061</v>
      </c>
      <c r="C12326" s="121">
        <v>13</v>
      </c>
      <c r="D12326" s="734">
        <v>141.36574050845297</v>
      </c>
      <c r="E12326" s="733"/>
    </row>
    <row r="12327" spans="2:5">
      <c r="B12327" s="121">
        <v>1061</v>
      </c>
      <c r="C12327" s="121">
        <v>14</v>
      </c>
      <c r="D12327" s="734">
        <v>144.46035610865525</v>
      </c>
      <c r="E12327" s="733"/>
    </row>
    <row r="12328" spans="2:5">
      <c r="B12328" s="121">
        <v>1061</v>
      </c>
      <c r="C12328" s="121">
        <v>15</v>
      </c>
      <c r="D12328" s="734">
        <v>144.22738549367867</v>
      </c>
      <c r="E12328" s="733"/>
    </row>
    <row r="12329" spans="2:5">
      <c r="B12329" s="121">
        <v>1061</v>
      </c>
      <c r="C12329" s="121">
        <v>16</v>
      </c>
      <c r="D12329" s="734">
        <v>145.66354462962605</v>
      </c>
      <c r="E12329" s="733"/>
    </row>
    <row r="12330" spans="2:5">
      <c r="B12330" s="121">
        <v>1061</v>
      </c>
      <c r="C12330" s="121">
        <v>17</v>
      </c>
      <c r="D12330" s="734">
        <v>144.04201848924723</v>
      </c>
      <c r="E12330" s="733"/>
    </row>
    <row r="12331" spans="2:5">
      <c r="B12331" s="121">
        <v>1061</v>
      </c>
      <c r="C12331" s="121">
        <v>18</v>
      </c>
      <c r="D12331" s="734">
        <v>135.45990043033223</v>
      </c>
      <c r="E12331" s="733"/>
    </row>
    <row r="12332" spans="2:5">
      <c r="B12332" s="121">
        <v>1061</v>
      </c>
      <c r="C12332" s="121">
        <v>19</v>
      </c>
      <c r="D12332" s="734">
        <v>144.63920338690062</v>
      </c>
      <c r="E12332" s="733"/>
    </row>
    <row r="12333" spans="2:5">
      <c r="B12333" s="121">
        <v>1061</v>
      </c>
      <c r="C12333" s="121">
        <v>20</v>
      </c>
      <c r="D12333" s="734">
        <v>138.40617806186896</v>
      </c>
      <c r="E12333" s="733"/>
    </row>
    <row r="12334" spans="2:5">
      <c r="B12334" s="121">
        <v>1061</v>
      </c>
      <c r="C12334" s="121">
        <v>21</v>
      </c>
      <c r="D12334" s="734">
        <v>136.27242909388758</v>
      </c>
      <c r="E12334" s="733"/>
    </row>
    <row r="12335" spans="2:5">
      <c r="B12335" s="121">
        <v>1061</v>
      </c>
      <c r="C12335" s="121">
        <v>22</v>
      </c>
      <c r="D12335" s="734">
        <v>137.59877715341744</v>
      </c>
      <c r="E12335" s="733"/>
    </row>
    <row r="12336" spans="2:5">
      <c r="B12336" s="121">
        <v>1061</v>
      </c>
      <c r="C12336" s="121">
        <v>23</v>
      </c>
      <c r="D12336" s="734">
        <v>139.88869540752873</v>
      </c>
      <c r="E12336" s="733"/>
    </row>
    <row r="12337" spans="2:5">
      <c r="B12337" s="121">
        <v>1061</v>
      </c>
      <c r="C12337" s="121">
        <v>24</v>
      </c>
      <c r="D12337" s="734">
        <v>136.84564168022152</v>
      </c>
      <c r="E12337" s="733"/>
    </row>
    <row r="12338" spans="2:5">
      <c r="B12338" s="121">
        <v>1061</v>
      </c>
      <c r="C12338" s="121">
        <v>25</v>
      </c>
      <c r="D12338" s="734">
        <v>139.0790632613182</v>
      </c>
      <c r="E12338" s="733"/>
    </row>
    <row r="12339" spans="2:5">
      <c r="B12339" s="121">
        <v>1061</v>
      </c>
      <c r="C12339" s="121">
        <v>26</v>
      </c>
      <c r="D12339" s="734">
        <v>133.9493918356589</v>
      </c>
      <c r="E12339" s="733"/>
    </row>
    <row r="12340" spans="2:5">
      <c r="B12340" s="121">
        <v>1061</v>
      </c>
      <c r="C12340" s="121">
        <v>27</v>
      </c>
      <c r="D12340" s="734">
        <v>144.92962148298676</v>
      </c>
      <c r="E12340" s="733"/>
    </row>
    <row r="12341" spans="2:5">
      <c r="B12341" s="121">
        <v>1061</v>
      </c>
      <c r="C12341" s="121">
        <v>28</v>
      </c>
      <c r="D12341" s="734">
        <v>141.97225700597792</v>
      </c>
      <c r="E12341" s="733"/>
    </row>
    <row r="12342" spans="2:5">
      <c r="B12342" s="121">
        <v>1061</v>
      </c>
      <c r="C12342" s="121">
        <v>29</v>
      </c>
      <c r="D12342" s="734">
        <v>140.93826277280442</v>
      </c>
      <c r="E12342" s="733"/>
    </row>
    <row r="12343" spans="2:5">
      <c r="B12343" s="121">
        <v>1061</v>
      </c>
      <c r="C12343" s="121">
        <v>30</v>
      </c>
      <c r="D12343" s="734">
        <v>142.29242319536465</v>
      </c>
      <c r="E12343" s="733"/>
    </row>
    <row r="12344" spans="2:5">
      <c r="B12344" s="121">
        <v>1061</v>
      </c>
      <c r="C12344" s="121">
        <v>31</v>
      </c>
      <c r="D12344" s="734">
        <v>134.1903866525129</v>
      </c>
      <c r="E12344" s="733"/>
    </row>
    <row r="12345" spans="2:5">
      <c r="B12345" s="121">
        <v>1061</v>
      </c>
      <c r="C12345" s="121">
        <v>32</v>
      </c>
      <c r="D12345" s="734">
        <v>139.96864529138134</v>
      </c>
      <c r="E12345" s="733"/>
    </row>
    <row r="12346" spans="2:5">
      <c r="B12346" s="121">
        <v>1061</v>
      </c>
      <c r="C12346" s="121">
        <v>33</v>
      </c>
      <c r="D12346" s="734">
        <v>144.71334737937366</v>
      </c>
      <c r="E12346" s="733"/>
    </row>
    <row r="12347" spans="2:5">
      <c r="B12347" s="121">
        <v>1061</v>
      </c>
      <c r="C12347" s="121">
        <v>34</v>
      </c>
      <c r="D12347" s="734">
        <v>136.65070024489779</v>
      </c>
      <c r="E12347" s="733"/>
    </row>
    <row r="12348" spans="2:5">
      <c r="B12348" s="121">
        <v>1062</v>
      </c>
      <c r="C12348" s="121">
        <v>1</v>
      </c>
      <c r="D12348" s="734">
        <v>5</v>
      </c>
      <c r="E12348" s="733"/>
    </row>
    <row r="12349" spans="2:5">
      <c r="B12349" s="121">
        <v>1062</v>
      </c>
      <c r="C12349" s="121">
        <v>2</v>
      </c>
      <c r="D12349" s="734">
        <v>94.326591696962268</v>
      </c>
      <c r="E12349" s="733"/>
    </row>
    <row r="12350" spans="2:5">
      <c r="B12350" s="121">
        <v>1062</v>
      </c>
      <c r="C12350" s="121">
        <v>3</v>
      </c>
      <c r="D12350" s="734">
        <v>121.17773731285631</v>
      </c>
      <c r="E12350" s="733"/>
    </row>
    <row r="12351" spans="2:5">
      <c r="B12351" s="121">
        <v>1063</v>
      </c>
      <c r="C12351" s="121">
        <v>1</v>
      </c>
      <c r="D12351" s="734">
        <v>5</v>
      </c>
      <c r="E12351" s="733"/>
    </row>
    <row r="12352" spans="2:5">
      <c r="B12352" s="121">
        <v>1064</v>
      </c>
      <c r="C12352" s="121">
        <v>1</v>
      </c>
      <c r="D12352" s="734">
        <v>5</v>
      </c>
      <c r="E12352" s="733"/>
    </row>
    <row r="12353" spans="2:5">
      <c r="B12353" s="121">
        <v>1065</v>
      </c>
      <c r="C12353" s="121">
        <v>1</v>
      </c>
      <c r="D12353" s="734">
        <v>5</v>
      </c>
      <c r="E12353" s="733"/>
    </row>
    <row r="12354" spans="2:5">
      <c r="B12354" s="121">
        <v>1065</v>
      </c>
      <c r="C12354" s="121">
        <v>2</v>
      </c>
      <c r="D12354" s="734">
        <v>97.111896957745813</v>
      </c>
      <c r="E12354" s="733"/>
    </row>
    <row r="12355" spans="2:5">
      <c r="B12355" s="121">
        <v>1065</v>
      </c>
      <c r="C12355" s="121">
        <v>3</v>
      </c>
      <c r="D12355" s="734">
        <v>121.2044803927887</v>
      </c>
      <c r="E12355" s="733"/>
    </row>
    <row r="12356" spans="2:5">
      <c r="B12356" s="121">
        <v>1065</v>
      </c>
      <c r="C12356" s="121">
        <v>4</v>
      </c>
      <c r="D12356" s="734">
        <v>143.63315238701691</v>
      </c>
      <c r="E12356" s="733"/>
    </row>
    <row r="12357" spans="2:5">
      <c r="B12357" s="121">
        <v>1065</v>
      </c>
      <c r="C12357" s="121">
        <v>5</v>
      </c>
      <c r="D12357" s="734">
        <v>135.85008240902684</v>
      </c>
      <c r="E12357" s="733"/>
    </row>
    <row r="12358" spans="2:5">
      <c r="B12358" s="121">
        <v>1065</v>
      </c>
      <c r="C12358" s="121">
        <v>6</v>
      </c>
      <c r="D12358" s="734">
        <v>136.57463643479471</v>
      </c>
      <c r="E12358" s="733"/>
    </row>
    <row r="12359" spans="2:5">
      <c r="B12359" s="121">
        <v>1065</v>
      </c>
      <c r="C12359" s="121">
        <v>7</v>
      </c>
      <c r="D12359" s="734">
        <v>134.8157826611087</v>
      </c>
      <c r="E12359" s="733"/>
    </row>
    <row r="12360" spans="2:5">
      <c r="B12360" s="121">
        <v>1065</v>
      </c>
      <c r="C12360" s="121">
        <v>8</v>
      </c>
      <c r="D12360" s="734">
        <v>135.87439386870784</v>
      </c>
      <c r="E12360" s="733"/>
    </row>
    <row r="12361" spans="2:5">
      <c r="B12361" s="121">
        <v>1065</v>
      </c>
      <c r="C12361" s="121">
        <v>9</v>
      </c>
      <c r="D12361" s="734">
        <v>141.27099857431597</v>
      </c>
      <c r="E12361" s="733"/>
    </row>
    <row r="12362" spans="2:5">
      <c r="B12362" s="121">
        <v>1065</v>
      </c>
      <c r="C12362" s="121">
        <v>10</v>
      </c>
      <c r="D12362" s="734">
        <v>140.41328778008759</v>
      </c>
      <c r="E12362" s="733"/>
    </row>
    <row r="12363" spans="2:5">
      <c r="B12363" s="121">
        <v>1065</v>
      </c>
      <c r="C12363" s="121">
        <v>11</v>
      </c>
      <c r="D12363" s="734">
        <v>142.49670026597963</v>
      </c>
      <c r="E12363" s="733"/>
    </row>
    <row r="12364" spans="2:5">
      <c r="B12364" s="121">
        <v>1065</v>
      </c>
      <c r="C12364" s="121">
        <v>12</v>
      </c>
      <c r="D12364" s="734">
        <v>139.06374448910631</v>
      </c>
      <c r="E12364" s="733"/>
    </row>
    <row r="12365" spans="2:5">
      <c r="B12365" s="121">
        <v>1065</v>
      </c>
      <c r="C12365" s="121">
        <v>13</v>
      </c>
      <c r="D12365" s="734">
        <v>144.00279984481151</v>
      </c>
      <c r="E12365" s="733"/>
    </row>
    <row r="12366" spans="2:5">
      <c r="B12366" s="121">
        <v>1065</v>
      </c>
      <c r="C12366" s="121">
        <v>14</v>
      </c>
      <c r="D12366" s="734">
        <v>143.49842765829683</v>
      </c>
      <c r="E12366" s="733"/>
    </row>
    <row r="12367" spans="2:5">
      <c r="B12367" s="121">
        <v>1065</v>
      </c>
      <c r="C12367" s="121">
        <v>15</v>
      </c>
      <c r="D12367" s="734">
        <v>140.32683444533981</v>
      </c>
      <c r="E12367" s="733"/>
    </row>
    <row r="12368" spans="2:5">
      <c r="B12368" s="121">
        <v>1065</v>
      </c>
      <c r="C12368" s="121">
        <v>16</v>
      </c>
      <c r="D12368" s="734">
        <v>134.74474264422969</v>
      </c>
      <c r="E12368" s="733"/>
    </row>
    <row r="12369" spans="2:5">
      <c r="B12369" s="121">
        <v>1065</v>
      </c>
      <c r="C12369" s="121">
        <v>17</v>
      </c>
      <c r="D12369" s="734">
        <v>137.53107726242308</v>
      </c>
      <c r="E12369" s="733"/>
    </row>
    <row r="12370" spans="2:5">
      <c r="B12370" s="121">
        <v>1065</v>
      </c>
      <c r="C12370" s="121">
        <v>18</v>
      </c>
      <c r="D12370" s="734">
        <v>142.85491683076916</v>
      </c>
      <c r="E12370" s="733"/>
    </row>
    <row r="12371" spans="2:5">
      <c r="B12371" s="121">
        <v>1065</v>
      </c>
      <c r="C12371" s="121">
        <v>19</v>
      </c>
      <c r="D12371" s="734">
        <v>146.85643130025616</v>
      </c>
      <c r="E12371" s="733"/>
    </row>
    <row r="12372" spans="2:5">
      <c r="B12372" s="121">
        <v>1066</v>
      </c>
      <c r="C12372" s="121">
        <v>1</v>
      </c>
      <c r="D12372" s="734">
        <v>5</v>
      </c>
      <c r="E12372" s="733"/>
    </row>
    <row r="12373" spans="2:5">
      <c r="B12373" s="121">
        <v>1067</v>
      </c>
      <c r="C12373" s="121">
        <v>1</v>
      </c>
      <c r="D12373" s="734">
        <v>5</v>
      </c>
      <c r="E12373" s="733"/>
    </row>
    <row r="12374" spans="2:5">
      <c r="B12374" s="121">
        <v>1067</v>
      </c>
      <c r="C12374" s="121">
        <v>2</v>
      </c>
      <c r="D12374" s="734">
        <v>102.98036287382418</v>
      </c>
      <c r="E12374" s="733"/>
    </row>
    <row r="12375" spans="2:5">
      <c r="B12375" s="121">
        <v>1067</v>
      </c>
      <c r="C12375" s="121">
        <v>3</v>
      </c>
      <c r="D12375" s="734">
        <v>118.25756660099188</v>
      </c>
      <c r="E12375" s="733"/>
    </row>
    <row r="12376" spans="2:5">
      <c r="B12376" s="121">
        <v>1067</v>
      </c>
      <c r="C12376" s="121">
        <v>4</v>
      </c>
      <c r="D12376" s="734">
        <v>139.72319055910575</v>
      </c>
      <c r="E12376" s="733"/>
    </row>
    <row r="12377" spans="2:5">
      <c r="B12377" s="121">
        <v>1067</v>
      </c>
      <c r="C12377" s="121">
        <v>5</v>
      </c>
      <c r="D12377" s="734">
        <v>142.97658112837195</v>
      </c>
      <c r="E12377" s="733"/>
    </row>
    <row r="12378" spans="2:5">
      <c r="B12378" s="121">
        <v>1067</v>
      </c>
      <c r="C12378" s="121">
        <v>6</v>
      </c>
      <c r="D12378" s="734">
        <v>139.64505197541743</v>
      </c>
      <c r="E12378" s="733"/>
    </row>
    <row r="12379" spans="2:5">
      <c r="B12379" s="121">
        <v>1067</v>
      </c>
      <c r="C12379" s="121">
        <v>7</v>
      </c>
      <c r="D12379" s="734">
        <v>135.69782042178826</v>
      </c>
      <c r="E12379" s="733"/>
    </row>
    <row r="12380" spans="2:5">
      <c r="B12380" s="121">
        <v>1067</v>
      </c>
      <c r="C12380" s="121">
        <v>8</v>
      </c>
      <c r="D12380" s="734">
        <v>139.74305680732724</v>
      </c>
      <c r="E12380" s="733"/>
    </row>
    <row r="12381" spans="2:5">
      <c r="B12381" s="121">
        <v>1067</v>
      </c>
      <c r="C12381" s="121">
        <v>9</v>
      </c>
      <c r="D12381" s="734">
        <v>143.86577165314401</v>
      </c>
      <c r="E12381" s="733"/>
    </row>
    <row r="12382" spans="2:5">
      <c r="B12382" s="121">
        <v>1067</v>
      </c>
      <c r="C12382" s="121">
        <v>10</v>
      </c>
      <c r="D12382" s="734">
        <v>135.75274607222869</v>
      </c>
      <c r="E12382" s="733"/>
    </row>
    <row r="12383" spans="2:5">
      <c r="B12383" s="121">
        <v>1067</v>
      </c>
      <c r="C12383" s="121">
        <v>11</v>
      </c>
      <c r="D12383" s="734">
        <v>138.60479086478426</v>
      </c>
      <c r="E12383" s="733"/>
    </row>
    <row r="12384" spans="2:5">
      <c r="B12384" s="121">
        <v>1067</v>
      </c>
      <c r="C12384" s="121">
        <v>12</v>
      </c>
      <c r="D12384" s="734">
        <v>134.66442008304057</v>
      </c>
      <c r="E12384" s="733"/>
    </row>
    <row r="12385" spans="2:5">
      <c r="B12385" s="121">
        <v>1067</v>
      </c>
      <c r="C12385" s="121">
        <v>13</v>
      </c>
      <c r="D12385" s="734">
        <v>133.91895001796186</v>
      </c>
      <c r="E12385" s="733"/>
    </row>
    <row r="12386" spans="2:5">
      <c r="B12386" s="121">
        <v>1067</v>
      </c>
      <c r="C12386" s="121">
        <v>14</v>
      </c>
      <c r="D12386" s="734">
        <v>136.3878653254954</v>
      </c>
      <c r="E12386" s="733"/>
    </row>
    <row r="12387" spans="2:5">
      <c r="B12387" s="121">
        <v>1067</v>
      </c>
      <c r="C12387" s="121">
        <v>15</v>
      </c>
      <c r="D12387" s="734">
        <v>144.77668813744623</v>
      </c>
      <c r="E12387" s="733"/>
    </row>
    <row r="12388" spans="2:5">
      <c r="B12388" s="121">
        <v>1067</v>
      </c>
      <c r="C12388" s="121">
        <v>16</v>
      </c>
      <c r="D12388" s="734">
        <v>143.97487012076789</v>
      </c>
      <c r="E12388" s="733"/>
    </row>
    <row r="12389" spans="2:5">
      <c r="B12389" s="121">
        <v>1067</v>
      </c>
      <c r="C12389" s="121">
        <v>17</v>
      </c>
      <c r="D12389" s="734">
        <v>142.97765255534884</v>
      </c>
      <c r="E12389" s="733"/>
    </row>
    <row r="12390" spans="2:5">
      <c r="B12390" s="121">
        <v>1067</v>
      </c>
      <c r="C12390" s="121">
        <v>18</v>
      </c>
      <c r="D12390" s="734">
        <v>140.63207573107562</v>
      </c>
      <c r="E12390" s="733"/>
    </row>
    <row r="12391" spans="2:5">
      <c r="B12391" s="121">
        <v>1067</v>
      </c>
      <c r="C12391" s="121">
        <v>19</v>
      </c>
      <c r="D12391" s="734">
        <v>143.70902950957085</v>
      </c>
      <c r="E12391" s="733"/>
    </row>
    <row r="12392" spans="2:5">
      <c r="B12392" s="121">
        <v>1067</v>
      </c>
      <c r="C12392" s="121">
        <v>20</v>
      </c>
      <c r="D12392" s="734">
        <v>137.59052727407035</v>
      </c>
      <c r="E12392" s="733"/>
    </row>
    <row r="12393" spans="2:5">
      <c r="B12393" s="121">
        <v>1067</v>
      </c>
      <c r="C12393" s="121">
        <v>21</v>
      </c>
      <c r="D12393" s="734">
        <v>136.75011195121948</v>
      </c>
      <c r="E12393" s="733"/>
    </row>
    <row r="12394" spans="2:5">
      <c r="B12394" s="121">
        <v>1067</v>
      </c>
      <c r="C12394" s="121">
        <v>22</v>
      </c>
      <c r="D12394" s="734">
        <v>134.99401844473044</v>
      </c>
      <c r="E12394" s="733"/>
    </row>
    <row r="12395" spans="2:5">
      <c r="B12395" s="121">
        <v>1067</v>
      </c>
      <c r="C12395" s="121">
        <v>23</v>
      </c>
      <c r="D12395" s="734">
        <v>134.72842149403044</v>
      </c>
      <c r="E12395" s="733"/>
    </row>
    <row r="12396" spans="2:5">
      <c r="B12396" s="121">
        <v>1067</v>
      </c>
      <c r="C12396" s="121">
        <v>24</v>
      </c>
      <c r="D12396" s="734">
        <v>141.63209533239504</v>
      </c>
      <c r="E12396" s="733"/>
    </row>
    <row r="12397" spans="2:5">
      <c r="B12397" s="121">
        <v>1067</v>
      </c>
      <c r="C12397" s="121">
        <v>25</v>
      </c>
      <c r="D12397" s="734">
        <v>134.02720469758555</v>
      </c>
      <c r="E12397" s="733"/>
    </row>
    <row r="12398" spans="2:5">
      <c r="B12398" s="121">
        <v>1067</v>
      </c>
      <c r="C12398" s="121">
        <v>26</v>
      </c>
      <c r="D12398" s="734">
        <v>142.4774990073503</v>
      </c>
      <c r="E12398" s="733"/>
    </row>
    <row r="12399" spans="2:5">
      <c r="B12399" s="121">
        <v>1067</v>
      </c>
      <c r="C12399" s="121">
        <v>27</v>
      </c>
      <c r="D12399" s="734">
        <v>136.35162264928479</v>
      </c>
      <c r="E12399" s="733"/>
    </row>
    <row r="12400" spans="2:5">
      <c r="B12400" s="121">
        <v>1067</v>
      </c>
      <c r="C12400" s="121">
        <v>28</v>
      </c>
      <c r="D12400" s="734">
        <v>141.47759857302407</v>
      </c>
      <c r="E12400" s="733"/>
    </row>
    <row r="12401" spans="2:5">
      <c r="B12401" s="121">
        <v>1067</v>
      </c>
      <c r="C12401" s="121">
        <v>29</v>
      </c>
      <c r="D12401" s="734">
        <v>135.95717719841494</v>
      </c>
      <c r="E12401" s="733"/>
    </row>
    <row r="12402" spans="2:5">
      <c r="B12402" s="121">
        <v>1067</v>
      </c>
      <c r="C12402" s="121">
        <v>30</v>
      </c>
      <c r="D12402" s="734">
        <v>137.80004706625633</v>
      </c>
      <c r="E12402" s="733"/>
    </row>
    <row r="12403" spans="2:5">
      <c r="B12403" s="121">
        <v>1067</v>
      </c>
      <c r="C12403" s="121">
        <v>31</v>
      </c>
      <c r="D12403" s="734">
        <v>135.96410476379052</v>
      </c>
      <c r="E12403" s="733"/>
    </row>
    <row r="12404" spans="2:5">
      <c r="B12404" s="121">
        <v>1067</v>
      </c>
      <c r="C12404" s="121">
        <v>32</v>
      </c>
      <c r="D12404" s="734">
        <v>145.10181902247294</v>
      </c>
      <c r="E12404" s="733"/>
    </row>
    <row r="12405" spans="2:5">
      <c r="B12405" s="121">
        <v>1067</v>
      </c>
      <c r="C12405" s="121">
        <v>33</v>
      </c>
      <c r="D12405" s="734">
        <v>139.56752163688171</v>
      </c>
      <c r="E12405" s="733"/>
    </row>
    <row r="12406" spans="2:5">
      <c r="B12406" s="121">
        <v>1067</v>
      </c>
      <c r="C12406" s="121">
        <v>34</v>
      </c>
      <c r="D12406" s="734">
        <v>134.56970522452531</v>
      </c>
      <c r="E12406" s="733"/>
    </row>
    <row r="12407" spans="2:5">
      <c r="B12407" s="121">
        <v>1067</v>
      </c>
      <c r="C12407" s="121">
        <v>35</v>
      </c>
      <c r="D12407" s="734">
        <v>135.29284416614809</v>
      </c>
      <c r="E12407" s="733"/>
    </row>
    <row r="12408" spans="2:5">
      <c r="B12408" s="121">
        <v>1067</v>
      </c>
      <c r="C12408" s="121">
        <v>36</v>
      </c>
      <c r="D12408" s="734">
        <v>135.94466167541313</v>
      </c>
      <c r="E12408" s="733"/>
    </row>
    <row r="12409" spans="2:5">
      <c r="B12409" s="121">
        <v>1068</v>
      </c>
      <c r="C12409" s="121">
        <v>1</v>
      </c>
      <c r="D12409" s="734">
        <v>5</v>
      </c>
      <c r="E12409" s="733"/>
    </row>
    <row r="12410" spans="2:5">
      <c r="B12410" s="121">
        <v>1068</v>
      </c>
      <c r="C12410" s="121">
        <v>2</v>
      </c>
      <c r="D12410" s="734">
        <v>95.939996566616429</v>
      </c>
      <c r="E12410" s="733"/>
    </row>
    <row r="12411" spans="2:5">
      <c r="B12411" s="121">
        <v>1068</v>
      </c>
      <c r="C12411" s="121">
        <v>3</v>
      </c>
      <c r="D12411" s="734">
        <v>123.01005643804646</v>
      </c>
      <c r="E12411" s="733"/>
    </row>
    <row r="12412" spans="2:5">
      <c r="B12412" s="121">
        <v>1068</v>
      </c>
      <c r="C12412" s="121">
        <v>4</v>
      </c>
      <c r="D12412" s="734">
        <v>142.68512650590836</v>
      </c>
      <c r="E12412" s="733"/>
    </row>
    <row r="12413" spans="2:5">
      <c r="B12413" s="121">
        <v>1068</v>
      </c>
      <c r="C12413" s="121">
        <v>5</v>
      </c>
      <c r="D12413" s="734">
        <v>136.88060242102915</v>
      </c>
      <c r="E12413" s="733"/>
    </row>
    <row r="12414" spans="2:5">
      <c r="B12414" s="121">
        <v>1068</v>
      </c>
      <c r="C12414" s="121">
        <v>6</v>
      </c>
      <c r="D12414" s="734">
        <v>145.47524300546166</v>
      </c>
      <c r="E12414" s="733"/>
    </row>
    <row r="12415" spans="2:5">
      <c r="B12415" s="121">
        <v>1068</v>
      </c>
      <c r="C12415" s="121">
        <v>7</v>
      </c>
      <c r="D12415" s="734">
        <v>139.30873828198435</v>
      </c>
      <c r="E12415" s="733"/>
    </row>
    <row r="12416" spans="2:5">
      <c r="B12416" s="121">
        <v>1068</v>
      </c>
      <c r="C12416" s="121">
        <v>8</v>
      </c>
      <c r="D12416" s="734">
        <v>145.08549778879069</v>
      </c>
      <c r="E12416" s="733"/>
    </row>
    <row r="12417" spans="2:5">
      <c r="B12417" s="121">
        <v>1068</v>
      </c>
      <c r="C12417" s="121">
        <v>9</v>
      </c>
      <c r="D12417" s="734">
        <v>144.87205034161781</v>
      </c>
      <c r="E12417" s="733"/>
    </row>
    <row r="12418" spans="2:5">
      <c r="B12418" s="121">
        <v>1068</v>
      </c>
      <c r="C12418" s="121">
        <v>10</v>
      </c>
      <c r="D12418" s="734">
        <v>140.48763238858643</v>
      </c>
      <c r="E12418" s="733"/>
    </row>
    <row r="12419" spans="2:5">
      <c r="B12419" s="121">
        <v>1068</v>
      </c>
      <c r="C12419" s="121">
        <v>11</v>
      </c>
      <c r="D12419" s="734">
        <v>138.8809583653325</v>
      </c>
      <c r="E12419" s="733"/>
    </row>
    <row r="12420" spans="2:5">
      <c r="B12420" s="121">
        <v>1068</v>
      </c>
      <c r="C12420" s="121">
        <v>12</v>
      </c>
      <c r="D12420" s="734">
        <v>136.69722575537952</v>
      </c>
      <c r="E12420" s="733"/>
    </row>
    <row r="12421" spans="2:5">
      <c r="B12421" s="121">
        <v>1068</v>
      </c>
      <c r="C12421" s="121">
        <v>13</v>
      </c>
      <c r="D12421" s="734">
        <v>144.73399662235548</v>
      </c>
      <c r="E12421" s="733"/>
    </row>
    <row r="12422" spans="2:5">
      <c r="B12422" s="121">
        <v>1068</v>
      </c>
      <c r="C12422" s="121">
        <v>14</v>
      </c>
      <c r="D12422" s="734">
        <v>134.04595687267209</v>
      </c>
      <c r="E12422" s="733"/>
    </row>
    <row r="12423" spans="2:5">
      <c r="B12423" s="121">
        <v>1068</v>
      </c>
      <c r="C12423" s="121">
        <v>15</v>
      </c>
      <c r="D12423" s="734">
        <v>134.73795411754779</v>
      </c>
      <c r="E12423" s="733"/>
    </row>
    <row r="12424" spans="2:5">
      <c r="B12424" s="121">
        <v>1068</v>
      </c>
      <c r="C12424" s="121">
        <v>16</v>
      </c>
      <c r="D12424" s="734">
        <v>144.4423263288993</v>
      </c>
      <c r="E12424" s="733"/>
    </row>
    <row r="12425" spans="2:5">
      <c r="B12425" s="121">
        <v>1068</v>
      </c>
      <c r="C12425" s="121">
        <v>17</v>
      </c>
      <c r="D12425" s="734">
        <v>144.64768506178228</v>
      </c>
      <c r="E12425" s="733"/>
    </row>
    <row r="12426" spans="2:5">
      <c r="B12426" s="121">
        <v>1068</v>
      </c>
      <c r="C12426" s="121">
        <v>18</v>
      </c>
      <c r="D12426" s="734">
        <v>145.69362562472796</v>
      </c>
      <c r="E12426" s="733"/>
    </row>
    <row r="12427" spans="2:5">
      <c r="B12427" s="121">
        <v>1068</v>
      </c>
      <c r="C12427" s="121">
        <v>19</v>
      </c>
      <c r="D12427" s="734">
        <v>146.48480048138106</v>
      </c>
      <c r="E12427" s="733"/>
    </row>
    <row r="12428" spans="2:5">
      <c r="B12428" s="121">
        <v>1068</v>
      </c>
      <c r="C12428" s="121">
        <v>20</v>
      </c>
      <c r="D12428" s="734">
        <v>139.26327738312011</v>
      </c>
      <c r="E12428" s="733"/>
    </row>
    <row r="12429" spans="2:5">
      <c r="B12429" s="121">
        <v>1068</v>
      </c>
      <c r="C12429" s="121">
        <v>21</v>
      </c>
      <c r="D12429" s="734">
        <v>136.6140258677944</v>
      </c>
      <c r="E12429" s="733"/>
    </row>
    <row r="12430" spans="2:5">
      <c r="B12430" s="121">
        <v>1068</v>
      </c>
      <c r="C12430" s="121">
        <v>22</v>
      </c>
      <c r="D12430" s="734">
        <v>144.49145906389208</v>
      </c>
      <c r="E12430" s="733"/>
    </row>
    <row r="12431" spans="2:5">
      <c r="B12431" s="121">
        <v>1068</v>
      </c>
      <c r="C12431" s="121">
        <v>23</v>
      </c>
      <c r="D12431" s="734">
        <v>140.5015924507415</v>
      </c>
      <c r="E12431" s="733"/>
    </row>
    <row r="12432" spans="2:5">
      <c r="B12432" s="121">
        <v>1068</v>
      </c>
      <c r="C12432" s="121">
        <v>24</v>
      </c>
      <c r="D12432" s="734">
        <v>136.63410336368398</v>
      </c>
      <c r="E12432" s="733"/>
    </row>
    <row r="12433" spans="2:5">
      <c r="B12433" s="121">
        <v>1068</v>
      </c>
      <c r="C12433" s="121">
        <v>25</v>
      </c>
      <c r="D12433" s="734">
        <v>136.63549853741452</v>
      </c>
      <c r="E12433" s="733"/>
    </row>
    <row r="12434" spans="2:5">
      <c r="B12434" s="121">
        <v>1068</v>
      </c>
      <c r="C12434" s="121">
        <v>26</v>
      </c>
      <c r="D12434" s="734">
        <v>145.9442944346919</v>
      </c>
      <c r="E12434" s="733"/>
    </row>
    <row r="12435" spans="2:5">
      <c r="B12435" s="121">
        <v>1068</v>
      </c>
      <c r="C12435" s="121">
        <v>27</v>
      </c>
      <c r="D12435" s="734">
        <v>134.37942859002322</v>
      </c>
      <c r="E12435" s="733"/>
    </row>
    <row r="12436" spans="2:5">
      <c r="B12436" s="121">
        <v>1068</v>
      </c>
      <c r="C12436" s="121">
        <v>28</v>
      </c>
      <c r="D12436" s="734">
        <v>139.52855895952595</v>
      </c>
      <c r="E12436" s="733"/>
    </row>
    <row r="12437" spans="2:5">
      <c r="B12437" s="121">
        <v>1068</v>
      </c>
      <c r="C12437" s="121">
        <v>29</v>
      </c>
      <c r="D12437" s="734">
        <v>138.38627067192414</v>
      </c>
      <c r="E12437" s="733"/>
    </row>
    <row r="12438" spans="2:5">
      <c r="B12438" s="121">
        <v>1068</v>
      </c>
      <c r="C12438" s="121">
        <v>30</v>
      </c>
      <c r="D12438" s="734">
        <v>144.43246653414596</v>
      </c>
      <c r="E12438" s="733"/>
    </row>
    <row r="12439" spans="2:5">
      <c r="B12439" s="121">
        <v>1068</v>
      </c>
      <c r="C12439" s="121">
        <v>31</v>
      </c>
      <c r="D12439" s="734">
        <v>145.80214052702109</v>
      </c>
      <c r="E12439" s="733"/>
    </row>
    <row r="12440" spans="2:5">
      <c r="B12440" s="121">
        <v>1068</v>
      </c>
      <c r="C12440" s="121">
        <v>32</v>
      </c>
      <c r="D12440" s="734">
        <v>140.74857541447952</v>
      </c>
      <c r="E12440" s="733"/>
    </row>
    <row r="12441" spans="2:5">
      <c r="B12441" s="121">
        <v>1068</v>
      </c>
      <c r="C12441" s="121">
        <v>33</v>
      </c>
      <c r="D12441" s="734">
        <v>138.58008545422544</v>
      </c>
      <c r="E12441" s="733"/>
    </row>
    <row r="12442" spans="2:5">
      <c r="B12442" s="121">
        <v>1068</v>
      </c>
      <c r="C12442" s="121">
        <v>34</v>
      </c>
      <c r="D12442" s="734">
        <v>136.96099319901043</v>
      </c>
      <c r="E12442" s="733"/>
    </row>
    <row r="12443" spans="2:5">
      <c r="B12443" s="121">
        <v>1068</v>
      </c>
      <c r="C12443" s="121">
        <v>35</v>
      </c>
      <c r="D12443" s="734">
        <v>139.21562829729828</v>
      </c>
      <c r="E12443" s="733"/>
    </row>
    <row r="12444" spans="2:5">
      <c r="B12444" s="121">
        <v>1068</v>
      </c>
      <c r="C12444" s="121">
        <v>36</v>
      </c>
      <c r="D12444" s="734">
        <v>135.3088974770919</v>
      </c>
      <c r="E12444" s="733"/>
    </row>
    <row r="12445" spans="2:5">
      <c r="B12445" s="121">
        <v>1069</v>
      </c>
      <c r="C12445" s="121">
        <v>1</v>
      </c>
      <c r="D12445" s="734">
        <v>5</v>
      </c>
      <c r="E12445" s="733"/>
    </row>
    <row r="12446" spans="2:5">
      <c r="B12446" s="121">
        <v>1069</v>
      </c>
      <c r="C12446" s="121">
        <v>2</v>
      </c>
      <c r="D12446" s="734">
        <v>97.097168845758731</v>
      </c>
      <c r="E12446" s="733"/>
    </row>
    <row r="12447" spans="2:5">
      <c r="B12447" s="121">
        <v>1070</v>
      </c>
      <c r="C12447" s="121">
        <v>1</v>
      </c>
      <c r="D12447" s="734">
        <v>5</v>
      </c>
      <c r="E12447" s="733"/>
    </row>
    <row r="12448" spans="2:5">
      <c r="B12448" s="121">
        <v>1071</v>
      </c>
      <c r="C12448" s="121">
        <v>1</v>
      </c>
      <c r="D12448" s="734">
        <v>5</v>
      </c>
      <c r="E12448" s="733"/>
    </row>
    <row r="12449" spans="2:5">
      <c r="B12449" s="121">
        <v>1071</v>
      </c>
      <c r="C12449" s="121">
        <v>2</v>
      </c>
      <c r="D12449" s="734">
        <v>103.19829673879168</v>
      </c>
      <c r="E12449" s="733"/>
    </row>
    <row r="12450" spans="2:5">
      <c r="B12450" s="121">
        <v>1071</v>
      </c>
      <c r="C12450" s="121">
        <v>3</v>
      </c>
      <c r="D12450" s="734">
        <v>116.48973450644073</v>
      </c>
      <c r="E12450" s="733"/>
    </row>
    <row r="12451" spans="2:5">
      <c r="B12451" s="121">
        <v>1071</v>
      </c>
      <c r="C12451" s="121">
        <v>4</v>
      </c>
      <c r="D12451" s="734">
        <v>139.40735580616064</v>
      </c>
      <c r="E12451" s="733"/>
    </row>
    <row r="12452" spans="2:5">
      <c r="B12452" s="121">
        <v>1071</v>
      </c>
      <c r="C12452" s="121">
        <v>5</v>
      </c>
      <c r="D12452" s="734">
        <v>134.70897992119578</v>
      </c>
      <c r="E12452" s="733"/>
    </row>
    <row r="12453" spans="2:5">
      <c r="B12453" s="121">
        <v>1072</v>
      </c>
      <c r="C12453" s="121">
        <v>1</v>
      </c>
      <c r="D12453" s="734">
        <v>5</v>
      </c>
      <c r="E12453" s="733"/>
    </row>
    <row r="12454" spans="2:5">
      <c r="B12454" s="121">
        <v>1072</v>
      </c>
      <c r="C12454" s="121">
        <v>2</v>
      </c>
      <c r="D12454" s="734">
        <v>98.94125797924211</v>
      </c>
      <c r="E12454" s="733"/>
    </row>
    <row r="12455" spans="2:5">
      <c r="B12455" s="121">
        <v>1072</v>
      </c>
      <c r="C12455" s="121">
        <v>3</v>
      </c>
      <c r="D12455" s="734">
        <v>119.3300004773436</v>
      </c>
      <c r="E12455" s="733"/>
    </row>
    <row r="12456" spans="2:5">
      <c r="B12456" s="121">
        <v>1072</v>
      </c>
      <c r="C12456" s="121">
        <v>4</v>
      </c>
      <c r="D12456" s="734">
        <v>147.02978093605702</v>
      </c>
      <c r="E12456" s="733"/>
    </row>
    <row r="12457" spans="2:5">
      <c r="B12457" s="121">
        <v>1072</v>
      </c>
      <c r="C12457" s="121">
        <v>5</v>
      </c>
      <c r="D12457" s="734">
        <v>139.77038272817063</v>
      </c>
      <c r="E12457" s="733"/>
    </row>
    <row r="12458" spans="2:5">
      <c r="B12458" s="121">
        <v>1072</v>
      </c>
      <c r="C12458" s="121">
        <v>6</v>
      </c>
      <c r="D12458" s="734">
        <v>140.37735404511318</v>
      </c>
      <c r="E12458" s="733"/>
    </row>
    <row r="12459" spans="2:5">
      <c r="B12459" s="121">
        <v>1072</v>
      </c>
      <c r="C12459" s="121">
        <v>7</v>
      </c>
      <c r="D12459" s="734">
        <v>141.48727064851553</v>
      </c>
      <c r="E12459" s="733"/>
    </row>
    <row r="12460" spans="2:5">
      <c r="B12460" s="121">
        <v>1072</v>
      </c>
      <c r="C12460" s="121">
        <v>8</v>
      </c>
      <c r="D12460" s="734">
        <v>141.97513639722476</v>
      </c>
      <c r="E12460" s="733"/>
    </row>
    <row r="12461" spans="2:5">
      <c r="B12461" s="121">
        <v>1072</v>
      </c>
      <c r="C12461" s="121">
        <v>9</v>
      </c>
      <c r="D12461" s="734">
        <v>135.73220718597048</v>
      </c>
      <c r="E12461" s="733"/>
    </row>
    <row r="12462" spans="2:5">
      <c r="B12462" s="121">
        <v>1072</v>
      </c>
      <c r="C12462" s="121">
        <v>10</v>
      </c>
      <c r="D12462" s="734">
        <v>141.80088283822559</v>
      </c>
      <c r="E12462" s="733"/>
    </row>
    <row r="12463" spans="2:5">
      <c r="B12463" s="121">
        <v>1072</v>
      </c>
      <c r="C12463" s="121">
        <v>11</v>
      </c>
      <c r="D12463" s="734">
        <v>141.85596705211606</v>
      </c>
      <c r="E12463" s="733"/>
    </row>
    <row r="12464" spans="2:5">
      <c r="B12464" s="121">
        <v>1072</v>
      </c>
      <c r="C12464" s="121">
        <v>12</v>
      </c>
      <c r="D12464" s="734">
        <v>138.88853202393489</v>
      </c>
      <c r="E12464" s="733"/>
    </row>
    <row r="12465" spans="2:5">
      <c r="B12465" s="121">
        <v>1072</v>
      </c>
      <c r="C12465" s="121">
        <v>13</v>
      </c>
      <c r="D12465" s="734">
        <v>147.22558059478339</v>
      </c>
      <c r="E12465" s="733"/>
    </row>
    <row r="12466" spans="2:5">
      <c r="B12466" s="121">
        <v>1072</v>
      </c>
      <c r="C12466" s="121">
        <v>14</v>
      </c>
      <c r="D12466" s="734">
        <v>137.24310155701644</v>
      </c>
      <c r="E12466" s="733"/>
    </row>
    <row r="12467" spans="2:5">
      <c r="B12467" s="121">
        <v>1072</v>
      </c>
      <c r="C12467" s="121">
        <v>15</v>
      </c>
      <c r="D12467" s="734">
        <v>144.71166956311964</v>
      </c>
      <c r="E12467" s="733"/>
    </row>
    <row r="12468" spans="2:5">
      <c r="B12468" s="121">
        <v>1072</v>
      </c>
      <c r="C12468" s="121">
        <v>16</v>
      </c>
      <c r="D12468" s="734">
        <v>143.71713116770027</v>
      </c>
      <c r="E12468" s="733"/>
    </row>
    <row r="12469" spans="2:5">
      <c r="B12469" s="121">
        <v>1072</v>
      </c>
      <c r="C12469" s="121">
        <v>17</v>
      </c>
      <c r="D12469" s="734">
        <v>137.97460233513883</v>
      </c>
      <c r="E12469" s="733"/>
    </row>
    <row r="12470" spans="2:5">
      <c r="B12470" s="121">
        <v>1072</v>
      </c>
      <c r="C12470" s="121">
        <v>18</v>
      </c>
      <c r="D12470" s="734">
        <v>146.23211819654634</v>
      </c>
      <c r="E12470" s="733"/>
    </row>
    <row r="12471" spans="2:5">
      <c r="B12471" s="121">
        <v>1072</v>
      </c>
      <c r="C12471" s="121">
        <v>19</v>
      </c>
      <c r="D12471" s="734">
        <v>139.29734936726956</v>
      </c>
      <c r="E12471" s="733"/>
    </row>
    <row r="12472" spans="2:5">
      <c r="B12472" s="121">
        <v>1072</v>
      </c>
      <c r="C12472" s="121">
        <v>20</v>
      </c>
      <c r="D12472" s="734">
        <v>135.56886045865875</v>
      </c>
      <c r="E12472" s="733"/>
    </row>
    <row r="12473" spans="2:5">
      <c r="B12473" s="121">
        <v>1072</v>
      </c>
      <c r="C12473" s="121">
        <v>21</v>
      </c>
      <c r="D12473" s="734">
        <v>146.78238659459998</v>
      </c>
      <c r="E12473" s="733"/>
    </row>
    <row r="12474" spans="2:5">
      <c r="B12474" s="121">
        <v>1072</v>
      </c>
      <c r="C12474" s="121">
        <v>22</v>
      </c>
      <c r="D12474" s="734">
        <v>136.27360667022862</v>
      </c>
      <c r="E12474" s="733"/>
    </row>
    <row r="12475" spans="2:5">
      <c r="B12475" s="121">
        <v>1072</v>
      </c>
      <c r="C12475" s="121">
        <v>23</v>
      </c>
      <c r="D12475" s="734">
        <v>145.28341751161304</v>
      </c>
      <c r="E12475" s="733"/>
    </row>
    <row r="12476" spans="2:5">
      <c r="B12476" s="121">
        <v>1072</v>
      </c>
      <c r="C12476" s="121">
        <v>24</v>
      </c>
      <c r="D12476" s="734">
        <v>134.58555076481633</v>
      </c>
      <c r="E12476" s="733"/>
    </row>
    <row r="12477" spans="2:5">
      <c r="B12477" s="121">
        <v>1072</v>
      </c>
      <c r="C12477" s="121">
        <v>25</v>
      </c>
      <c r="D12477" s="734">
        <v>139.4541164190899</v>
      </c>
      <c r="E12477" s="733"/>
    </row>
    <row r="12478" spans="2:5">
      <c r="B12478" s="121">
        <v>1072</v>
      </c>
      <c r="C12478" s="121">
        <v>26</v>
      </c>
      <c r="D12478" s="734">
        <v>144.02810262773355</v>
      </c>
      <c r="E12478" s="733"/>
    </row>
    <row r="12479" spans="2:5">
      <c r="B12479" s="121">
        <v>1072</v>
      </c>
      <c r="C12479" s="121">
        <v>27</v>
      </c>
      <c r="D12479" s="734">
        <v>145.6834711868533</v>
      </c>
      <c r="E12479" s="733"/>
    </row>
    <row r="12480" spans="2:5">
      <c r="B12480" s="121">
        <v>1072</v>
      </c>
      <c r="C12480" s="121">
        <v>28</v>
      </c>
      <c r="D12480" s="734">
        <v>146.62265819443101</v>
      </c>
      <c r="E12480" s="733"/>
    </row>
    <row r="12481" spans="2:5">
      <c r="B12481" s="121">
        <v>1072</v>
      </c>
      <c r="C12481" s="121">
        <v>29</v>
      </c>
      <c r="D12481" s="734">
        <v>145.8971827404211</v>
      </c>
      <c r="E12481" s="733"/>
    </row>
    <row r="12482" spans="2:5">
      <c r="B12482" s="121">
        <v>1073</v>
      </c>
      <c r="C12482" s="121">
        <v>1</v>
      </c>
      <c r="D12482" s="734">
        <v>5</v>
      </c>
      <c r="E12482" s="733"/>
    </row>
    <row r="12483" spans="2:5">
      <c r="B12483" s="121">
        <v>1073</v>
      </c>
      <c r="C12483" s="121">
        <v>2</v>
      </c>
      <c r="D12483" s="734">
        <v>98.530128963231974</v>
      </c>
      <c r="E12483" s="733"/>
    </row>
    <row r="12484" spans="2:5">
      <c r="B12484" s="121">
        <v>1073</v>
      </c>
      <c r="C12484" s="121">
        <v>3</v>
      </c>
      <c r="D12484" s="734">
        <v>121.01818517653668</v>
      </c>
      <c r="E12484" s="733"/>
    </row>
    <row r="12485" spans="2:5">
      <c r="B12485" s="121">
        <v>1073</v>
      </c>
      <c r="C12485" s="121">
        <v>4</v>
      </c>
      <c r="D12485" s="734">
        <v>138.56844759822249</v>
      </c>
      <c r="E12485" s="733"/>
    </row>
    <row r="12486" spans="2:5">
      <c r="B12486" s="121">
        <v>1073</v>
      </c>
      <c r="C12486" s="121">
        <v>5</v>
      </c>
      <c r="D12486" s="734">
        <v>140.73656795118083</v>
      </c>
      <c r="E12486" s="733"/>
    </row>
    <row r="12487" spans="2:5">
      <c r="B12487" s="121">
        <v>1073</v>
      </c>
      <c r="C12487" s="121">
        <v>6</v>
      </c>
      <c r="D12487" s="734">
        <v>140.7325980257601</v>
      </c>
      <c r="E12487" s="733"/>
    </row>
    <row r="12488" spans="2:5">
      <c r="B12488" s="121">
        <v>1073</v>
      </c>
      <c r="C12488" s="121">
        <v>7</v>
      </c>
      <c r="D12488" s="734">
        <v>141.51254348036269</v>
      </c>
      <c r="E12488" s="733"/>
    </row>
    <row r="12489" spans="2:5">
      <c r="B12489" s="121">
        <v>1073</v>
      </c>
      <c r="C12489" s="121">
        <v>8</v>
      </c>
      <c r="D12489" s="734">
        <v>138.5323804928226</v>
      </c>
      <c r="E12489" s="733"/>
    </row>
    <row r="12490" spans="2:5">
      <c r="B12490" s="121">
        <v>1073</v>
      </c>
      <c r="C12490" s="121">
        <v>9</v>
      </c>
      <c r="D12490" s="734">
        <v>135.58026018796423</v>
      </c>
      <c r="E12490" s="733"/>
    </row>
    <row r="12491" spans="2:5">
      <c r="B12491" s="121">
        <v>1073</v>
      </c>
      <c r="C12491" s="121">
        <v>10</v>
      </c>
      <c r="D12491" s="734">
        <v>141.31993667348075</v>
      </c>
      <c r="E12491" s="733"/>
    </row>
    <row r="12492" spans="2:5">
      <c r="B12492" s="121">
        <v>1073</v>
      </c>
      <c r="C12492" s="121">
        <v>11</v>
      </c>
      <c r="D12492" s="734">
        <v>144.22837984311084</v>
      </c>
      <c r="E12492" s="733"/>
    </row>
    <row r="12493" spans="2:5">
      <c r="B12493" s="121">
        <v>1073</v>
      </c>
      <c r="C12493" s="121">
        <v>12</v>
      </c>
      <c r="D12493" s="734">
        <v>138.90107519643047</v>
      </c>
      <c r="E12493" s="733"/>
    </row>
    <row r="12494" spans="2:5">
      <c r="B12494" s="121">
        <v>1073</v>
      </c>
      <c r="C12494" s="121">
        <v>13</v>
      </c>
      <c r="D12494" s="734">
        <v>143.27759665803336</v>
      </c>
      <c r="E12494" s="733"/>
    </row>
    <row r="12495" spans="2:5">
      <c r="B12495" s="121">
        <v>1073</v>
      </c>
      <c r="C12495" s="121">
        <v>14</v>
      </c>
      <c r="D12495" s="734">
        <v>141.47158071863757</v>
      </c>
      <c r="E12495" s="733"/>
    </row>
    <row r="12496" spans="2:5">
      <c r="B12496" s="121">
        <v>1073</v>
      </c>
      <c r="C12496" s="121">
        <v>15</v>
      </c>
      <c r="D12496" s="734">
        <v>144.08925323296739</v>
      </c>
      <c r="E12496" s="733"/>
    </row>
    <row r="12497" spans="2:5">
      <c r="B12497" s="121">
        <v>1073</v>
      </c>
      <c r="C12497" s="121">
        <v>16</v>
      </c>
      <c r="D12497" s="734">
        <v>136.05601296642558</v>
      </c>
      <c r="E12497" s="733"/>
    </row>
    <row r="12498" spans="2:5">
      <c r="B12498" s="121">
        <v>1073</v>
      </c>
      <c r="C12498" s="121">
        <v>17</v>
      </c>
      <c r="D12498" s="734">
        <v>134.58201120852135</v>
      </c>
      <c r="E12498" s="733"/>
    </row>
    <row r="12499" spans="2:5">
      <c r="B12499" s="121">
        <v>1073</v>
      </c>
      <c r="C12499" s="121">
        <v>18</v>
      </c>
      <c r="D12499" s="734">
        <v>133.66008610975621</v>
      </c>
      <c r="E12499" s="733"/>
    </row>
    <row r="12500" spans="2:5">
      <c r="B12500" s="121">
        <v>1073</v>
      </c>
      <c r="C12500" s="121">
        <v>19</v>
      </c>
      <c r="D12500" s="734">
        <v>142.66241989530002</v>
      </c>
      <c r="E12500" s="733"/>
    </row>
    <row r="12501" spans="2:5">
      <c r="B12501" s="121">
        <v>1073</v>
      </c>
      <c r="C12501" s="121">
        <v>20</v>
      </c>
      <c r="D12501" s="734">
        <v>135.7002703341995</v>
      </c>
      <c r="E12501" s="733"/>
    </row>
    <row r="12502" spans="2:5">
      <c r="B12502" s="121">
        <v>1073</v>
      </c>
      <c r="C12502" s="121">
        <v>21</v>
      </c>
      <c r="D12502" s="734">
        <v>145.21721508397036</v>
      </c>
      <c r="E12502" s="733"/>
    </row>
    <row r="12503" spans="2:5">
      <c r="B12503" s="121">
        <v>1073</v>
      </c>
      <c r="C12503" s="121">
        <v>22</v>
      </c>
      <c r="D12503" s="734">
        <v>146.53163328734209</v>
      </c>
      <c r="E12503" s="733"/>
    </row>
    <row r="12504" spans="2:5">
      <c r="B12504" s="121">
        <v>1073</v>
      </c>
      <c r="C12504" s="121">
        <v>23</v>
      </c>
      <c r="D12504" s="734">
        <v>134.99964507131509</v>
      </c>
      <c r="E12504" s="733"/>
    </row>
    <row r="12505" spans="2:5">
      <c r="B12505" s="121">
        <v>1073</v>
      </c>
      <c r="C12505" s="121">
        <v>24</v>
      </c>
      <c r="D12505" s="734">
        <v>143.28133060970029</v>
      </c>
      <c r="E12505" s="733"/>
    </row>
    <row r="12506" spans="2:5">
      <c r="B12506" s="121">
        <v>1073</v>
      </c>
      <c r="C12506" s="121">
        <v>25</v>
      </c>
      <c r="D12506" s="734">
        <v>140.69498661043247</v>
      </c>
      <c r="E12506" s="733"/>
    </row>
    <row r="12507" spans="2:5">
      <c r="B12507" s="121">
        <v>1073</v>
      </c>
      <c r="C12507" s="121">
        <v>26</v>
      </c>
      <c r="D12507" s="734">
        <v>136.66525737598121</v>
      </c>
      <c r="E12507" s="733"/>
    </row>
    <row r="12508" spans="2:5">
      <c r="B12508" s="121">
        <v>1073</v>
      </c>
      <c r="C12508" s="121">
        <v>27</v>
      </c>
      <c r="D12508" s="734">
        <v>143.89597212073528</v>
      </c>
      <c r="E12508" s="733"/>
    </row>
    <row r="12509" spans="2:5">
      <c r="B12509" s="121">
        <v>1073</v>
      </c>
      <c r="C12509" s="121">
        <v>28</v>
      </c>
      <c r="D12509" s="734">
        <v>138.44446047851315</v>
      </c>
      <c r="E12509" s="733"/>
    </row>
    <row r="12510" spans="2:5">
      <c r="B12510" s="121">
        <v>1073</v>
      </c>
      <c r="C12510" s="121">
        <v>29</v>
      </c>
      <c r="D12510" s="734">
        <v>144.60920766431971</v>
      </c>
      <c r="E12510" s="733"/>
    </row>
    <row r="12511" spans="2:5">
      <c r="B12511" s="121">
        <v>1073</v>
      </c>
      <c r="C12511" s="121">
        <v>30</v>
      </c>
      <c r="D12511" s="734">
        <v>141.83465368132994</v>
      </c>
      <c r="E12511" s="733"/>
    </row>
    <row r="12512" spans="2:5">
      <c r="B12512" s="121">
        <v>1073</v>
      </c>
      <c r="C12512" s="121">
        <v>31</v>
      </c>
      <c r="D12512" s="734">
        <v>143.42028233278538</v>
      </c>
      <c r="E12512" s="733"/>
    </row>
    <row r="12513" spans="2:5">
      <c r="B12513" s="121">
        <v>1073</v>
      </c>
      <c r="C12513" s="121">
        <v>32</v>
      </c>
      <c r="D12513" s="734">
        <v>135.35048402287057</v>
      </c>
      <c r="E12513" s="733"/>
    </row>
    <row r="12514" spans="2:5">
      <c r="B12514" s="121">
        <v>1073</v>
      </c>
      <c r="C12514" s="121">
        <v>33</v>
      </c>
      <c r="D12514" s="734">
        <v>146.34069777470151</v>
      </c>
      <c r="E12514" s="733"/>
    </row>
    <row r="12515" spans="2:5">
      <c r="B12515" s="121">
        <v>1073</v>
      </c>
      <c r="C12515" s="121">
        <v>34</v>
      </c>
      <c r="D12515" s="734">
        <v>145.79524109860063</v>
      </c>
      <c r="E12515" s="733"/>
    </row>
    <row r="12516" spans="2:5">
      <c r="B12516" s="121">
        <v>1073</v>
      </c>
      <c r="C12516" s="121">
        <v>35</v>
      </c>
      <c r="D12516" s="734">
        <v>142.09343955836684</v>
      </c>
      <c r="E12516" s="733"/>
    </row>
    <row r="12517" spans="2:5">
      <c r="B12517" s="121">
        <v>1073</v>
      </c>
      <c r="C12517" s="121">
        <v>36</v>
      </c>
      <c r="D12517" s="734">
        <v>137.75633763570821</v>
      </c>
      <c r="E12517" s="733"/>
    </row>
    <row r="12518" spans="2:5">
      <c r="B12518" s="121">
        <v>1074</v>
      </c>
      <c r="C12518" s="121">
        <v>1</v>
      </c>
      <c r="D12518" s="734">
        <v>5</v>
      </c>
      <c r="E12518" s="733"/>
    </row>
    <row r="12519" spans="2:5">
      <c r="B12519" s="121">
        <v>1074</v>
      </c>
      <c r="C12519" s="121">
        <v>2</v>
      </c>
      <c r="D12519" s="734">
        <v>99.831436205072407</v>
      </c>
      <c r="E12519" s="733"/>
    </row>
    <row r="12520" spans="2:5">
      <c r="B12520" s="121">
        <v>1074</v>
      </c>
      <c r="C12520" s="121">
        <v>3</v>
      </c>
      <c r="D12520" s="734">
        <v>117.93705808575832</v>
      </c>
      <c r="E12520" s="733"/>
    </row>
    <row r="12521" spans="2:5">
      <c r="B12521" s="121">
        <v>1074</v>
      </c>
      <c r="C12521" s="121">
        <v>4</v>
      </c>
      <c r="D12521" s="734">
        <v>145.800298992173</v>
      </c>
      <c r="E12521" s="733"/>
    </row>
    <row r="12522" spans="2:5">
      <c r="B12522" s="121">
        <v>1074</v>
      </c>
      <c r="C12522" s="121">
        <v>5</v>
      </c>
      <c r="D12522" s="734">
        <v>143.06753581352487</v>
      </c>
      <c r="E12522" s="733"/>
    </row>
    <row r="12523" spans="2:5">
      <c r="B12523" s="121">
        <v>1074</v>
      </c>
      <c r="C12523" s="121">
        <v>6</v>
      </c>
      <c r="D12523" s="734">
        <v>139.66193919362425</v>
      </c>
      <c r="E12523" s="733"/>
    </row>
    <row r="12524" spans="2:5">
      <c r="B12524" s="121">
        <v>1074</v>
      </c>
      <c r="C12524" s="121">
        <v>7</v>
      </c>
      <c r="D12524" s="734">
        <v>144.81543850337349</v>
      </c>
      <c r="E12524" s="733"/>
    </row>
    <row r="12525" spans="2:5">
      <c r="B12525" s="121">
        <v>1075</v>
      </c>
      <c r="C12525" s="121">
        <v>1</v>
      </c>
      <c r="D12525" s="734">
        <v>5</v>
      </c>
      <c r="E12525" s="733"/>
    </row>
    <row r="12526" spans="2:5">
      <c r="B12526" s="121">
        <v>1076</v>
      </c>
      <c r="C12526" s="121">
        <v>1</v>
      </c>
      <c r="D12526" s="734">
        <v>5</v>
      </c>
      <c r="E12526" s="733"/>
    </row>
    <row r="12527" spans="2:5">
      <c r="B12527" s="121">
        <v>1077</v>
      </c>
      <c r="C12527" s="121">
        <v>1</v>
      </c>
      <c r="D12527" s="734">
        <v>5</v>
      </c>
      <c r="E12527" s="733"/>
    </row>
    <row r="12528" spans="2:5">
      <c r="B12528" s="121">
        <v>1077</v>
      </c>
      <c r="C12528" s="121">
        <v>2</v>
      </c>
      <c r="D12528" s="734">
        <v>96.883528980744018</v>
      </c>
      <c r="E12528" s="733"/>
    </row>
    <row r="12529" spans="2:5">
      <c r="B12529" s="121">
        <v>1077</v>
      </c>
      <c r="C12529" s="121">
        <v>3</v>
      </c>
      <c r="D12529" s="734">
        <v>116.76957420478088</v>
      </c>
      <c r="E12529" s="733"/>
    </row>
    <row r="12530" spans="2:5">
      <c r="B12530" s="121">
        <v>1077</v>
      </c>
      <c r="C12530" s="121">
        <v>4</v>
      </c>
      <c r="D12530" s="734">
        <v>145.28321261714021</v>
      </c>
      <c r="E12530" s="733"/>
    </row>
    <row r="12531" spans="2:5">
      <c r="B12531" s="121">
        <v>1077</v>
      </c>
      <c r="C12531" s="121">
        <v>5</v>
      </c>
      <c r="D12531" s="734">
        <v>142.29611090247462</v>
      </c>
      <c r="E12531" s="733"/>
    </row>
    <row r="12532" spans="2:5">
      <c r="B12532" s="121">
        <v>1077</v>
      </c>
      <c r="C12532" s="121">
        <v>6</v>
      </c>
      <c r="D12532" s="734">
        <v>139.43464073463076</v>
      </c>
      <c r="E12532" s="733"/>
    </row>
    <row r="12533" spans="2:5">
      <c r="B12533" s="121">
        <v>1077</v>
      </c>
      <c r="C12533" s="121">
        <v>7</v>
      </c>
      <c r="D12533" s="734">
        <v>141.51503488275617</v>
      </c>
      <c r="E12533" s="733"/>
    </row>
    <row r="12534" spans="2:5">
      <c r="B12534" s="121">
        <v>1077</v>
      </c>
      <c r="C12534" s="121">
        <v>8</v>
      </c>
      <c r="D12534" s="734">
        <v>145.65806538620598</v>
      </c>
      <c r="E12534" s="733"/>
    </row>
    <row r="12535" spans="2:5">
      <c r="B12535" s="121">
        <v>1077</v>
      </c>
      <c r="C12535" s="121">
        <v>9</v>
      </c>
      <c r="D12535" s="734">
        <v>134.03373892598194</v>
      </c>
      <c r="E12535" s="733"/>
    </row>
    <row r="12536" spans="2:5">
      <c r="B12536" s="121">
        <v>1077</v>
      </c>
      <c r="C12536" s="121">
        <v>10</v>
      </c>
      <c r="D12536" s="734">
        <v>135.67591300982153</v>
      </c>
      <c r="E12536" s="733"/>
    </row>
    <row r="12537" spans="2:5">
      <c r="B12537" s="121">
        <v>1077</v>
      </c>
      <c r="C12537" s="121">
        <v>11</v>
      </c>
      <c r="D12537" s="734">
        <v>137.75209124865168</v>
      </c>
      <c r="E12537" s="733"/>
    </row>
    <row r="12538" spans="2:5">
      <c r="B12538" s="121">
        <v>1077</v>
      </c>
      <c r="C12538" s="121">
        <v>12</v>
      </c>
      <c r="D12538" s="734">
        <v>139.89361306281273</v>
      </c>
      <c r="E12538" s="733"/>
    </row>
    <row r="12539" spans="2:5">
      <c r="B12539" s="121">
        <v>1077</v>
      </c>
      <c r="C12539" s="121">
        <v>13</v>
      </c>
      <c r="D12539" s="734">
        <v>136.01427507834421</v>
      </c>
      <c r="E12539" s="733"/>
    </row>
    <row r="12540" spans="2:5">
      <c r="B12540" s="121">
        <v>1077</v>
      </c>
      <c r="C12540" s="121">
        <v>14</v>
      </c>
      <c r="D12540" s="734">
        <v>145.76400996756294</v>
      </c>
      <c r="E12540" s="733"/>
    </row>
    <row r="12541" spans="2:5">
      <c r="B12541" s="121">
        <v>1077</v>
      </c>
      <c r="C12541" s="121">
        <v>15</v>
      </c>
      <c r="D12541" s="734">
        <v>135.30875320046772</v>
      </c>
      <c r="E12541" s="733"/>
    </row>
    <row r="12542" spans="2:5">
      <c r="B12542" s="121">
        <v>1077</v>
      </c>
      <c r="C12542" s="121">
        <v>16</v>
      </c>
      <c r="D12542" s="734">
        <v>135.4485811709383</v>
      </c>
      <c r="E12542" s="733"/>
    </row>
    <row r="12543" spans="2:5">
      <c r="B12543" s="121">
        <v>1077</v>
      </c>
      <c r="C12543" s="121">
        <v>17</v>
      </c>
      <c r="D12543" s="734">
        <v>144.53220828148386</v>
      </c>
      <c r="E12543" s="733"/>
    </row>
    <row r="12544" spans="2:5">
      <c r="B12544" s="121">
        <v>1077</v>
      </c>
      <c r="C12544" s="121">
        <v>18</v>
      </c>
      <c r="D12544" s="734">
        <v>137.92747924617777</v>
      </c>
      <c r="E12544" s="733"/>
    </row>
    <row r="12545" spans="2:5">
      <c r="B12545" s="121">
        <v>1077</v>
      </c>
      <c r="C12545" s="121">
        <v>19</v>
      </c>
      <c r="D12545" s="734">
        <v>144.02496088308786</v>
      </c>
      <c r="E12545" s="733"/>
    </row>
    <row r="12546" spans="2:5">
      <c r="B12546" s="121">
        <v>1077</v>
      </c>
      <c r="C12546" s="121">
        <v>20</v>
      </c>
      <c r="D12546" s="734">
        <v>139.75407614095272</v>
      </c>
      <c r="E12546" s="733"/>
    </row>
    <row r="12547" spans="2:5">
      <c r="B12547" s="121">
        <v>1077</v>
      </c>
      <c r="C12547" s="121">
        <v>21</v>
      </c>
      <c r="D12547" s="734">
        <v>145.2354830286402</v>
      </c>
      <c r="E12547" s="733"/>
    </row>
    <row r="12548" spans="2:5">
      <c r="B12548" s="121">
        <v>1077</v>
      </c>
      <c r="C12548" s="121">
        <v>22</v>
      </c>
      <c r="D12548" s="734">
        <v>140.89327840137327</v>
      </c>
      <c r="E12548" s="733"/>
    </row>
    <row r="12549" spans="2:5">
      <c r="B12549" s="121">
        <v>1077</v>
      </c>
      <c r="C12549" s="121">
        <v>23</v>
      </c>
      <c r="D12549" s="734">
        <v>138.69510687925947</v>
      </c>
      <c r="E12549" s="733"/>
    </row>
    <row r="12550" spans="2:5">
      <c r="B12550" s="121">
        <v>1077</v>
      </c>
      <c r="C12550" s="121">
        <v>24</v>
      </c>
      <c r="D12550" s="734">
        <v>134.69698245266807</v>
      </c>
      <c r="E12550" s="733"/>
    </row>
    <row r="12551" spans="2:5">
      <c r="B12551" s="121">
        <v>1077</v>
      </c>
      <c r="C12551" s="121">
        <v>25</v>
      </c>
      <c r="D12551" s="734">
        <v>137.68305804139541</v>
      </c>
      <c r="E12551" s="733"/>
    </row>
    <row r="12552" spans="2:5">
      <c r="B12552" s="121">
        <v>1077</v>
      </c>
      <c r="C12552" s="121">
        <v>26</v>
      </c>
      <c r="D12552" s="734">
        <v>137.40675700664079</v>
      </c>
      <c r="E12552" s="733"/>
    </row>
    <row r="12553" spans="2:5">
      <c r="B12553" s="121">
        <v>1078</v>
      </c>
      <c r="C12553" s="121">
        <v>1</v>
      </c>
      <c r="D12553" s="734">
        <v>5</v>
      </c>
      <c r="E12553" s="733"/>
    </row>
    <row r="12554" spans="2:5">
      <c r="B12554" s="121">
        <v>1078</v>
      </c>
      <c r="C12554" s="121">
        <v>2</v>
      </c>
      <c r="D12554" s="734">
        <v>100.00686035581374</v>
      </c>
      <c r="E12554" s="733"/>
    </row>
    <row r="12555" spans="2:5">
      <c r="B12555" s="121">
        <v>1079</v>
      </c>
      <c r="C12555" s="121">
        <v>1</v>
      </c>
      <c r="D12555" s="734">
        <v>5</v>
      </c>
      <c r="E12555" s="733"/>
    </row>
    <row r="12556" spans="2:5">
      <c r="B12556" s="121">
        <v>1079</v>
      </c>
      <c r="C12556" s="121">
        <v>2</v>
      </c>
      <c r="D12556" s="734">
        <v>100.98572835448</v>
      </c>
      <c r="E12556" s="733"/>
    </row>
    <row r="12557" spans="2:5">
      <c r="B12557" s="121">
        <v>1079</v>
      </c>
      <c r="C12557" s="121">
        <v>3</v>
      </c>
      <c r="D12557" s="734">
        <v>123.63957099235425</v>
      </c>
      <c r="E12557" s="733"/>
    </row>
    <row r="12558" spans="2:5">
      <c r="B12558" s="121">
        <v>1079</v>
      </c>
      <c r="C12558" s="121">
        <v>4</v>
      </c>
      <c r="D12558" s="734">
        <v>143.67048893921881</v>
      </c>
      <c r="E12558" s="733"/>
    </row>
    <row r="12559" spans="2:5">
      <c r="B12559" s="121">
        <v>1079</v>
      </c>
      <c r="C12559" s="121">
        <v>5</v>
      </c>
      <c r="D12559" s="734">
        <v>138.83127989464336</v>
      </c>
      <c r="E12559" s="733"/>
    </row>
    <row r="12560" spans="2:5">
      <c r="B12560" s="121">
        <v>1079</v>
      </c>
      <c r="C12560" s="121">
        <v>6</v>
      </c>
      <c r="D12560" s="734">
        <v>143.5740375120898</v>
      </c>
      <c r="E12560" s="733"/>
    </row>
    <row r="12561" spans="2:5">
      <c r="B12561" s="121">
        <v>1079</v>
      </c>
      <c r="C12561" s="121">
        <v>7</v>
      </c>
      <c r="D12561" s="734">
        <v>137.32964008972348</v>
      </c>
      <c r="E12561" s="733"/>
    </row>
    <row r="12562" spans="2:5">
      <c r="B12562" s="121">
        <v>1079</v>
      </c>
      <c r="C12562" s="121">
        <v>8</v>
      </c>
      <c r="D12562" s="734">
        <v>144.7485464983622</v>
      </c>
      <c r="E12562" s="733"/>
    </row>
    <row r="12563" spans="2:5">
      <c r="B12563" s="121">
        <v>1079</v>
      </c>
      <c r="C12563" s="121">
        <v>9</v>
      </c>
      <c r="D12563" s="734">
        <v>141.77248275402522</v>
      </c>
      <c r="E12563" s="733"/>
    </row>
    <row r="12564" spans="2:5">
      <c r="B12564" s="121">
        <v>1079</v>
      </c>
      <c r="C12564" s="121">
        <v>10</v>
      </c>
      <c r="D12564" s="734">
        <v>134.45888007500565</v>
      </c>
      <c r="E12564" s="733"/>
    </row>
    <row r="12565" spans="2:5">
      <c r="B12565" s="121">
        <v>1079</v>
      </c>
      <c r="C12565" s="121">
        <v>11</v>
      </c>
      <c r="D12565" s="734">
        <v>142.74532642924913</v>
      </c>
      <c r="E12565" s="733"/>
    </row>
    <row r="12566" spans="2:5">
      <c r="B12566" s="121">
        <v>1079</v>
      </c>
      <c r="C12566" s="121">
        <v>12</v>
      </c>
      <c r="D12566" s="734">
        <v>144.93724795083648</v>
      </c>
      <c r="E12566" s="733"/>
    </row>
    <row r="12567" spans="2:5">
      <c r="B12567" s="121">
        <v>1079</v>
      </c>
      <c r="C12567" s="121">
        <v>13</v>
      </c>
      <c r="D12567" s="734">
        <v>135.85737620572476</v>
      </c>
      <c r="E12567" s="733"/>
    </row>
    <row r="12568" spans="2:5">
      <c r="B12568" s="121">
        <v>1079</v>
      </c>
      <c r="C12568" s="121">
        <v>14</v>
      </c>
      <c r="D12568" s="734">
        <v>143.07414181092992</v>
      </c>
      <c r="E12568" s="733"/>
    </row>
    <row r="12569" spans="2:5">
      <c r="B12569" s="121">
        <v>1079</v>
      </c>
      <c r="C12569" s="121">
        <v>15</v>
      </c>
      <c r="D12569" s="734">
        <v>134.73135142850435</v>
      </c>
      <c r="E12569" s="733"/>
    </row>
    <row r="12570" spans="2:5">
      <c r="B12570" s="121">
        <v>1079</v>
      </c>
      <c r="C12570" s="121">
        <v>16</v>
      </c>
      <c r="D12570" s="734">
        <v>140.28459372286096</v>
      </c>
      <c r="E12570" s="733"/>
    </row>
    <row r="12571" spans="2:5">
      <c r="B12571" s="121">
        <v>1079</v>
      </c>
      <c r="C12571" s="121">
        <v>17</v>
      </c>
      <c r="D12571" s="734">
        <v>141.33962507272003</v>
      </c>
      <c r="E12571" s="733"/>
    </row>
    <row r="12572" spans="2:5">
      <c r="B12572" s="121">
        <v>1079</v>
      </c>
      <c r="C12572" s="121">
        <v>18</v>
      </c>
      <c r="D12572" s="734">
        <v>147.00669529006197</v>
      </c>
      <c r="E12572" s="733"/>
    </row>
    <row r="12573" spans="2:5">
      <c r="B12573" s="121">
        <v>1079</v>
      </c>
      <c r="C12573" s="121">
        <v>19</v>
      </c>
      <c r="D12573" s="734">
        <v>135.76727740712752</v>
      </c>
      <c r="E12573" s="733"/>
    </row>
    <row r="12574" spans="2:5">
      <c r="B12574" s="121">
        <v>1079</v>
      </c>
      <c r="C12574" s="121">
        <v>20</v>
      </c>
      <c r="D12574" s="734">
        <v>136.64654034557668</v>
      </c>
      <c r="E12574" s="733"/>
    </row>
    <row r="12575" spans="2:5">
      <c r="B12575" s="121">
        <v>1079</v>
      </c>
      <c r="C12575" s="121">
        <v>21</v>
      </c>
      <c r="D12575" s="734">
        <v>141.39350847077034</v>
      </c>
      <c r="E12575" s="733"/>
    </row>
    <row r="12576" spans="2:5">
      <c r="B12576" s="121">
        <v>1079</v>
      </c>
      <c r="C12576" s="121">
        <v>22</v>
      </c>
      <c r="D12576" s="734">
        <v>145.62990898492421</v>
      </c>
      <c r="E12576" s="733"/>
    </row>
    <row r="12577" spans="2:5">
      <c r="B12577" s="121">
        <v>1079</v>
      </c>
      <c r="C12577" s="121">
        <v>23</v>
      </c>
      <c r="D12577" s="734">
        <v>137.00292716959524</v>
      </c>
      <c r="E12577" s="733"/>
    </row>
    <row r="12578" spans="2:5">
      <c r="B12578" s="121">
        <v>1079</v>
      </c>
      <c r="C12578" s="121">
        <v>24</v>
      </c>
      <c r="D12578" s="734">
        <v>134.28893713141983</v>
      </c>
      <c r="E12578" s="733"/>
    </row>
    <row r="12579" spans="2:5">
      <c r="B12579" s="121">
        <v>1079</v>
      </c>
      <c r="C12579" s="121">
        <v>25</v>
      </c>
      <c r="D12579" s="734">
        <v>139.87178195761217</v>
      </c>
      <c r="E12579" s="733"/>
    </row>
    <row r="12580" spans="2:5">
      <c r="B12580" s="121">
        <v>1079</v>
      </c>
      <c r="C12580" s="121">
        <v>26</v>
      </c>
      <c r="D12580" s="734">
        <v>145.98747206727057</v>
      </c>
      <c r="E12580" s="733"/>
    </row>
    <row r="12581" spans="2:5">
      <c r="B12581" s="121">
        <v>1079</v>
      </c>
      <c r="C12581" s="121">
        <v>27</v>
      </c>
      <c r="D12581" s="734">
        <v>137.24712768544236</v>
      </c>
      <c r="E12581" s="733"/>
    </row>
    <row r="12582" spans="2:5">
      <c r="B12582" s="121">
        <v>1080</v>
      </c>
      <c r="C12582" s="121">
        <v>1</v>
      </c>
      <c r="D12582" s="734">
        <v>5</v>
      </c>
      <c r="E12582" s="733"/>
    </row>
    <row r="12583" spans="2:5">
      <c r="B12583" s="121">
        <v>1080</v>
      </c>
      <c r="C12583" s="121">
        <v>2</v>
      </c>
      <c r="D12583" s="734">
        <v>96.014056781658539</v>
      </c>
      <c r="E12583" s="733"/>
    </row>
    <row r="12584" spans="2:5">
      <c r="B12584" s="121">
        <v>1080</v>
      </c>
      <c r="C12584" s="121">
        <v>3</v>
      </c>
      <c r="D12584" s="734">
        <v>116.85844994214197</v>
      </c>
      <c r="E12584" s="733"/>
    </row>
    <row r="12585" spans="2:5">
      <c r="B12585" s="121">
        <v>1080</v>
      </c>
      <c r="C12585" s="121">
        <v>4</v>
      </c>
      <c r="D12585" s="734">
        <v>142.92309214161926</v>
      </c>
      <c r="E12585" s="733"/>
    </row>
    <row r="12586" spans="2:5">
      <c r="B12586" s="121">
        <v>1080</v>
      </c>
      <c r="C12586" s="121">
        <v>5</v>
      </c>
      <c r="D12586" s="734">
        <v>142.50274679275918</v>
      </c>
      <c r="E12586" s="733"/>
    </row>
    <row r="12587" spans="2:5">
      <c r="B12587" s="121">
        <v>1080</v>
      </c>
      <c r="C12587" s="121">
        <v>6</v>
      </c>
      <c r="D12587" s="734">
        <v>138.72482990764399</v>
      </c>
      <c r="E12587" s="733"/>
    </row>
    <row r="12588" spans="2:5">
      <c r="B12588" s="121">
        <v>1080</v>
      </c>
      <c r="C12588" s="121">
        <v>7</v>
      </c>
      <c r="D12588" s="734">
        <v>134.61483845806495</v>
      </c>
      <c r="E12588" s="733"/>
    </row>
    <row r="12589" spans="2:5">
      <c r="B12589" s="121">
        <v>1080</v>
      </c>
      <c r="C12589" s="121">
        <v>8</v>
      </c>
      <c r="D12589" s="734">
        <v>142.77236971937123</v>
      </c>
      <c r="E12589" s="733"/>
    </row>
    <row r="12590" spans="2:5">
      <c r="B12590" s="121">
        <v>1080</v>
      </c>
      <c r="C12590" s="121">
        <v>9</v>
      </c>
      <c r="D12590" s="734">
        <v>141.80717204035949</v>
      </c>
      <c r="E12590" s="733"/>
    </row>
    <row r="12591" spans="2:5">
      <c r="B12591" s="121">
        <v>1080</v>
      </c>
      <c r="C12591" s="121">
        <v>10</v>
      </c>
      <c r="D12591" s="734">
        <v>138.87508847284593</v>
      </c>
      <c r="E12591" s="733"/>
    </row>
    <row r="12592" spans="2:5">
      <c r="B12592" s="121">
        <v>1080</v>
      </c>
      <c r="C12592" s="121">
        <v>11</v>
      </c>
      <c r="D12592" s="734">
        <v>139.7411959626892</v>
      </c>
      <c r="E12592" s="733"/>
    </row>
    <row r="12593" spans="2:5">
      <c r="B12593" s="121">
        <v>1080</v>
      </c>
      <c r="C12593" s="121">
        <v>12</v>
      </c>
      <c r="D12593" s="734">
        <v>139.66724618548506</v>
      </c>
      <c r="E12593" s="733"/>
    </row>
    <row r="12594" spans="2:5">
      <c r="B12594" s="121">
        <v>1080</v>
      </c>
      <c r="C12594" s="121">
        <v>13</v>
      </c>
      <c r="D12594" s="734">
        <v>140.20769040928823</v>
      </c>
      <c r="E12594" s="733"/>
    </row>
    <row r="12595" spans="2:5">
      <c r="B12595" s="121">
        <v>1080</v>
      </c>
      <c r="C12595" s="121">
        <v>14</v>
      </c>
      <c r="D12595" s="734">
        <v>136.57311093489631</v>
      </c>
      <c r="E12595" s="733"/>
    </row>
    <row r="12596" spans="2:5">
      <c r="B12596" s="121">
        <v>1080</v>
      </c>
      <c r="C12596" s="121">
        <v>15</v>
      </c>
      <c r="D12596" s="734">
        <v>134.932190809085</v>
      </c>
      <c r="E12596" s="733"/>
    </row>
    <row r="12597" spans="2:5">
      <c r="B12597" s="121">
        <v>1080</v>
      </c>
      <c r="C12597" s="121">
        <v>16</v>
      </c>
      <c r="D12597" s="734">
        <v>143.67241814964891</v>
      </c>
      <c r="E12597" s="733"/>
    </row>
    <row r="12598" spans="2:5">
      <c r="B12598" s="121">
        <v>1080</v>
      </c>
      <c r="C12598" s="121">
        <v>17</v>
      </c>
      <c r="D12598" s="734">
        <v>135.53827000482352</v>
      </c>
      <c r="E12598" s="733"/>
    </row>
    <row r="12599" spans="2:5">
      <c r="B12599" s="121">
        <v>1080</v>
      </c>
      <c r="C12599" s="121">
        <v>18</v>
      </c>
      <c r="D12599" s="734">
        <v>145.55437619857642</v>
      </c>
      <c r="E12599" s="733"/>
    </row>
    <row r="12600" spans="2:5">
      <c r="B12600" s="121">
        <v>1080</v>
      </c>
      <c r="C12600" s="121">
        <v>19</v>
      </c>
      <c r="D12600" s="734">
        <v>137.01742742996518</v>
      </c>
      <c r="E12600" s="733"/>
    </row>
    <row r="12601" spans="2:5">
      <c r="B12601" s="121">
        <v>1081</v>
      </c>
      <c r="C12601" s="121">
        <v>1</v>
      </c>
      <c r="D12601" s="734">
        <v>5</v>
      </c>
      <c r="E12601" s="733"/>
    </row>
    <row r="12602" spans="2:5">
      <c r="B12602" s="121">
        <v>1081</v>
      </c>
      <c r="C12602" s="121">
        <v>2</v>
      </c>
      <c r="D12602" s="734">
        <v>101.66151505652459</v>
      </c>
      <c r="E12602" s="733"/>
    </row>
    <row r="12603" spans="2:5">
      <c r="B12603" s="121">
        <v>1081</v>
      </c>
      <c r="C12603" s="121">
        <v>3</v>
      </c>
      <c r="D12603" s="734">
        <v>115.68247390013134</v>
      </c>
      <c r="E12603" s="733"/>
    </row>
    <row r="12604" spans="2:5">
      <c r="B12604" s="121">
        <v>1081</v>
      </c>
      <c r="C12604" s="121">
        <v>4</v>
      </c>
      <c r="D12604" s="734">
        <v>146.04981444151139</v>
      </c>
      <c r="E12604" s="733"/>
    </row>
    <row r="12605" spans="2:5">
      <c r="B12605" s="121">
        <v>1081</v>
      </c>
      <c r="C12605" s="121">
        <v>5</v>
      </c>
      <c r="D12605" s="734">
        <v>142.5034912094782</v>
      </c>
      <c r="E12605" s="733"/>
    </row>
    <row r="12606" spans="2:5">
      <c r="B12606" s="121">
        <v>1081</v>
      </c>
      <c r="C12606" s="121">
        <v>6</v>
      </c>
      <c r="D12606" s="734">
        <v>134.81569907483288</v>
      </c>
      <c r="E12606" s="733"/>
    </row>
    <row r="12607" spans="2:5">
      <c r="B12607" s="121">
        <v>1081</v>
      </c>
      <c r="C12607" s="121">
        <v>7</v>
      </c>
      <c r="D12607" s="734">
        <v>146.94808669887726</v>
      </c>
      <c r="E12607" s="733"/>
    </row>
    <row r="12608" spans="2:5">
      <c r="B12608" s="121">
        <v>1081</v>
      </c>
      <c r="C12608" s="121">
        <v>8</v>
      </c>
      <c r="D12608" s="734">
        <v>141.50417514695062</v>
      </c>
      <c r="E12608" s="733"/>
    </row>
    <row r="12609" spans="2:5">
      <c r="B12609" s="121">
        <v>1081</v>
      </c>
      <c r="C12609" s="121">
        <v>9</v>
      </c>
      <c r="D12609" s="734">
        <v>140.5749533237119</v>
      </c>
      <c r="E12609" s="733"/>
    </row>
    <row r="12610" spans="2:5">
      <c r="B12610" s="121">
        <v>1081</v>
      </c>
      <c r="C12610" s="121">
        <v>10</v>
      </c>
      <c r="D12610" s="734">
        <v>137.6308109369721</v>
      </c>
      <c r="E12610" s="733"/>
    </row>
    <row r="12611" spans="2:5">
      <c r="B12611" s="121">
        <v>1081</v>
      </c>
      <c r="C12611" s="121">
        <v>11</v>
      </c>
      <c r="D12611" s="734">
        <v>135.72414179031244</v>
      </c>
      <c r="E12611" s="733"/>
    </row>
    <row r="12612" spans="2:5">
      <c r="B12612" s="121">
        <v>1081</v>
      </c>
      <c r="C12612" s="121">
        <v>12</v>
      </c>
      <c r="D12612" s="734">
        <v>145.51662124954021</v>
      </c>
      <c r="E12612" s="733"/>
    </row>
    <row r="12613" spans="2:5">
      <c r="B12613" s="121">
        <v>1081</v>
      </c>
      <c r="C12613" s="121">
        <v>13</v>
      </c>
      <c r="D12613" s="734">
        <v>139.91826920759709</v>
      </c>
      <c r="E12613" s="733"/>
    </row>
    <row r="12614" spans="2:5">
      <c r="B12614" s="121">
        <v>1081</v>
      </c>
      <c r="C12614" s="121">
        <v>14</v>
      </c>
      <c r="D12614" s="734">
        <v>140.9387737320036</v>
      </c>
      <c r="E12614" s="733"/>
    </row>
    <row r="12615" spans="2:5">
      <c r="B12615" s="121">
        <v>1081</v>
      </c>
      <c r="C12615" s="121">
        <v>15</v>
      </c>
      <c r="D12615" s="734">
        <v>146.80541485866542</v>
      </c>
      <c r="E12615" s="733"/>
    </row>
    <row r="12616" spans="2:5">
      <c r="B12616" s="121">
        <v>1082</v>
      </c>
      <c r="C12616" s="121">
        <v>1</v>
      </c>
      <c r="D12616" s="734">
        <v>5</v>
      </c>
      <c r="E12616" s="733"/>
    </row>
    <row r="12617" spans="2:5">
      <c r="B12617" s="121">
        <v>1082</v>
      </c>
      <c r="C12617" s="121">
        <v>2</v>
      </c>
      <c r="D12617" s="734">
        <v>102.69271109794759</v>
      </c>
      <c r="E12617" s="733"/>
    </row>
    <row r="12618" spans="2:5">
      <c r="B12618" s="121">
        <v>1082</v>
      </c>
      <c r="C12618" s="121">
        <v>3</v>
      </c>
      <c r="D12618" s="734">
        <v>116.02220877727211</v>
      </c>
      <c r="E12618" s="733"/>
    </row>
    <row r="12619" spans="2:5">
      <c r="B12619" s="121">
        <v>1082</v>
      </c>
      <c r="C12619" s="121">
        <v>4</v>
      </c>
      <c r="D12619" s="734">
        <v>139.49618569451897</v>
      </c>
      <c r="E12619" s="733"/>
    </row>
    <row r="12620" spans="2:5">
      <c r="B12620" s="121">
        <v>1082</v>
      </c>
      <c r="C12620" s="121">
        <v>5</v>
      </c>
      <c r="D12620" s="734">
        <v>140.45370976906</v>
      </c>
      <c r="E12620" s="733"/>
    </row>
    <row r="12621" spans="2:5">
      <c r="B12621" s="121">
        <v>1082</v>
      </c>
      <c r="C12621" s="121">
        <v>6</v>
      </c>
      <c r="D12621" s="734">
        <v>138.86954596231359</v>
      </c>
      <c r="E12621" s="733"/>
    </row>
    <row r="12622" spans="2:5">
      <c r="B12622" s="121">
        <v>1082</v>
      </c>
      <c r="C12622" s="121">
        <v>7</v>
      </c>
      <c r="D12622" s="734">
        <v>139.46280894903217</v>
      </c>
      <c r="E12622" s="733"/>
    </row>
    <row r="12623" spans="2:5">
      <c r="B12623" s="121">
        <v>1082</v>
      </c>
      <c r="C12623" s="121">
        <v>8</v>
      </c>
      <c r="D12623" s="734">
        <v>136.76286236243018</v>
      </c>
      <c r="E12623" s="733"/>
    </row>
    <row r="12624" spans="2:5">
      <c r="B12624" s="121">
        <v>1082</v>
      </c>
      <c r="C12624" s="121">
        <v>9</v>
      </c>
      <c r="D12624" s="734">
        <v>140.49611077279545</v>
      </c>
      <c r="E12624" s="733"/>
    </row>
    <row r="12625" spans="2:5">
      <c r="B12625" s="121">
        <v>1082</v>
      </c>
      <c r="C12625" s="121">
        <v>10</v>
      </c>
      <c r="D12625" s="734">
        <v>141.84927506080473</v>
      </c>
      <c r="E12625" s="733"/>
    </row>
    <row r="12626" spans="2:5">
      <c r="B12626" s="121">
        <v>1082</v>
      </c>
      <c r="C12626" s="121">
        <v>11</v>
      </c>
      <c r="D12626" s="734">
        <v>137.4495589288199</v>
      </c>
      <c r="E12626" s="733"/>
    </row>
    <row r="12627" spans="2:5">
      <c r="B12627" s="121">
        <v>1082</v>
      </c>
      <c r="C12627" s="121">
        <v>12</v>
      </c>
      <c r="D12627" s="734">
        <v>141.34479137199722</v>
      </c>
      <c r="E12627" s="733"/>
    </row>
    <row r="12628" spans="2:5">
      <c r="B12628" s="121">
        <v>1082</v>
      </c>
      <c r="C12628" s="121">
        <v>13</v>
      </c>
      <c r="D12628" s="734">
        <v>142.69453179021903</v>
      </c>
      <c r="E12628" s="733"/>
    </row>
    <row r="12629" spans="2:5">
      <c r="B12629" s="121">
        <v>1082</v>
      </c>
      <c r="C12629" s="121">
        <v>14</v>
      </c>
      <c r="D12629" s="734">
        <v>141.89842530406619</v>
      </c>
      <c r="E12629" s="733"/>
    </row>
    <row r="12630" spans="2:5">
      <c r="B12630" s="121">
        <v>1083</v>
      </c>
      <c r="C12630" s="121">
        <v>1</v>
      </c>
      <c r="D12630" s="734">
        <v>5</v>
      </c>
      <c r="E12630" s="733"/>
    </row>
    <row r="12631" spans="2:5">
      <c r="B12631" s="121">
        <v>1084</v>
      </c>
      <c r="C12631" s="121">
        <v>1</v>
      </c>
      <c r="D12631" s="734">
        <v>5</v>
      </c>
      <c r="E12631" s="733"/>
    </row>
    <row r="12632" spans="2:5">
      <c r="B12632" s="121">
        <v>1085</v>
      </c>
      <c r="C12632" s="121">
        <v>1</v>
      </c>
      <c r="D12632" s="734">
        <v>5</v>
      </c>
      <c r="E12632" s="733"/>
    </row>
    <row r="12633" spans="2:5">
      <c r="B12633" s="121">
        <v>1085</v>
      </c>
      <c r="C12633" s="121">
        <v>2</v>
      </c>
      <c r="D12633" s="734">
        <v>98.708804962354449</v>
      </c>
      <c r="E12633" s="733"/>
    </row>
    <row r="12634" spans="2:5">
      <c r="B12634" s="121">
        <v>1085</v>
      </c>
      <c r="C12634" s="121">
        <v>3</v>
      </c>
      <c r="D12634" s="734">
        <v>118.50453703169892</v>
      </c>
      <c r="E12634" s="733"/>
    </row>
    <row r="12635" spans="2:5">
      <c r="B12635" s="121">
        <v>1085</v>
      </c>
      <c r="C12635" s="121">
        <v>4</v>
      </c>
      <c r="D12635" s="734">
        <v>146.4461459950185</v>
      </c>
      <c r="E12635" s="733"/>
    </row>
    <row r="12636" spans="2:5">
      <c r="B12636" s="121">
        <v>1085</v>
      </c>
      <c r="C12636" s="121">
        <v>5</v>
      </c>
      <c r="D12636" s="734">
        <v>141.67339600299172</v>
      </c>
      <c r="E12636" s="733"/>
    </row>
    <row r="12637" spans="2:5">
      <c r="B12637" s="121">
        <v>1085</v>
      </c>
      <c r="C12637" s="121">
        <v>6</v>
      </c>
      <c r="D12637" s="734">
        <v>143.57897359627501</v>
      </c>
      <c r="E12637" s="733"/>
    </row>
    <row r="12638" spans="2:5">
      <c r="B12638" s="121">
        <v>1085</v>
      </c>
      <c r="C12638" s="121">
        <v>7</v>
      </c>
      <c r="D12638" s="734">
        <v>143.20388358172335</v>
      </c>
      <c r="E12638" s="733"/>
    </row>
    <row r="12639" spans="2:5">
      <c r="B12639" s="121">
        <v>1085</v>
      </c>
      <c r="C12639" s="121">
        <v>8</v>
      </c>
      <c r="D12639" s="734">
        <v>145.24337245201599</v>
      </c>
      <c r="E12639" s="733"/>
    </row>
    <row r="12640" spans="2:5">
      <c r="B12640" s="121">
        <v>1085</v>
      </c>
      <c r="C12640" s="121">
        <v>9</v>
      </c>
      <c r="D12640" s="734">
        <v>143.47255152096957</v>
      </c>
      <c r="E12640" s="733"/>
    </row>
    <row r="12641" spans="2:5">
      <c r="B12641" s="121">
        <v>1085</v>
      </c>
      <c r="C12641" s="121">
        <v>10</v>
      </c>
      <c r="D12641" s="734">
        <v>138.42137103983617</v>
      </c>
      <c r="E12641" s="733"/>
    </row>
    <row r="12642" spans="2:5">
      <c r="B12642" s="121">
        <v>1085</v>
      </c>
      <c r="C12642" s="121">
        <v>11</v>
      </c>
      <c r="D12642" s="734">
        <v>144.78213251775975</v>
      </c>
      <c r="E12642" s="733"/>
    </row>
    <row r="12643" spans="2:5">
      <c r="B12643" s="121">
        <v>1085</v>
      </c>
      <c r="C12643" s="121">
        <v>12</v>
      </c>
      <c r="D12643" s="734">
        <v>136.66279483758197</v>
      </c>
      <c r="E12643" s="733"/>
    </row>
    <row r="12644" spans="2:5">
      <c r="B12644" s="121">
        <v>1085</v>
      </c>
      <c r="C12644" s="121">
        <v>13</v>
      </c>
      <c r="D12644" s="734">
        <v>136.99273786895429</v>
      </c>
      <c r="E12644" s="733"/>
    </row>
    <row r="12645" spans="2:5">
      <c r="B12645" s="121">
        <v>1085</v>
      </c>
      <c r="C12645" s="121">
        <v>14</v>
      </c>
      <c r="D12645" s="734">
        <v>134.946837354617</v>
      </c>
      <c r="E12645" s="733"/>
    </row>
    <row r="12646" spans="2:5">
      <c r="B12646" s="121">
        <v>1085</v>
      </c>
      <c r="C12646" s="121">
        <v>15</v>
      </c>
      <c r="D12646" s="734">
        <v>140.32852905621459</v>
      </c>
      <c r="E12646" s="733"/>
    </row>
    <row r="12647" spans="2:5">
      <c r="B12647" s="121">
        <v>1085</v>
      </c>
      <c r="C12647" s="121">
        <v>16</v>
      </c>
      <c r="D12647" s="734">
        <v>146.90529559964509</v>
      </c>
      <c r="E12647" s="733"/>
    </row>
    <row r="12648" spans="2:5">
      <c r="B12648" s="121">
        <v>1085</v>
      </c>
      <c r="C12648" s="121">
        <v>17</v>
      </c>
      <c r="D12648" s="734">
        <v>146.80948567991609</v>
      </c>
      <c r="E12648" s="733"/>
    </row>
    <row r="12649" spans="2:5">
      <c r="B12649" s="121">
        <v>1085</v>
      </c>
      <c r="C12649" s="121">
        <v>18</v>
      </c>
      <c r="D12649" s="734">
        <v>137.32546353435617</v>
      </c>
      <c r="E12649" s="733"/>
    </row>
    <row r="12650" spans="2:5">
      <c r="B12650" s="121">
        <v>1085</v>
      </c>
      <c r="C12650" s="121">
        <v>19</v>
      </c>
      <c r="D12650" s="734">
        <v>134.7569869357178</v>
      </c>
      <c r="E12650" s="733"/>
    </row>
    <row r="12651" spans="2:5">
      <c r="B12651" s="121">
        <v>1085</v>
      </c>
      <c r="C12651" s="121">
        <v>20</v>
      </c>
      <c r="D12651" s="734">
        <v>144.92459045327249</v>
      </c>
      <c r="E12651" s="733"/>
    </row>
    <row r="12652" spans="2:5">
      <c r="B12652" s="121">
        <v>1085</v>
      </c>
      <c r="C12652" s="121">
        <v>21</v>
      </c>
      <c r="D12652" s="734">
        <v>140.57079504423544</v>
      </c>
      <c r="E12652" s="733"/>
    </row>
    <row r="12653" spans="2:5">
      <c r="B12653" s="121">
        <v>1085</v>
      </c>
      <c r="C12653" s="121">
        <v>22</v>
      </c>
      <c r="D12653" s="734">
        <v>145.87004969526615</v>
      </c>
      <c r="E12653" s="733"/>
    </row>
    <row r="12654" spans="2:5">
      <c r="B12654" s="121">
        <v>1085</v>
      </c>
      <c r="C12654" s="121">
        <v>23</v>
      </c>
      <c r="D12654" s="734">
        <v>133.7074947958786</v>
      </c>
      <c r="E12654" s="733"/>
    </row>
    <row r="12655" spans="2:5">
      <c r="B12655" s="121">
        <v>1085</v>
      </c>
      <c r="C12655" s="121">
        <v>24</v>
      </c>
      <c r="D12655" s="734">
        <v>145.38333803018193</v>
      </c>
      <c r="E12655" s="733"/>
    </row>
    <row r="12656" spans="2:5">
      <c r="B12656" s="121">
        <v>1085</v>
      </c>
      <c r="C12656" s="121">
        <v>25</v>
      </c>
      <c r="D12656" s="734">
        <v>141.07475618317571</v>
      </c>
      <c r="E12656" s="733"/>
    </row>
    <row r="12657" spans="2:5">
      <c r="B12657" s="121">
        <v>1085</v>
      </c>
      <c r="C12657" s="121">
        <v>26</v>
      </c>
      <c r="D12657" s="734">
        <v>134.29619966108208</v>
      </c>
      <c r="E12657" s="733"/>
    </row>
    <row r="12658" spans="2:5">
      <c r="B12658" s="121">
        <v>1085</v>
      </c>
      <c r="C12658" s="121">
        <v>27</v>
      </c>
      <c r="D12658" s="734">
        <v>139.85116842911688</v>
      </c>
      <c r="E12658" s="733"/>
    </row>
    <row r="12659" spans="2:5">
      <c r="B12659" s="121">
        <v>1085</v>
      </c>
      <c r="C12659" s="121">
        <v>28</v>
      </c>
      <c r="D12659" s="734">
        <v>135.78053073322769</v>
      </c>
      <c r="E12659" s="733"/>
    </row>
    <row r="12660" spans="2:5">
      <c r="B12660" s="121">
        <v>1085</v>
      </c>
      <c r="C12660" s="121">
        <v>29</v>
      </c>
      <c r="D12660" s="734">
        <v>136.83276574392221</v>
      </c>
      <c r="E12660" s="733"/>
    </row>
    <row r="12661" spans="2:5">
      <c r="B12661" s="121">
        <v>1085</v>
      </c>
      <c r="C12661" s="121">
        <v>30</v>
      </c>
      <c r="D12661" s="734">
        <v>144.75258484731006</v>
      </c>
      <c r="E12661" s="733"/>
    </row>
    <row r="12662" spans="2:5">
      <c r="B12662" s="121">
        <v>1085</v>
      </c>
      <c r="C12662" s="121">
        <v>31</v>
      </c>
      <c r="D12662" s="734">
        <v>143.66880348437488</v>
      </c>
      <c r="E12662" s="733"/>
    </row>
    <row r="12663" spans="2:5">
      <c r="B12663" s="121">
        <v>1085</v>
      </c>
      <c r="C12663" s="121">
        <v>32</v>
      </c>
      <c r="D12663" s="734">
        <v>135.75675494350901</v>
      </c>
      <c r="E12663" s="733"/>
    </row>
    <row r="12664" spans="2:5">
      <c r="B12664" s="121">
        <v>1085</v>
      </c>
      <c r="C12664" s="121">
        <v>33</v>
      </c>
      <c r="D12664" s="734">
        <v>143.78939496220661</v>
      </c>
      <c r="E12664" s="733"/>
    </row>
    <row r="12665" spans="2:5">
      <c r="B12665" s="121">
        <v>1085</v>
      </c>
      <c r="C12665" s="121">
        <v>34</v>
      </c>
      <c r="D12665" s="734">
        <v>140.4357458122256</v>
      </c>
      <c r="E12665" s="733"/>
    </row>
    <row r="12666" spans="2:5">
      <c r="B12666" s="121">
        <v>1085</v>
      </c>
      <c r="C12666" s="121">
        <v>35</v>
      </c>
      <c r="D12666" s="734">
        <v>137.417132222134</v>
      </c>
      <c r="E12666" s="733"/>
    </row>
    <row r="12667" spans="2:5">
      <c r="B12667" s="121">
        <v>1085</v>
      </c>
      <c r="C12667" s="121">
        <v>36</v>
      </c>
      <c r="D12667" s="734">
        <v>139.8755146561667</v>
      </c>
      <c r="E12667" s="733"/>
    </row>
    <row r="12668" spans="2:5">
      <c r="B12668" s="121">
        <v>1086</v>
      </c>
      <c r="C12668" s="121">
        <v>1</v>
      </c>
      <c r="D12668" s="734">
        <v>5</v>
      </c>
      <c r="E12668" s="733"/>
    </row>
    <row r="12669" spans="2:5">
      <c r="B12669" s="121">
        <v>1086</v>
      </c>
      <c r="C12669" s="121">
        <v>2</v>
      </c>
      <c r="D12669" s="734">
        <v>95.076441287482027</v>
      </c>
      <c r="E12669" s="733"/>
    </row>
    <row r="12670" spans="2:5">
      <c r="B12670" s="121">
        <v>1086</v>
      </c>
      <c r="C12670" s="121">
        <v>3</v>
      </c>
      <c r="D12670" s="734">
        <v>125.52911654498286</v>
      </c>
      <c r="E12670" s="733"/>
    </row>
    <row r="12671" spans="2:5">
      <c r="B12671" s="121">
        <v>1086</v>
      </c>
      <c r="C12671" s="121">
        <v>4</v>
      </c>
      <c r="D12671" s="734">
        <v>146.80239551458726</v>
      </c>
      <c r="E12671" s="733"/>
    </row>
    <row r="12672" spans="2:5">
      <c r="B12672" s="121">
        <v>1086</v>
      </c>
      <c r="C12672" s="121">
        <v>5</v>
      </c>
      <c r="D12672" s="734">
        <v>136.54265537932611</v>
      </c>
      <c r="E12672" s="733"/>
    </row>
    <row r="12673" spans="2:5">
      <c r="B12673" s="121">
        <v>1086</v>
      </c>
      <c r="C12673" s="121">
        <v>6</v>
      </c>
      <c r="D12673" s="734">
        <v>134.72831407877564</v>
      </c>
      <c r="E12673" s="733"/>
    </row>
    <row r="12674" spans="2:5">
      <c r="B12674" s="121">
        <v>1086</v>
      </c>
      <c r="C12674" s="121">
        <v>7</v>
      </c>
      <c r="D12674" s="734">
        <v>138.8512983597621</v>
      </c>
      <c r="E12674" s="733"/>
    </row>
    <row r="12675" spans="2:5">
      <c r="B12675" s="121">
        <v>1086</v>
      </c>
      <c r="C12675" s="121">
        <v>8</v>
      </c>
      <c r="D12675" s="734">
        <v>145.61470449920813</v>
      </c>
      <c r="E12675" s="733"/>
    </row>
    <row r="12676" spans="2:5">
      <c r="B12676" s="121">
        <v>1086</v>
      </c>
      <c r="C12676" s="121">
        <v>9</v>
      </c>
      <c r="D12676" s="734">
        <v>146.88692571026712</v>
      </c>
      <c r="E12676" s="733"/>
    </row>
    <row r="12677" spans="2:5">
      <c r="B12677" s="121">
        <v>1086</v>
      </c>
      <c r="C12677" s="121">
        <v>10</v>
      </c>
      <c r="D12677" s="734">
        <v>136.67948247166575</v>
      </c>
      <c r="E12677" s="733"/>
    </row>
    <row r="12678" spans="2:5">
      <c r="B12678" s="121">
        <v>1086</v>
      </c>
      <c r="C12678" s="121">
        <v>11</v>
      </c>
      <c r="D12678" s="734">
        <v>141.26657393359159</v>
      </c>
      <c r="E12678" s="733"/>
    </row>
    <row r="12679" spans="2:5">
      <c r="B12679" s="121">
        <v>1086</v>
      </c>
      <c r="C12679" s="121">
        <v>12</v>
      </c>
      <c r="D12679" s="734">
        <v>142.69911372995338</v>
      </c>
      <c r="E12679" s="733"/>
    </row>
    <row r="12680" spans="2:5">
      <c r="B12680" s="121">
        <v>1086</v>
      </c>
      <c r="C12680" s="121">
        <v>13</v>
      </c>
      <c r="D12680" s="734">
        <v>138.72757708720795</v>
      </c>
      <c r="E12680" s="733"/>
    </row>
    <row r="12681" spans="2:5">
      <c r="B12681" s="121">
        <v>1086</v>
      </c>
      <c r="C12681" s="121">
        <v>14</v>
      </c>
      <c r="D12681" s="734">
        <v>134.68471896366282</v>
      </c>
      <c r="E12681" s="733"/>
    </row>
    <row r="12682" spans="2:5">
      <c r="B12682" s="121">
        <v>1086</v>
      </c>
      <c r="C12682" s="121">
        <v>15</v>
      </c>
      <c r="D12682" s="734">
        <v>135.33084452238458</v>
      </c>
      <c r="E12682" s="733"/>
    </row>
    <row r="12683" spans="2:5">
      <c r="B12683" s="121">
        <v>1086</v>
      </c>
      <c r="C12683" s="121">
        <v>16</v>
      </c>
      <c r="D12683" s="734">
        <v>145.61040978555712</v>
      </c>
      <c r="E12683" s="733"/>
    </row>
    <row r="12684" spans="2:5">
      <c r="B12684" s="121">
        <v>1086</v>
      </c>
      <c r="C12684" s="121">
        <v>17</v>
      </c>
      <c r="D12684" s="734">
        <v>146.33402442331175</v>
      </c>
      <c r="E12684" s="733"/>
    </row>
    <row r="12685" spans="2:5">
      <c r="B12685" s="121">
        <v>1086</v>
      </c>
      <c r="C12685" s="121">
        <v>18</v>
      </c>
      <c r="D12685" s="734">
        <v>139.01626614709357</v>
      </c>
      <c r="E12685" s="733"/>
    </row>
    <row r="12686" spans="2:5">
      <c r="B12686" s="121">
        <v>1086</v>
      </c>
      <c r="C12686" s="121">
        <v>19</v>
      </c>
      <c r="D12686" s="734">
        <v>136.97125820196084</v>
      </c>
      <c r="E12686" s="733"/>
    </row>
    <row r="12687" spans="2:5">
      <c r="B12687" s="121">
        <v>1086</v>
      </c>
      <c r="C12687" s="121">
        <v>20</v>
      </c>
      <c r="D12687" s="734">
        <v>142.79447447549447</v>
      </c>
      <c r="E12687" s="733"/>
    </row>
    <row r="12688" spans="2:5">
      <c r="B12688" s="121">
        <v>1086</v>
      </c>
      <c r="C12688" s="121">
        <v>21</v>
      </c>
      <c r="D12688" s="734">
        <v>140.61337525266319</v>
      </c>
      <c r="E12688" s="733"/>
    </row>
    <row r="12689" spans="2:5">
      <c r="B12689" s="121">
        <v>1086</v>
      </c>
      <c r="C12689" s="121">
        <v>22</v>
      </c>
      <c r="D12689" s="734">
        <v>135.27059469742761</v>
      </c>
      <c r="E12689" s="733"/>
    </row>
    <row r="12690" spans="2:5">
      <c r="B12690" s="121">
        <v>1086</v>
      </c>
      <c r="C12690" s="121">
        <v>23</v>
      </c>
      <c r="D12690" s="734">
        <v>144.53368980037689</v>
      </c>
      <c r="E12690" s="733"/>
    </row>
    <row r="12691" spans="2:5">
      <c r="B12691" s="121">
        <v>1086</v>
      </c>
      <c r="C12691" s="121">
        <v>24</v>
      </c>
      <c r="D12691" s="734">
        <v>139.32134423059176</v>
      </c>
      <c r="E12691" s="733"/>
    </row>
    <row r="12692" spans="2:5">
      <c r="B12692" s="121">
        <v>1086</v>
      </c>
      <c r="C12692" s="121">
        <v>25</v>
      </c>
      <c r="D12692" s="734">
        <v>142.29301017758459</v>
      </c>
      <c r="E12692" s="733"/>
    </row>
    <row r="12693" spans="2:5">
      <c r="B12693" s="121">
        <v>1086</v>
      </c>
      <c r="C12693" s="121">
        <v>26</v>
      </c>
      <c r="D12693" s="734">
        <v>141.84374346926396</v>
      </c>
      <c r="E12693" s="733"/>
    </row>
    <row r="12694" spans="2:5">
      <c r="B12694" s="121">
        <v>1086</v>
      </c>
      <c r="C12694" s="121">
        <v>27</v>
      </c>
      <c r="D12694" s="734">
        <v>137.22182279907256</v>
      </c>
      <c r="E12694" s="733"/>
    </row>
    <row r="12695" spans="2:5">
      <c r="B12695" s="121">
        <v>1086</v>
      </c>
      <c r="C12695" s="121">
        <v>28</v>
      </c>
      <c r="D12695" s="734">
        <v>138.90055280062791</v>
      </c>
      <c r="E12695" s="733"/>
    </row>
    <row r="12696" spans="2:5">
      <c r="B12696" s="121">
        <v>1086</v>
      </c>
      <c r="C12696" s="121">
        <v>29</v>
      </c>
      <c r="D12696" s="734">
        <v>143.20934123582967</v>
      </c>
      <c r="E12696" s="733"/>
    </row>
    <row r="12697" spans="2:5">
      <c r="B12697" s="121">
        <v>1086</v>
      </c>
      <c r="C12697" s="121">
        <v>30</v>
      </c>
      <c r="D12697" s="734">
        <v>139.91596372280489</v>
      </c>
      <c r="E12697" s="733"/>
    </row>
    <row r="12698" spans="2:5">
      <c r="B12698" s="121">
        <v>1086</v>
      </c>
      <c r="C12698" s="121">
        <v>31</v>
      </c>
      <c r="D12698" s="734">
        <v>139.51212423602897</v>
      </c>
      <c r="E12698" s="733"/>
    </row>
    <row r="12699" spans="2:5">
      <c r="B12699" s="121">
        <v>1086</v>
      </c>
      <c r="C12699" s="121">
        <v>32</v>
      </c>
      <c r="D12699" s="734">
        <v>135.73403059290959</v>
      </c>
      <c r="E12699" s="733"/>
    </row>
    <row r="12700" spans="2:5">
      <c r="B12700" s="121">
        <v>1086</v>
      </c>
      <c r="C12700" s="121">
        <v>33</v>
      </c>
      <c r="D12700" s="734">
        <v>142.54455947670024</v>
      </c>
      <c r="E12700" s="733"/>
    </row>
    <row r="12701" spans="2:5">
      <c r="B12701" s="121">
        <v>1086</v>
      </c>
      <c r="C12701" s="121">
        <v>34</v>
      </c>
      <c r="D12701" s="734">
        <v>146.90113398701502</v>
      </c>
      <c r="E12701" s="733"/>
    </row>
    <row r="12702" spans="2:5">
      <c r="B12702" s="121">
        <v>1086</v>
      </c>
      <c r="C12702" s="121">
        <v>35</v>
      </c>
      <c r="D12702" s="734">
        <v>135.70620339229441</v>
      </c>
      <c r="E12702" s="733"/>
    </row>
    <row r="12703" spans="2:5">
      <c r="B12703" s="121">
        <v>1086</v>
      </c>
      <c r="C12703" s="121">
        <v>36</v>
      </c>
      <c r="D12703" s="734">
        <v>136.83073437866122</v>
      </c>
      <c r="E12703" s="733"/>
    </row>
    <row r="12704" spans="2:5">
      <c r="B12704" s="121">
        <v>1087</v>
      </c>
      <c r="C12704" s="121">
        <v>1</v>
      </c>
      <c r="D12704" s="734">
        <v>5</v>
      </c>
      <c r="E12704" s="733"/>
    </row>
    <row r="12705" spans="2:5">
      <c r="B12705" s="121">
        <v>1087</v>
      </c>
      <c r="C12705" s="121">
        <v>2</v>
      </c>
      <c r="D12705" s="734">
        <v>96.197643236659744</v>
      </c>
      <c r="E12705" s="733"/>
    </row>
    <row r="12706" spans="2:5">
      <c r="B12706" s="121">
        <v>1087</v>
      </c>
      <c r="C12706" s="121">
        <v>3</v>
      </c>
      <c r="D12706" s="734">
        <v>117.29511219042861</v>
      </c>
      <c r="E12706" s="733"/>
    </row>
    <row r="12707" spans="2:5">
      <c r="B12707" s="121">
        <v>1087</v>
      </c>
      <c r="C12707" s="121">
        <v>4</v>
      </c>
      <c r="D12707" s="734">
        <v>141.29082281690154</v>
      </c>
      <c r="E12707" s="733"/>
    </row>
    <row r="12708" spans="2:5">
      <c r="B12708" s="121">
        <v>1087</v>
      </c>
      <c r="C12708" s="121">
        <v>5</v>
      </c>
      <c r="D12708" s="734">
        <v>143.99196233466208</v>
      </c>
      <c r="E12708" s="733"/>
    </row>
    <row r="12709" spans="2:5">
      <c r="B12709" s="121">
        <v>1087</v>
      </c>
      <c r="C12709" s="121">
        <v>6</v>
      </c>
      <c r="D12709" s="734">
        <v>143.69761338782044</v>
      </c>
      <c r="E12709" s="733"/>
    </row>
    <row r="12710" spans="2:5">
      <c r="B12710" s="121">
        <v>1087</v>
      </c>
      <c r="C12710" s="121">
        <v>7</v>
      </c>
      <c r="D12710" s="734">
        <v>135.71569765955437</v>
      </c>
      <c r="E12710" s="733"/>
    </row>
    <row r="12711" spans="2:5">
      <c r="B12711" s="121">
        <v>1087</v>
      </c>
      <c r="C12711" s="121">
        <v>8</v>
      </c>
      <c r="D12711" s="734">
        <v>139.81045701015833</v>
      </c>
      <c r="E12711" s="733"/>
    </row>
    <row r="12712" spans="2:5">
      <c r="B12712" s="121">
        <v>1087</v>
      </c>
      <c r="C12712" s="121">
        <v>9</v>
      </c>
      <c r="D12712" s="734">
        <v>141.3268276332887</v>
      </c>
      <c r="E12712" s="733"/>
    </row>
    <row r="12713" spans="2:5">
      <c r="B12713" s="121">
        <v>1087</v>
      </c>
      <c r="C12713" s="121">
        <v>10</v>
      </c>
      <c r="D12713" s="734">
        <v>143.03559852917985</v>
      </c>
      <c r="E12713" s="733"/>
    </row>
    <row r="12714" spans="2:5">
      <c r="B12714" s="121">
        <v>1087</v>
      </c>
      <c r="C12714" s="121">
        <v>11</v>
      </c>
      <c r="D12714" s="734">
        <v>146.29083780981907</v>
      </c>
      <c r="E12714" s="733"/>
    </row>
    <row r="12715" spans="2:5">
      <c r="B12715" s="121">
        <v>1087</v>
      </c>
      <c r="C12715" s="121">
        <v>12</v>
      </c>
      <c r="D12715" s="734">
        <v>145.74779563579565</v>
      </c>
      <c r="E12715" s="733"/>
    </row>
    <row r="12716" spans="2:5">
      <c r="B12716" s="121">
        <v>1087</v>
      </c>
      <c r="C12716" s="121">
        <v>13</v>
      </c>
      <c r="D12716" s="734">
        <v>135.87565436215934</v>
      </c>
      <c r="E12716" s="733"/>
    </row>
    <row r="12717" spans="2:5">
      <c r="B12717" s="121">
        <v>1087</v>
      </c>
      <c r="C12717" s="121">
        <v>14</v>
      </c>
      <c r="D12717" s="734">
        <v>144.41436584791609</v>
      </c>
      <c r="E12717" s="733"/>
    </row>
    <row r="12718" spans="2:5">
      <c r="B12718" s="121">
        <v>1087</v>
      </c>
      <c r="C12718" s="121">
        <v>15</v>
      </c>
      <c r="D12718" s="734">
        <v>143.81818047941144</v>
      </c>
      <c r="E12718" s="733"/>
    </row>
    <row r="12719" spans="2:5">
      <c r="B12719" s="121">
        <v>1087</v>
      </c>
      <c r="C12719" s="121">
        <v>16</v>
      </c>
      <c r="D12719" s="734">
        <v>136.96654866948566</v>
      </c>
      <c r="E12719" s="733"/>
    </row>
    <row r="12720" spans="2:5">
      <c r="B12720" s="121">
        <v>1087</v>
      </c>
      <c r="C12720" s="121">
        <v>17</v>
      </c>
      <c r="D12720" s="734">
        <v>139.98256478806391</v>
      </c>
      <c r="E12720" s="733"/>
    </row>
    <row r="12721" spans="2:5">
      <c r="B12721" s="121">
        <v>1087</v>
      </c>
      <c r="C12721" s="121">
        <v>18</v>
      </c>
      <c r="D12721" s="734">
        <v>146.97125821704932</v>
      </c>
      <c r="E12721" s="733"/>
    </row>
    <row r="12722" spans="2:5">
      <c r="B12722" s="121">
        <v>1087</v>
      </c>
      <c r="C12722" s="121">
        <v>19</v>
      </c>
      <c r="D12722" s="734">
        <v>143.52319902125734</v>
      </c>
      <c r="E12722" s="733"/>
    </row>
    <row r="12723" spans="2:5">
      <c r="B12723" s="121">
        <v>1087</v>
      </c>
      <c r="C12723" s="121">
        <v>20</v>
      </c>
      <c r="D12723" s="734">
        <v>138.04913347192854</v>
      </c>
      <c r="E12723" s="733"/>
    </row>
    <row r="12724" spans="2:5">
      <c r="B12724" s="121">
        <v>1087</v>
      </c>
      <c r="C12724" s="121">
        <v>21</v>
      </c>
      <c r="D12724" s="734">
        <v>139.21928839124249</v>
      </c>
      <c r="E12724" s="733"/>
    </row>
    <row r="12725" spans="2:5">
      <c r="B12725" s="121">
        <v>1087</v>
      </c>
      <c r="C12725" s="121">
        <v>22</v>
      </c>
      <c r="D12725" s="734">
        <v>142.92070447919116</v>
      </c>
      <c r="E12725" s="733"/>
    </row>
    <row r="12726" spans="2:5">
      <c r="B12726" s="121">
        <v>1087</v>
      </c>
      <c r="C12726" s="121">
        <v>23</v>
      </c>
      <c r="D12726" s="734">
        <v>144.03158038091593</v>
      </c>
      <c r="E12726" s="733"/>
    </row>
    <row r="12727" spans="2:5">
      <c r="B12727" s="121">
        <v>1087</v>
      </c>
      <c r="C12727" s="121">
        <v>24</v>
      </c>
      <c r="D12727" s="734">
        <v>145.05211018180145</v>
      </c>
      <c r="E12727" s="733"/>
    </row>
    <row r="12728" spans="2:5">
      <c r="B12728" s="121">
        <v>1087</v>
      </c>
      <c r="C12728" s="121">
        <v>25</v>
      </c>
      <c r="D12728" s="734">
        <v>134.43562129100749</v>
      </c>
      <c r="E12728" s="733"/>
    </row>
    <row r="12729" spans="2:5">
      <c r="B12729" s="121">
        <v>1087</v>
      </c>
      <c r="C12729" s="121">
        <v>26</v>
      </c>
      <c r="D12729" s="734">
        <v>146.84730642302731</v>
      </c>
      <c r="E12729" s="733"/>
    </row>
    <row r="12730" spans="2:5">
      <c r="B12730" s="121">
        <v>1087</v>
      </c>
      <c r="C12730" s="121">
        <v>27</v>
      </c>
      <c r="D12730" s="734">
        <v>144.7225744984629</v>
      </c>
      <c r="E12730" s="733"/>
    </row>
    <row r="12731" spans="2:5">
      <c r="B12731" s="121">
        <v>1087</v>
      </c>
      <c r="C12731" s="121">
        <v>28</v>
      </c>
      <c r="D12731" s="734">
        <v>143.03605642602815</v>
      </c>
      <c r="E12731" s="733"/>
    </row>
    <row r="12732" spans="2:5">
      <c r="B12732" s="121">
        <v>1087</v>
      </c>
      <c r="C12732" s="121">
        <v>29</v>
      </c>
      <c r="D12732" s="734">
        <v>134.54554881030589</v>
      </c>
      <c r="E12732" s="733"/>
    </row>
    <row r="12733" spans="2:5">
      <c r="B12733" s="121">
        <v>1087</v>
      </c>
      <c r="C12733" s="121">
        <v>30</v>
      </c>
      <c r="D12733" s="734">
        <v>136.57690130398433</v>
      </c>
      <c r="E12733" s="733"/>
    </row>
    <row r="12734" spans="2:5">
      <c r="B12734" s="121">
        <v>1087</v>
      </c>
      <c r="C12734" s="121">
        <v>31</v>
      </c>
      <c r="D12734" s="734">
        <v>144.05214729210553</v>
      </c>
      <c r="E12734" s="733"/>
    </row>
    <row r="12735" spans="2:5">
      <c r="B12735" s="121">
        <v>1087</v>
      </c>
      <c r="C12735" s="121">
        <v>32</v>
      </c>
      <c r="D12735" s="734">
        <v>146.72967860033651</v>
      </c>
      <c r="E12735" s="733"/>
    </row>
    <row r="12736" spans="2:5">
      <c r="B12736" s="121">
        <v>1087</v>
      </c>
      <c r="C12736" s="121">
        <v>33</v>
      </c>
      <c r="D12736" s="734">
        <v>139.02353722391624</v>
      </c>
      <c r="E12736" s="733"/>
    </row>
    <row r="12737" spans="2:5">
      <c r="B12737" s="121">
        <v>1087</v>
      </c>
      <c r="C12737" s="121">
        <v>34</v>
      </c>
      <c r="D12737" s="734">
        <v>137.42666331998271</v>
      </c>
      <c r="E12737" s="733"/>
    </row>
    <row r="12738" spans="2:5">
      <c r="B12738" s="121">
        <v>1087</v>
      </c>
      <c r="C12738" s="121">
        <v>35</v>
      </c>
      <c r="D12738" s="734">
        <v>139.59828689893806</v>
      </c>
      <c r="E12738" s="733"/>
    </row>
    <row r="12739" spans="2:5">
      <c r="B12739" s="121">
        <v>1087</v>
      </c>
      <c r="C12739" s="121">
        <v>36</v>
      </c>
      <c r="D12739" s="734">
        <v>140.30199828868064</v>
      </c>
      <c r="E12739" s="733"/>
    </row>
    <row r="12740" spans="2:5">
      <c r="B12740" s="121">
        <v>1088</v>
      </c>
      <c r="C12740" s="121">
        <v>1</v>
      </c>
      <c r="D12740" s="734">
        <v>5</v>
      </c>
      <c r="E12740" s="733"/>
    </row>
    <row r="12741" spans="2:5">
      <c r="B12741" s="121">
        <v>1088</v>
      </c>
      <c r="C12741" s="121">
        <v>2</v>
      </c>
      <c r="D12741" s="734">
        <v>100.71291326818607</v>
      </c>
      <c r="E12741" s="733"/>
    </row>
    <row r="12742" spans="2:5">
      <c r="B12742" s="121">
        <v>1088</v>
      </c>
      <c r="C12742" s="121">
        <v>3</v>
      </c>
      <c r="D12742" s="734">
        <v>124.01581266743916</v>
      </c>
      <c r="E12742" s="733"/>
    </row>
    <row r="12743" spans="2:5">
      <c r="B12743" s="121">
        <v>1088</v>
      </c>
      <c r="C12743" s="121">
        <v>4</v>
      </c>
      <c r="D12743" s="734">
        <v>140.18896433048491</v>
      </c>
      <c r="E12743" s="733"/>
    </row>
    <row r="12744" spans="2:5">
      <c r="B12744" s="121">
        <v>1088</v>
      </c>
      <c r="C12744" s="121">
        <v>5</v>
      </c>
      <c r="D12744" s="734">
        <v>136.23771286391923</v>
      </c>
      <c r="E12744" s="733"/>
    </row>
    <row r="12745" spans="2:5">
      <c r="B12745" s="121">
        <v>1088</v>
      </c>
      <c r="C12745" s="121">
        <v>6</v>
      </c>
      <c r="D12745" s="734">
        <v>140.73544096511921</v>
      </c>
      <c r="E12745" s="733"/>
    </row>
    <row r="12746" spans="2:5">
      <c r="B12746" s="121">
        <v>1088</v>
      </c>
      <c r="C12746" s="121">
        <v>7</v>
      </c>
      <c r="D12746" s="734">
        <v>139.89515102852306</v>
      </c>
      <c r="E12746" s="733"/>
    </row>
    <row r="12747" spans="2:5">
      <c r="B12747" s="121">
        <v>1088</v>
      </c>
      <c r="C12747" s="121">
        <v>8</v>
      </c>
      <c r="D12747" s="734">
        <v>140.87723770360162</v>
      </c>
      <c r="E12747" s="733"/>
    </row>
    <row r="12748" spans="2:5">
      <c r="B12748" s="121">
        <v>1088</v>
      </c>
      <c r="C12748" s="121">
        <v>9</v>
      </c>
      <c r="D12748" s="734">
        <v>141.32564971814747</v>
      </c>
      <c r="E12748" s="733"/>
    </row>
    <row r="12749" spans="2:5">
      <c r="B12749" s="121">
        <v>1088</v>
      </c>
      <c r="C12749" s="121">
        <v>10</v>
      </c>
      <c r="D12749" s="734">
        <v>145.40205303632013</v>
      </c>
      <c r="E12749" s="733"/>
    </row>
    <row r="12750" spans="2:5">
      <c r="B12750" s="121">
        <v>1088</v>
      </c>
      <c r="C12750" s="121">
        <v>11</v>
      </c>
      <c r="D12750" s="734">
        <v>142.7303746856995</v>
      </c>
      <c r="E12750" s="733"/>
    </row>
    <row r="12751" spans="2:5">
      <c r="B12751" s="121">
        <v>1088</v>
      </c>
      <c r="C12751" s="121">
        <v>12</v>
      </c>
      <c r="D12751" s="734">
        <v>143.74586114025882</v>
      </c>
      <c r="E12751" s="733"/>
    </row>
    <row r="12752" spans="2:5">
      <c r="B12752" s="121">
        <v>1088</v>
      </c>
      <c r="C12752" s="121">
        <v>13</v>
      </c>
      <c r="D12752" s="734">
        <v>143.75269567765855</v>
      </c>
      <c r="E12752" s="733"/>
    </row>
    <row r="12753" spans="2:5">
      <c r="B12753" s="121">
        <v>1088</v>
      </c>
      <c r="C12753" s="121">
        <v>14</v>
      </c>
      <c r="D12753" s="734">
        <v>141.06224185065349</v>
      </c>
      <c r="E12753" s="733"/>
    </row>
    <row r="12754" spans="2:5">
      <c r="B12754" s="121">
        <v>1088</v>
      </c>
      <c r="C12754" s="121">
        <v>15</v>
      </c>
      <c r="D12754" s="734">
        <v>140.60229926761926</v>
      </c>
      <c r="E12754" s="733"/>
    </row>
    <row r="12755" spans="2:5">
      <c r="B12755" s="121">
        <v>1088</v>
      </c>
      <c r="C12755" s="121">
        <v>16</v>
      </c>
      <c r="D12755" s="734">
        <v>146.89545081630069</v>
      </c>
      <c r="E12755" s="733"/>
    </row>
    <row r="12756" spans="2:5">
      <c r="B12756" s="121">
        <v>1088</v>
      </c>
      <c r="C12756" s="121">
        <v>17</v>
      </c>
      <c r="D12756" s="734">
        <v>142.57515378877486</v>
      </c>
      <c r="E12756" s="733"/>
    </row>
    <row r="12757" spans="2:5">
      <c r="B12757" s="121">
        <v>1088</v>
      </c>
      <c r="C12757" s="121">
        <v>18</v>
      </c>
      <c r="D12757" s="734">
        <v>145.69477168474327</v>
      </c>
      <c r="E12757" s="733"/>
    </row>
    <row r="12758" spans="2:5">
      <c r="B12758" s="121">
        <v>1088</v>
      </c>
      <c r="C12758" s="121">
        <v>19</v>
      </c>
      <c r="D12758" s="734">
        <v>138.33351831531147</v>
      </c>
      <c r="E12758" s="733"/>
    </row>
    <row r="12759" spans="2:5">
      <c r="B12759" s="121">
        <v>1088</v>
      </c>
      <c r="C12759" s="121">
        <v>20</v>
      </c>
      <c r="D12759" s="734">
        <v>144.63340636067912</v>
      </c>
      <c r="E12759" s="733"/>
    </row>
    <row r="12760" spans="2:5">
      <c r="B12760" s="121">
        <v>1088</v>
      </c>
      <c r="C12760" s="121">
        <v>21</v>
      </c>
      <c r="D12760" s="734">
        <v>134.29065439061333</v>
      </c>
      <c r="E12760" s="733"/>
    </row>
    <row r="12761" spans="2:5">
      <c r="B12761" s="121">
        <v>1088</v>
      </c>
      <c r="C12761" s="121">
        <v>22</v>
      </c>
      <c r="D12761" s="734">
        <v>145.90867225418884</v>
      </c>
      <c r="E12761" s="733"/>
    </row>
    <row r="12762" spans="2:5">
      <c r="B12762" s="121">
        <v>1088</v>
      </c>
      <c r="C12762" s="121">
        <v>23</v>
      </c>
      <c r="D12762" s="734">
        <v>136.62367959797342</v>
      </c>
      <c r="E12762" s="733"/>
    </row>
    <row r="12763" spans="2:5">
      <c r="B12763" s="121">
        <v>1088</v>
      </c>
      <c r="C12763" s="121">
        <v>24</v>
      </c>
      <c r="D12763" s="734">
        <v>135.96098166795383</v>
      </c>
      <c r="E12763" s="733"/>
    </row>
    <row r="12764" spans="2:5">
      <c r="B12764" s="121">
        <v>1089</v>
      </c>
      <c r="C12764" s="121">
        <v>1</v>
      </c>
      <c r="D12764" s="734">
        <v>5</v>
      </c>
      <c r="E12764" s="733"/>
    </row>
    <row r="12765" spans="2:5">
      <c r="B12765" s="121">
        <v>1089</v>
      </c>
      <c r="C12765" s="121">
        <v>2</v>
      </c>
      <c r="D12765" s="734">
        <v>102.76816096671281</v>
      </c>
      <c r="E12765" s="733"/>
    </row>
    <row r="12766" spans="2:5">
      <c r="B12766" s="121">
        <v>1089</v>
      </c>
      <c r="C12766" s="121">
        <v>3</v>
      </c>
      <c r="D12766" s="734">
        <v>120.95754863968</v>
      </c>
      <c r="E12766" s="733"/>
    </row>
    <row r="12767" spans="2:5">
      <c r="B12767" s="121">
        <v>1090</v>
      </c>
      <c r="C12767" s="121">
        <v>1</v>
      </c>
      <c r="D12767" s="734">
        <v>5</v>
      </c>
      <c r="E12767" s="733"/>
    </row>
    <row r="12768" spans="2:5">
      <c r="B12768" s="121">
        <v>1090</v>
      </c>
      <c r="C12768" s="121">
        <v>2</v>
      </c>
      <c r="D12768" s="734">
        <v>103.04494534989041</v>
      </c>
      <c r="E12768" s="733"/>
    </row>
    <row r="12769" spans="2:5">
      <c r="B12769" s="121">
        <v>1091</v>
      </c>
      <c r="C12769" s="121">
        <v>1</v>
      </c>
      <c r="D12769" s="734">
        <v>5</v>
      </c>
      <c r="E12769" s="733"/>
    </row>
    <row r="12770" spans="2:5">
      <c r="B12770" s="121">
        <v>1091</v>
      </c>
      <c r="C12770" s="121">
        <v>2</v>
      </c>
      <c r="D12770" s="734">
        <v>100.20381562908271</v>
      </c>
      <c r="E12770" s="733"/>
    </row>
    <row r="12771" spans="2:5">
      <c r="B12771" s="121">
        <v>1092</v>
      </c>
      <c r="C12771" s="121">
        <v>1</v>
      </c>
      <c r="D12771" s="734">
        <v>5</v>
      </c>
      <c r="E12771" s="733"/>
    </row>
    <row r="12772" spans="2:5">
      <c r="B12772" s="121">
        <v>1092</v>
      </c>
      <c r="C12772" s="121">
        <v>2</v>
      </c>
      <c r="D12772" s="734">
        <v>99.536310404486073</v>
      </c>
      <c r="E12772" s="733"/>
    </row>
    <row r="12773" spans="2:5">
      <c r="B12773" s="121">
        <v>1092</v>
      </c>
      <c r="C12773" s="121">
        <v>3</v>
      </c>
      <c r="D12773" s="734">
        <v>114.95223277657934</v>
      </c>
      <c r="E12773" s="733"/>
    </row>
    <row r="12774" spans="2:5">
      <c r="B12774" s="121">
        <v>1092</v>
      </c>
      <c r="C12774" s="121">
        <v>4</v>
      </c>
      <c r="D12774" s="734">
        <v>137.89286576092351</v>
      </c>
      <c r="E12774" s="733"/>
    </row>
    <row r="12775" spans="2:5">
      <c r="B12775" s="121">
        <v>1092</v>
      </c>
      <c r="C12775" s="121">
        <v>5</v>
      </c>
      <c r="D12775" s="734">
        <v>145.39762540185006</v>
      </c>
      <c r="E12775" s="733"/>
    </row>
    <row r="12776" spans="2:5">
      <c r="B12776" s="121">
        <v>1092</v>
      </c>
      <c r="C12776" s="121">
        <v>6</v>
      </c>
      <c r="D12776" s="734">
        <v>136.32198931727626</v>
      </c>
      <c r="E12776" s="733"/>
    </row>
    <row r="12777" spans="2:5">
      <c r="B12777" s="121">
        <v>1092</v>
      </c>
      <c r="C12777" s="121">
        <v>7</v>
      </c>
      <c r="D12777" s="734">
        <v>137.33735225904067</v>
      </c>
      <c r="E12777" s="733"/>
    </row>
    <row r="12778" spans="2:5">
      <c r="B12778" s="121">
        <v>1092</v>
      </c>
      <c r="C12778" s="121">
        <v>8</v>
      </c>
      <c r="D12778" s="734">
        <v>144.82642614878813</v>
      </c>
      <c r="E12778" s="733"/>
    </row>
    <row r="12779" spans="2:5">
      <c r="B12779" s="121">
        <v>1092</v>
      </c>
      <c r="C12779" s="121">
        <v>9</v>
      </c>
      <c r="D12779" s="734">
        <v>140.55602772361658</v>
      </c>
      <c r="E12779" s="733"/>
    </row>
    <row r="12780" spans="2:5">
      <c r="B12780" s="121">
        <v>1092</v>
      </c>
      <c r="C12780" s="121">
        <v>10</v>
      </c>
      <c r="D12780" s="734">
        <v>136.80971025932223</v>
      </c>
      <c r="E12780" s="733"/>
    </row>
    <row r="12781" spans="2:5">
      <c r="B12781" s="121">
        <v>1092</v>
      </c>
      <c r="C12781" s="121">
        <v>11</v>
      </c>
      <c r="D12781" s="734">
        <v>139.77022998645012</v>
      </c>
      <c r="E12781" s="733"/>
    </row>
    <row r="12782" spans="2:5">
      <c r="B12782" s="121">
        <v>1092</v>
      </c>
      <c r="C12782" s="121">
        <v>12</v>
      </c>
      <c r="D12782" s="734">
        <v>144.72161932718424</v>
      </c>
      <c r="E12782" s="733"/>
    </row>
    <row r="12783" spans="2:5">
      <c r="B12783" s="121">
        <v>1092</v>
      </c>
      <c r="C12783" s="121">
        <v>13</v>
      </c>
      <c r="D12783" s="734">
        <v>137.89836493839445</v>
      </c>
      <c r="E12783" s="733"/>
    </row>
    <row r="12784" spans="2:5">
      <c r="B12784" s="121">
        <v>1092</v>
      </c>
      <c r="C12784" s="121">
        <v>14</v>
      </c>
      <c r="D12784" s="734">
        <v>137.19129724997941</v>
      </c>
      <c r="E12784" s="733"/>
    </row>
    <row r="12785" spans="2:5">
      <c r="B12785" s="121">
        <v>1092</v>
      </c>
      <c r="C12785" s="121">
        <v>15</v>
      </c>
      <c r="D12785" s="734">
        <v>136.65909728418956</v>
      </c>
      <c r="E12785" s="733"/>
    </row>
    <row r="12786" spans="2:5">
      <c r="B12786" s="121">
        <v>1092</v>
      </c>
      <c r="C12786" s="121">
        <v>16</v>
      </c>
      <c r="D12786" s="734">
        <v>133.66700563296533</v>
      </c>
      <c r="E12786" s="733"/>
    </row>
    <row r="12787" spans="2:5">
      <c r="B12787" s="121">
        <v>1092</v>
      </c>
      <c r="C12787" s="121">
        <v>17</v>
      </c>
      <c r="D12787" s="734">
        <v>144.90558930753022</v>
      </c>
      <c r="E12787" s="733"/>
    </row>
    <row r="12788" spans="2:5">
      <c r="B12788" s="121">
        <v>1093</v>
      </c>
      <c r="C12788" s="121">
        <v>1</v>
      </c>
      <c r="D12788" s="734">
        <v>5</v>
      </c>
      <c r="E12788" s="733"/>
    </row>
    <row r="12789" spans="2:5">
      <c r="B12789" s="121">
        <v>1094</v>
      </c>
      <c r="C12789" s="121">
        <v>1</v>
      </c>
      <c r="D12789" s="734">
        <v>5</v>
      </c>
      <c r="E12789" s="733"/>
    </row>
    <row r="12790" spans="2:5">
      <c r="B12790" s="121">
        <v>1095</v>
      </c>
      <c r="C12790" s="121">
        <v>1</v>
      </c>
      <c r="D12790" s="734">
        <v>5</v>
      </c>
      <c r="E12790" s="733"/>
    </row>
    <row r="12791" spans="2:5">
      <c r="B12791" s="121">
        <v>1095</v>
      </c>
      <c r="C12791" s="121">
        <v>2</v>
      </c>
      <c r="D12791" s="734">
        <v>98.780384583421764</v>
      </c>
      <c r="E12791" s="733"/>
    </row>
    <row r="12792" spans="2:5">
      <c r="B12792" s="121">
        <v>1095</v>
      </c>
      <c r="C12792" s="121">
        <v>3</v>
      </c>
      <c r="D12792" s="734">
        <v>118.16117739054295</v>
      </c>
      <c r="E12792" s="733"/>
    </row>
    <row r="12793" spans="2:5">
      <c r="B12793" s="121">
        <v>1095</v>
      </c>
      <c r="C12793" s="121">
        <v>4</v>
      </c>
      <c r="D12793" s="734">
        <v>136.90006793057609</v>
      </c>
      <c r="E12793" s="733"/>
    </row>
    <row r="12794" spans="2:5">
      <c r="B12794" s="121">
        <v>1095</v>
      </c>
      <c r="C12794" s="121">
        <v>5</v>
      </c>
      <c r="D12794" s="734">
        <v>143.72353670743428</v>
      </c>
      <c r="E12794" s="733"/>
    </row>
    <row r="12795" spans="2:5">
      <c r="B12795" s="121">
        <v>1095</v>
      </c>
      <c r="C12795" s="121">
        <v>6</v>
      </c>
      <c r="D12795" s="734">
        <v>140.29683664060232</v>
      </c>
      <c r="E12795" s="733"/>
    </row>
    <row r="12796" spans="2:5">
      <c r="B12796" s="121">
        <v>1095</v>
      </c>
      <c r="C12796" s="121">
        <v>7</v>
      </c>
      <c r="D12796" s="734">
        <v>136.9919631967775</v>
      </c>
      <c r="E12796" s="733"/>
    </row>
    <row r="12797" spans="2:5">
      <c r="B12797" s="121">
        <v>1095</v>
      </c>
      <c r="C12797" s="121">
        <v>8</v>
      </c>
      <c r="D12797" s="734">
        <v>145.65558108989629</v>
      </c>
      <c r="E12797" s="733"/>
    </row>
    <row r="12798" spans="2:5">
      <c r="B12798" s="121">
        <v>1095</v>
      </c>
      <c r="C12798" s="121">
        <v>9</v>
      </c>
      <c r="D12798" s="734">
        <v>143.72761235090408</v>
      </c>
      <c r="E12798" s="733"/>
    </row>
    <row r="12799" spans="2:5">
      <c r="B12799" s="121">
        <v>1095</v>
      </c>
      <c r="C12799" s="121">
        <v>10</v>
      </c>
      <c r="D12799" s="734">
        <v>141.89480002947988</v>
      </c>
      <c r="E12799" s="733"/>
    </row>
    <row r="12800" spans="2:5">
      <c r="B12800" s="121">
        <v>1095</v>
      </c>
      <c r="C12800" s="121">
        <v>11</v>
      </c>
      <c r="D12800" s="734">
        <v>138.2029012080265</v>
      </c>
      <c r="E12800" s="733"/>
    </row>
    <row r="12801" spans="2:5">
      <c r="B12801" s="121">
        <v>1095</v>
      </c>
      <c r="C12801" s="121">
        <v>12</v>
      </c>
      <c r="D12801" s="734">
        <v>141.82503352640919</v>
      </c>
      <c r="E12801" s="733"/>
    </row>
    <row r="12802" spans="2:5">
      <c r="B12802" s="121">
        <v>1095</v>
      </c>
      <c r="C12802" s="121">
        <v>13</v>
      </c>
      <c r="D12802" s="734">
        <v>136.48521029256048</v>
      </c>
      <c r="E12802" s="733"/>
    </row>
    <row r="12803" spans="2:5">
      <c r="B12803" s="121">
        <v>1095</v>
      </c>
      <c r="C12803" s="121">
        <v>14</v>
      </c>
      <c r="D12803" s="734">
        <v>143.87568288460631</v>
      </c>
      <c r="E12803" s="733"/>
    </row>
    <row r="12804" spans="2:5">
      <c r="B12804" s="121">
        <v>1095</v>
      </c>
      <c r="C12804" s="121">
        <v>15</v>
      </c>
      <c r="D12804" s="734">
        <v>141.75644814607386</v>
      </c>
      <c r="E12804" s="733"/>
    </row>
    <row r="12805" spans="2:5">
      <c r="B12805" s="121">
        <v>1095</v>
      </c>
      <c r="C12805" s="121">
        <v>16</v>
      </c>
      <c r="D12805" s="734">
        <v>147.25266020577584</v>
      </c>
      <c r="E12805" s="733"/>
    </row>
    <row r="12806" spans="2:5">
      <c r="B12806" s="121">
        <v>1095</v>
      </c>
      <c r="C12806" s="121">
        <v>17</v>
      </c>
      <c r="D12806" s="734">
        <v>145.57392137064053</v>
      </c>
      <c r="E12806" s="733"/>
    </row>
    <row r="12807" spans="2:5">
      <c r="B12807" s="121">
        <v>1095</v>
      </c>
      <c r="C12807" s="121">
        <v>18</v>
      </c>
      <c r="D12807" s="734">
        <v>136.06812650327606</v>
      </c>
      <c r="E12807" s="733"/>
    </row>
    <row r="12808" spans="2:5">
      <c r="B12808" s="121">
        <v>1095</v>
      </c>
      <c r="C12808" s="121">
        <v>19</v>
      </c>
      <c r="D12808" s="734">
        <v>136.82290778567761</v>
      </c>
      <c r="E12808" s="733"/>
    </row>
    <row r="12809" spans="2:5">
      <c r="B12809" s="121">
        <v>1095</v>
      </c>
      <c r="C12809" s="121">
        <v>20</v>
      </c>
      <c r="D12809" s="734">
        <v>145.49947573608407</v>
      </c>
      <c r="E12809" s="733"/>
    </row>
    <row r="12810" spans="2:5">
      <c r="B12810" s="121">
        <v>1095</v>
      </c>
      <c r="C12810" s="121">
        <v>21</v>
      </c>
      <c r="D12810" s="734">
        <v>145.07195038153694</v>
      </c>
      <c r="E12810" s="733"/>
    </row>
    <row r="12811" spans="2:5">
      <c r="B12811" s="121">
        <v>1095</v>
      </c>
      <c r="C12811" s="121">
        <v>22</v>
      </c>
      <c r="D12811" s="734">
        <v>138.28155792270351</v>
      </c>
      <c r="E12811" s="733"/>
    </row>
    <row r="12812" spans="2:5">
      <c r="B12812" s="121">
        <v>1095</v>
      </c>
      <c r="C12812" s="121">
        <v>23</v>
      </c>
      <c r="D12812" s="734">
        <v>139.84447396914885</v>
      </c>
      <c r="E12812" s="733"/>
    </row>
    <row r="12813" spans="2:5">
      <c r="B12813" s="121">
        <v>1096</v>
      </c>
      <c r="C12813" s="121">
        <v>1</v>
      </c>
      <c r="D12813" s="734">
        <v>5</v>
      </c>
      <c r="E12813" s="733"/>
    </row>
    <row r="12814" spans="2:5">
      <c r="B12814" s="121">
        <v>1097</v>
      </c>
      <c r="C12814" s="121">
        <v>1</v>
      </c>
      <c r="D12814" s="734">
        <v>5</v>
      </c>
      <c r="E12814" s="733"/>
    </row>
    <row r="12815" spans="2:5">
      <c r="B12815" s="121">
        <v>1097</v>
      </c>
      <c r="C12815" s="121">
        <v>2</v>
      </c>
      <c r="D12815" s="734">
        <v>95.932362882922845</v>
      </c>
      <c r="E12815" s="733"/>
    </row>
    <row r="12816" spans="2:5">
      <c r="B12816" s="121">
        <v>1097</v>
      </c>
      <c r="C12816" s="121">
        <v>3</v>
      </c>
      <c r="D12816" s="734">
        <v>123.32266056356724</v>
      </c>
      <c r="E12816" s="733"/>
    </row>
    <row r="12817" spans="2:5">
      <c r="B12817" s="121">
        <v>1097</v>
      </c>
      <c r="C12817" s="121">
        <v>4</v>
      </c>
      <c r="D12817" s="734">
        <v>140.68763047356336</v>
      </c>
      <c r="E12817" s="733"/>
    </row>
    <row r="12818" spans="2:5">
      <c r="B12818" s="121">
        <v>1097</v>
      </c>
      <c r="C12818" s="121">
        <v>5</v>
      </c>
      <c r="D12818" s="734">
        <v>138.33031578351856</v>
      </c>
      <c r="E12818" s="733"/>
    </row>
    <row r="12819" spans="2:5">
      <c r="B12819" s="121">
        <v>1097</v>
      </c>
      <c r="C12819" s="121">
        <v>6</v>
      </c>
      <c r="D12819" s="734">
        <v>139.72594964069881</v>
      </c>
      <c r="E12819" s="733"/>
    </row>
    <row r="12820" spans="2:5">
      <c r="B12820" s="121">
        <v>1098</v>
      </c>
      <c r="C12820" s="121">
        <v>1</v>
      </c>
      <c r="D12820" s="734">
        <v>5</v>
      </c>
      <c r="E12820" s="733"/>
    </row>
    <row r="12821" spans="2:5">
      <c r="B12821" s="121">
        <v>1098</v>
      </c>
      <c r="C12821" s="121">
        <v>2</v>
      </c>
      <c r="D12821" s="734">
        <v>103.23207634537657</v>
      </c>
      <c r="E12821" s="733"/>
    </row>
    <row r="12822" spans="2:5">
      <c r="B12822" s="121">
        <v>1098</v>
      </c>
      <c r="C12822" s="121">
        <v>3</v>
      </c>
      <c r="D12822" s="734">
        <v>124.64876549297968</v>
      </c>
      <c r="E12822" s="733"/>
    </row>
    <row r="12823" spans="2:5">
      <c r="B12823" s="121">
        <v>1098</v>
      </c>
      <c r="C12823" s="121">
        <v>4</v>
      </c>
      <c r="D12823" s="734">
        <v>144.94704233135582</v>
      </c>
      <c r="E12823" s="733"/>
    </row>
    <row r="12824" spans="2:5">
      <c r="B12824" s="121">
        <v>1098</v>
      </c>
      <c r="C12824" s="121">
        <v>5</v>
      </c>
      <c r="D12824" s="734">
        <v>135.68885680219088</v>
      </c>
      <c r="E12824" s="733"/>
    </row>
    <row r="12825" spans="2:5">
      <c r="B12825" s="121">
        <v>1098</v>
      </c>
      <c r="C12825" s="121">
        <v>6</v>
      </c>
      <c r="D12825" s="734">
        <v>134.29518823493075</v>
      </c>
      <c r="E12825" s="733"/>
    </row>
    <row r="12826" spans="2:5">
      <c r="B12826" s="121">
        <v>1098</v>
      </c>
      <c r="C12826" s="121">
        <v>7</v>
      </c>
      <c r="D12826" s="734">
        <v>135.58715365968851</v>
      </c>
      <c r="E12826" s="733"/>
    </row>
    <row r="12827" spans="2:5">
      <c r="B12827" s="121">
        <v>1098</v>
      </c>
      <c r="C12827" s="121">
        <v>8</v>
      </c>
      <c r="D12827" s="734">
        <v>138.04073672958756</v>
      </c>
      <c r="E12827" s="733"/>
    </row>
    <row r="12828" spans="2:5">
      <c r="B12828" s="121">
        <v>1098</v>
      </c>
      <c r="C12828" s="121">
        <v>9</v>
      </c>
      <c r="D12828" s="734">
        <v>136.18656272928072</v>
      </c>
      <c r="E12828" s="733"/>
    </row>
    <row r="12829" spans="2:5">
      <c r="B12829" s="121">
        <v>1098</v>
      </c>
      <c r="C12829" s="121">
        <v>10</v>
      </c>
      <c r="D12829" s="734">
        <v>139.78701585132239</v>
      </c>
      <c r="E12829" s="733"/>
    </row>
    <row r="12830" spans="2:5">
      <c r="B12830" s="121">
        <v>1098</v>
      </c>
      <c r="C12830" s="121">
        <v>11</v>
      </c>
      <c r="D12830" s="734">
        <v>144.28851053392862</v>
      </c>
      <c r="E12830" s="733"/>
    </row>
    <row r="12831" spans="2:5">
      <c r="B12831" s="121">
        <v>1098</v>
      </c>
      <c r="C12831" s="121">
        <v>12</v>
      </c>
      <c r="D12831" s="734">
        <v>136.67783076105749</v>
      </c>
      <c r="E12831" s="733"/>
    </row>
    <row r="12832" spans="2:5">
      <c r="B12832" s="121">
        <v>1098</v>
      </c>
      <c r="C12832" s="121">
        <v>13</v>
      </c>
      <c r="D12832" s="734">
        <v>145.57919756434671</v>
      </c>
      <c r="E12832" s="733"/>
    </row>
    <row r="12833" spans="2:5">
      <c r="B12833" s="121">
        <v>1098</v>
      </c>
      <c r="C12833" s="121">
        <v>14</v>
      </c>
      <c r="D12833" s="734">
        <v>134.30554176746963</v>
      </c>
      <c r="E12833" s="733"/>
    </row>
    <row r="12834" spans="2:5">
      <c r="B12834" s="121">
        <v>1098</v>
      </c>
      <c r="C12834" s="121">
        <v>15</v>
      </c>
      <c r="D12834" s="734">
        <v>137.91607267043244</v>
      </c>
      <c r="E12834" s="733"/>
    </row>
    <row r="12835" spans="2:5">
      <c r="B12835" s="121">
        <v>1098</v>
      </c>
      <c r="C12835" s="121">
        <v>16</v>
      </c>
      <c r="D12835" s="734">
        <v>143.89847771598096</v>
      </c>
      <c r="E12835" s="733"/>
    </row>
    <row r="12836" spans="2:5">
      <c r="B12836" s="121">
        <v>1098</v>
      </c>
      <c r="C12836" s="121">
        <v>17</v>
      </c>
      <c r="D12836" s="734">
        <v>135.66589970743439</v>
      </c>
      <c r="E12836" s="733"/>
    </row>
    <row r="12837" spans="2:5">
      <c r="B12837" s="121">
        <v>1098</v>
      </c>
      <c r="C12837" s="121">
        <v>18</v>
      </c>
      <c r="D12837" s="734">
        <v>142.44160277501561</v>
      </c>
      <c r="E12837" s="733"/>
    </row>
    <row r="12838" spans="2:5">
      <c r="B12838" s="121">
        <v>1098</v>
      </c>
      <c r="C12838" s="121">
        <v>19</v>
      </c>
      <c r="D12838" s="734">
        <v>137.285232230215</v>
      </c>
      <c r="E12838" s="733"/>
    </row>
    <row r="12839" spans="2:5">
      <c r="B12839" s="121">
        <v>1098</v>
      </c>
      <c r="C12839" s="121">
        <v>20</v>
      </c>
      <c r="D12839" s="734">
        <v>134.97994233598558</v>
      </c>
      <c r="E12839" s="733"/>
    </row>
    <row r="12840" spans="2:5">
      <c r="B12840" s="121">
        <v>1098</v>
      </c>
      <c r="C12840" s="121">
        <v>21</v>
      </c>
      <c r="D12840" s="734">
        <v>145.0671058348949</v>
      </c>
      <c r="E12840" s="733"/>
    </row>
    <row r="12841" spans="2:5">
      <c r="B12841" s="121">
        <v>1098</v>
      </c>
      <c r="C12841" s="121">
        <v>22</v>
      </c>
      <c r="D12841" s="734">
        <v>143.49710659180815</v>
      </c>
      <c r="E12841" s="733"/>
    </row>
    <row r="12842" spans="2:5">
      <c r="B12842" s="121">
        <v>1098</v>
      </c>
      <c r="C12842" s="121">
        <v>23</v>
      </c>
      <c r="D12842" s="734">
        <v>145.96046509354059</v>
      </c>
      <c r="E12842" s="733"/>
    </row>
    <row r="12843" spans="2:5">
      <c r="B12843" s="121">
        <v>1098</v>
      </c>
      <c r="C12843" s="121">
        <v>24</v>
      </c>
      <c r="D12843" s="734">
        <v>134.90674114703233</v>
      </c>
      <c r="E12843" s="733"/>
    </row>
    <row r="12844" spans="2:5">
      <c r="B12844" s="121">
        <v>1098</v>
      </c>
      <c r="C12844" s="121">
        <v>25</v>
      </c>
      <c r="D12844" s="734">
        <v>144.41480512776735</v>
      </c>
      <c r="E12844" s="733"/>
    </row>
    <row r="12845" spans="2:5">
      <c r="B12845" s="121">
        <v>1098</v>
      </c>
      <c r="C12845" s="121">
        <v>26</v>
      </c>
      <c r="D12845" s="734">
        <v>136.89799997451931</v>
      </c>
      <c r="E12845" s="733"/>
    </row>
    <row r="12846" spans="2:5">
      <c r="B12846" s="121">
        <v>1098</v>
      </c>
      <c r="C12846" s="121">
        <v>27</v>
      </c>
      <c r="D12846" s="734">
        <v>144.95344713181038</v>
      </c>
      <c r="E12846" s="733"/>
    </row>
    <row r="12847" spans="2:5">
      <c r="B12847" s="121">
        <v>1098</v>
      </c>
      <c r="C12847" s="121">
        <v>28</v>
      </c>
      <c r="D12847" s="734">
        <v>137.60029015542457</v>
      </c>
      <c r="E12847" s="733"/>
    </row>
    <row r="12848" spans="2:5">
      <c r="B12848" s="121">
        <v>1098</v>
      </c>
      <c r="C12848" s="121">
        <v>29</v>
      </c>
      <c r="D12848" s="734">
        <v>141.57463184262912</v>
      </c>
      <c r="E12848" s="733"/>
    </row>
    <row r="12849" spans="2:5">
      <c r="B12849" s="121">
        <v>1098</v>
      </c>
      <c r="C12849" s="121">
        <v>30</v>
      </c>
      <c r="D12849" s="734">
        <v>142.01933423863835</v>
      </c>
      <c r="E12849" s="733"/>
    </row>
    <row r="12850" spans="2:5">
      <c r="B12850" s="121">
        <v>1098</v>
      </c>
      <c r="C12850" s="121">
        <v>31</v>
      </c>
      <c r="D12850" s="734">
        <v>143.99348238304518</v>
      </c>
      <c r="E12850" s="733"/>
    </row>
    <row r="12851" spans="2:5">
      <c r="B12851" s="121">
        <v>1098</v>
      </c>
      <c r="C12851" s="121">
        <v>32</v>
      </c>
      <c r="D12851" s="734">
        <v>145.38804537147942</v>
      </c>
      <c r="E12851" s="733"/>
    </row>
    <row r="12852" spans="2:5">
      <c r="B12852" s="121">
        <v>1098</v>
      </c>
      <c r="C12852" s="121">
        <v>33</v>
      </c>
      <c r="D12852" s="734">
        <v>138.47787326084307</v>
      </c>
      <c r="E12852" s="733"/>
    </row>
    <row r="12853" spans="2:5">
      <c r="B12853" s="121">
        <v>1098</v>
      </c>
      <c r="C12853" s="121">
        <v>34</v>
      </c>
      <c r="D12853" s="734">
        <v>136.67908684475773</v>
      </c>
      <c r="E12853" s="733"/>
    </row>
    <row r="12854" spans="2:5">
      <c r="B12854" s="121">
        <v>1098</v>
      </c>
      <c r="C12854" s="121">
        <v>35</v>
      </c>
      <c r="D12854" s="734">
        <v>139.32738922387145</v>
      </c>
      <c r="E12854" s="733"/>
    </row>
    <row r="12855" spans="2:5">
      <c r="B12855" s="121">
        <v>1098</v>
      </c>
      <c r="C12855" s="121">
        <v>36</v>
      </c>
      <c r="D12855" s="734">
        <v>140.85765943939251</v>
      </c>
      <c r="E12855" s="733"/>
    </row>
    <row r="12856" spans="2:5">
      <c r="B12856" s="121">
        <v>1099</v>
      </c>
      <c r="C12856" s="121">
        <v>1</v>
      </c>
      <c r="D12856" s="734">
        <v>5</v>
      </c>
      <c r="E12856" s="733"/>
    </row>
    <row r="12857" spans="2:5">
      <c r="B12857" s="121">
        <v>1099</v>
      </c>
      <c r="C12857" s="121">
        <v>2</v>
      </c>
      <c r="D12857" s="734">
        <v>97.065480410697674</v>
      </c>
      <c r="E12857" s="733"/>
    </row>
    <row r="12858" spans="2:5">
      <c r="B12858" s="121">
        <v>1099</v>
      </c>
      <c r="C12858" s="121">
        <v>3</v>
      </c>
      <c r="D12858" s="734">
        <v>114.28311286819967</v>
      </c>
      <c r="E12858" s="733"/>
    </row>
    <row r="12859" spans="2:5">
      <c r="B12859" s="121">
        <v>1099</v>
      </c>
      <c r="C12859" s="121">
        <v>4</v>
      </c>
      <c r="D12859" s="734">
        <v>140.66672418203899</v>
      </c>
      <c r="E12859" s="733"/>
    </row>
    <row r="12860" spans="2:5">
      <c r="B12860" s="121">
        <v>1099</v>
      </c>
      <c r="C12860" s="121">
        <v>5</v>
      </c>
      <c r="D12860" s="734">
        <v>140.36217765556111</v>
      </c>
      <c r="E12860" s="733"/>
    </row>
    <row r="12861" spans="2:5">
      <c r="B12861" s="121">
        <v>1099</v>
      </c>
      <c r="C12861" s="121">
        <v>6</v>
      </c>
      <c r="D12861" s="734">
        <v>142.3308636429378</v>
      </c>
      <c r="E12861" s="733"/>
    </row>
    <row r="12862" spans="2:5">
      <c r="B12862" s="121">
        <v>1099</v>
      </c>
      <c r="C12862" s="121">
        <v>7</v>
      </c>
      <c r="D12862" s="734">
        <v>144.66359502947648</v>
      </c>
      <c r="E12862" s="733"/>
    </row>
    <row r="12863" spans="2:5">
      <c r="B12863" s="121">
        <v>1099</v>
      </c>
      <c r="C12863" s="121">
        <v>8</v>
      </c>
      <c r="D12863" s="734">
        <v>134.82667503695978</v>
      </c>
      <c r="E12863" s="733"/>
    </row>
    <row r="12864" spans="2:5">
      <c r="B12864" s="121">
        <v>1100</v>
      </c>
      <c r="C12864" s="121">
        <v>1</v>
      </c>
      <c r="D12864" s="734">
        <v>5</v>
      </c>
      <c r="E12864" s="733"/>
    </row>
    <row r="12865" spans="2:5">
      <c r="B12865" s="121">
        <v>1101</v>
      </c>
      <c r="C12865" s="121">
        <v>1</v>
      </c>
      <c r="D12865" s="734">
        <v>5</v>
      </c>
      <c r="E12865" s="733"/>
    </row>
    <row r="12866" spans="2:5">
      <c r="B12866" s="121">
        <v>1101</v>
      </c>
      <c r="C12866" s="121">
        <v>2</v>
      </c>
      <c r="D12866" s="734">
        <v>100.07019820850603</v>
      </c>
      <c r="E12866" s="733"/>
    </row>
    <row r="12867" spans="2:5">
      <c r="B12867" s="121">
        <v>1101</v>
      </c>
      <c r="C12867" s="121">
        <v>3</v>
      </c>
      <c r="D12867" s="734">
        <v>116.29864835845393</v>
      </c>
      <c r="E12867" s="733"/>
    </row>
    <row r="12868" spans="2:5">
      <c r="B12868" s="121">
        <v>1101</v>
      </c>
      <c r="C12868" s="121">
        <v>4</v>
      </c>
      <c r="D12868" s="734">
        <v>145.82181382638981</v>
      </c>
      <c r="E12868" s="733"/>
    </row>
    <row r="12869" spans="2:5">
      <c r="B12869" s="121">
        <v>1101</v>
      </c>
      <c r="C12869" s="121">
        <v>5</v>
      </c>
      <c r="D12869" s="734">
        <v>146.06046854168855</v>
      </c>
      <c r="E12869" s="733"/>
    </row>
    <row r="12870" spans="2:5">
      <c r="B12870" s="121">
        <v>1101</v>
      </c>
      <c r="C12870" s="121">
        <v>6</v>
      </c>
      <c r="D12870" s="734">
        <v>134.47221515133231</v>
      </c>
      <c r="E12870" s="733"/>
    </row>
    <row r="12871" spans="2:5">
      <c r="B12871" s="121">
        <v>1101</v>
      </c>
      <c r="C12871" s="121">
        <v>7</v>
      </c>
      <c r="D12871" s="734">
        <v>137.5300122199337</v>
      </c>
      <c r="E12871" s="733"/>
    </row>
    <row r="12872" spans="2:5">
      <c r="B12872" s="121">
        <v>1101</v>
      </c>
      <c r="C12872" s="121">
        <v>8</v>
      </c>
      <c r="D12872" s="734">
        <v>136.71344419891133</v>
      </c>
      <c r="E12872" s="733"/>
    </row>
    <row r="12873" spans="2:5">
      <c r="B12873" s="121">
        <v>1101</v>
      </c>
      <c r="C12873" s="121">
        <v>9</v>
      </c>
      <c r="D12873" s="734">
        <v>145.86764718321024</v>
      </c>
      <c r="E12873" s="733"/>
    </row>
    <row r="12874" spans="2:5">
      <c r="B12874" s="121">
        <v>1101</v>
      </c>
      <c r="C12874" s="121">
        <v>10</v>
      </c>
      <c r="D12874" s="734">
        <v>138.61994289290956</v>
      </c>
      <c r="E12874" s="733"/>
    </row>
    <row r="12875" spans="2:5">
      <c r="B12875" s="121">
        <v>1101</v>
      </c>
      <c r="C12875" s="121">
        <v>11</v>
      </c>
      <c r="D12875" s="734">
        <v>134.53881028550131</v>
      </c>
      <c r="E12875" s="733"/>
    </row>
    <row r="12876" spans="2:5">
      <c r="B12876" s="121">
        <v>1101</v>
      </c>
      <c r="C12876" s="121">
        <v>12</v>
      </c>
      <c r="D12876" s="734">
        <v>142.47416331296989</v>
      </c>
      <c r="E12876" s="733"/>
    </row>
    <row r="12877" spans="2:5">
      <c r="B12877" s="121">
        <v>1101</v>
      </c>
      <c r="C12877" s="121">
        <v>13</v>
      </c>
      <c r="D12877" s="734">
        <v>143.87070239360713</v>
      </c>
      <c r="E12877" s="733"/>
    </row>
    <row r="12878" spans="2:5">
      <c r="B12878" s="121">
        <v>1101</v>
      </c>
      <c r="C12878" s="121">
        <v>14</v>
      </c>
      <c r="D12878" s="734">
        <v>145.59773983535462</v>
      </c>
      <c r="E12878" s="733"/>
    </row>
    <row r="12879" spans="2:5">
      <c r="B12879" s="121">
        <v>1101</v>
      </c>
      <c r="C12879" s="121">
        <v>15</v>
      </c>
      <c r="D12879" s="734">
        <v>135.26338843051414</v>
      </c>
      <c r="E12879" s="733"/>
    </row>
    <row r="12880" spans="2:5">
      <c r="B12880" s="121">
        <v>1101</v>
      </c>
      <c r="C12880" s="121">
        <v>16</v>
      </c>
      <c r="D12880" s="734">
        <v>144.89697265924534</v>
      </c>
      <c r="E12880" s="733"/>
    </row>
    <row r="12881" spans="2:5">
      <c r="B12881" s="121">
        <v>1101</v>
      </c>
      <c r="C12881" s="121">
        <v>17</v>
      </c>
      <c r="D12881" s="734">
        <v>141.60090872715227</v>
      </c>
      <c r="E12881" s="733"/>
    </row>
    <row r="12882" spans="2:5">
      <c r="B12882" s="121">
        <v>1101</v>
      </c>
      <c r="C12882" s="121">
        <v>18</v>
      </c>
      <c r="D12882" s="734">
        <v>134.51575386209132</v>
      </c>
      <c r="E12882" s="733"/>
    </row>
    <row r="12883" spans="2:5">
      <c r="B12883" s="121">
        <v>1101</v>
      </c>
      <c r="C12883" s="121">
        <v>19</v>
      </c>
      <c r="D12883" s="734">
        <v>145.26470528624893</v>
      </c>
      <c r="E12883" s="733"/>
    </row>
    <row r="12884" spans="2:5">
      <c r="B12884" s="121">
        <v>1101</v>
      </c>
      <c r="C12884" s="121">
        <v>20</v>
      </c>
      <c r="D12884" s="734">
        <v>136.81451993068222</v>
      </c>
      <c r="E12884" s="733"/>
    </row>
    <row r="12885" spans="2:5">
      <c r="B12885" s="121">
        <v>1101</v>
      </c>
      <c r="C12885" s="121">
        <v>21</v>
      </c>
      <c r="D12885" s="734">
        <v>140.92783127356375</v>
      </c>
      <c r="E12885" s="733"/>
    </row>
    <row r="12886" spans="2:5">
      <c r="B12886" s="121">
        <v>1101</v>
      </c>
      <c r="C12886" s="121">
        <v>22</v>
      </c>
      <c r="D12886" s="734">
        <v>136.22728279276669</v>
      </c>
      <c r="E12886" s="733"/>
    </row>
    <row r="12887" spans="2:5">
      <c r="B12887" s="121">
        <v>1101</v>
      </c>
      <c r="C12887" s="121">
        <v>23</v>
      </c>
      <c r="D12887" s="734">
        <v>135.00033323058202</v>
      </c>
      <c r="E12887" s="733"/>
    </row>
    <row r="12888" spans="2:5">
      <c r="B12888" s="121">
        <v>1101</v>
      </c>
      <c r="C12888" s="121">
        <v>24</v>
      </c>
      <c r="D12888" s="734">
        <v>136.00202456948495</v>
      </c>
      <c r="E12888" s="733"/>
    </row>
    <row r="12889" spans="2:5">
      <c r="B12889" s="121">
        <v>1101</v>
      </c>
      <c r="C12889" s="121">
        <v>25</v>
      </c>
      <c r="D12889" s="734">
        <v>146.61686096280911</v>
      </c>
      <c r="E12889" s="733"/>
    </row>
    <row r="12890" spans="2:5">
      <c r="B12890" s="121">
        <v>1101</v>
      </c>
      <c r="C12890" s="121">
        <v>26</v>
      </c>
      <c r="D12890" s="734">
        <v>134.32942916922508</v>
      </c>
      <c r="E12890" s="733"/>
    </row>
    <row r="12891" spans="2:5">
      <c r="B12891" s="121">
        <v>1101</v>
      </c>
      <c r="C12891" s="121">
        <v>27</v>
      </c>
      <c r="D12891" s="734">
        <v>141.26886953098276</v>
      </c>
      <c r="E12891" s="733"/>
    </row>
    <row r="12892" spans="2:5">
      <c r="B12892" s="121">
        <v>1101</v>
      </c>
      <c r="C12892" s="121">
        <v>28</v>
      </c>
      <c r="D12892" s="734">
        <v>143.57423703245263</v>
      </c>
      <c r="E12892" s="733"/>
    </row>
    <row r="12893" spans="2:5">
      <c r="B12893" s="121">
        <v>1101</v>
      </c>
      <c r="C12893" s="121">
        <v>29</v>
      </c>
      <c r="D12893" s="734">
        <v>141.30069840645123</v>
      </c>
      <c r="E12893" s="733"/>
    </row>
    <row r="12894" spans="2:5">
      <c r="B12894" s="121">
        <v>1101</v>
      </c>
      <c r="C12894" s="121">
        <v>30</v>
      </c>
      <c r="D12894" s="734">
        <v>136.74856127143525</v>
      </c>
      <c r="E12894" s="733"/>
    </row>
    <row r="12895" spans="2:5">
      <c r="B12895" s="121">
        <v>1101</v>
      </c>
      <c r="C12895" s="121">
        <v>31</v>
      </c>
      <c r="D12895" s="734">
        <v>139.43530337387105</v>
      </c>
      <c r="E12895" s="733"/>
    </row>
    <row r="12896" spans="2:5">
      <c r="B12896" s="121">
        <v>1101</v>
      </c>
      <c r="C12896" s="121">
        <v>32</v>
      </c>
      <c r="D12896" s="734">
        <v>146.92645019769228</v>
      </c>
      <c r="E12896" s="733"/>
    </row>
    <row r="12897" spans="2:5">
      <c r="B12897" s="121">
        <v>1101</v>
      </c>
      <c r="C12897" s="121">
        <v>33</v>
      </c>
      <c r="D12897" s="734">
        <v>140.91821508624867</v>
      </c>
      <c r="E12897" s="733"/>
    </row>
    <row r="12898" spans="2:5">
      <c r="B12898" s="121">
        <v>1101</v>
      </c>
      <c r="C12898" s="121">
        <v>34</v>
      </c>
      <c r="D12898" s="734">
        <v>144.4705578075444</v>
      </c>
      <c r="E12898" s="733"/>
    </row>
    <row r="12899" spans="2:5">
      <c r="B12899" s="121">
        <v>1101</v>
      </c>
      <c r="C12899" s="121">
        <v>35</v>
      </c>
      <c r="D12899" s="734">
        <v>141.02829364116621</v>
      </c>
      <c r="E12899" s="733"/>
    </row>
    <row r="12900" spans="2:5">
      <c r="B12900" s="121">
        <v>1101</v>
      </c>
      <c r="C12900" s="121">
        <v>36</v>
      </c>
      <c r="D12900" s="734">
        <v>140.50588301530121</v>
      </c>
      <c r="E12900" s="733"/>
    </row>
    <row r="12901" spans="2:5">
      <c r="B12901" s="121">
        <v>1102</v>
      </c>
      <c r="C12901" s="121">
        <v>1</v>
      </c>
      <c r="D12901" s="734">
        <v>5</v>
      </c>
      <c r="E12901" s="733"/>
    </row>
    <row r="12902" spans="2:5">
      <c r="B12902" s="121">
        <v>1102</v>
      </c>
      <c r="C12902" s="121">
        <v>2</v>
      </c>
      <c r="D12902" s="734">
        <v>95.721651931735067</v>
      </c>
      <c r="E12902" s="733"/>
    </row>
    <row r="12903" spans="2:5">
      <c r="B12903" s="121">
        <v>1102</v>
      </c>
      <c r="C12903" s="121">
        <v>3</v>
      </c>
      <c r="D12903" s="734">
        <v>115.11498739353313</v>
      </c>
      <c r="E12903" s="733"/>
    </row>
    <row r="12904" spans="2:5">
      <c r="B12904" s="121">
        <v>1102</v>
      </c>
      <c r="C12904" s="121">
        <v>4</v>
      </c>
      <c r="D12904" s="734">
        <v>136.23487084419006</v>
      </c>
      <c r="E12904" s="733"/>
    </row>
    <row r="12905" spans="2:5">
      <c r="B12905" s="121">
        <v>1102</v>
      </c>
      <c r="C12905" s="121">
        <v>5</v>
      </c>
      <c r="D12905" s="734">
        <v>146.30125024694638</v>
      </c>
      <c r="E12905" s="733"/>
    </row>
    <row r="12906" spans="2:5">
      <c r="B12906" s="121">
        <v>1102</v>
      </c>
      <c r="C12906" s="121">
        <v>6</v>
      </c>
      <c r="D12906" s="734">
        <v>141.93050294007568</v>
      </c>
      <c r="E12906" s="733"/>
    </row>
    <row r="12907" spans="2:5">
      <c r="B12907" s="121">
        <v>1102</v>
      </c>
      <c r="C12907" s="121">
        <v>7</v>
      </c>
      <c r="D12907" s="734">
        <v>144.9462544343402</v>
      </c>
      <c r="E12907" s="733"/>
    </row>
    <row r="12908" spans="2:5">
      <c r="B12908" s="121">
        <v>1102</v>
      </c>
      <c r="C12908" s="121">
        <v>8</v>
      </c>
      <c r="D12908" s="734">
        <v>137.25075624682285</v>
      </c>
      <c r="E12908" s="733"/>
    </row>
    <row r="12909" spans="2:5">
      <c r="B12909" s="121">
        <v>1102</v>
      </c>
      <c r="C12909" s="121">
        <v>9</v>
      </c>
      <c r="D12909" s="734">
        <v>145.64123274715234</v>
      </c>
      <c r="E12909" s="733"/>
    </row>
    <row r="12910" spans="2:5">
      <c r="B12910" s="121">
        <v>1102</v>
      </c>
      <c r="C12910" s="121">
        <v>10</v>
      </c>
      <c r="D12910" s="734">
        <v>140.41418878806493</v>
      </c>
      <c r="E12910" s="733"/>
    </row>
    <row r="12911" spans="2:5">
      <c r="B12911" s="121">
        <v>1102</v>
      </c>
      <c r="C12911" s="121">
        <v>11</v>
      </c>
      <c r="D12911" s="734">
        <v>135.53580290295764</v>
      </c>
      <c r="E12911" s="733"/>
    </row>
    <row r="12912" spans="2:5">
      <c r="B12912" s="121">
        <v>1102</v>
      </c>
      <c r="C12912" s="121">
        <v>12</v>
      </c>
      <c r="D12912" s="734">
        <v>140.73509147399608</v>
      </c>
      <c r="E12912" s="733"/>
    </row>
    <row r="12913" spans="2:5">
      <c r="B12913" s="121">
        <v>1102</v>
      </c>
      <c r="C12913" s="121">
        <v>13</v>
      </c>
      <c r="D12913" s="734">
        <v>140.75057873595722</v>
      </c>
      <c r="E12913" s="733"/>
    </row>
    <row r="12914" spans="2:5">
      <c r="B12914" s="121">
        <v>1102</v>
      </c>
      <c r="C12914" s="121">
        <v>14</v>
      </c>
      <c r="D12914" s="734">
        <v>144.54163127426426</v>
      </c>
      <c r="E12914" s="733"/>
    </row>
    <row r="12915" spans="2:5">
      <c r="B12915" s="121">
        <v>1102</v>
      </c>
      <c r="C12915" s="121">
        <v>15</v>
      </c>
      <c r="D12915" s="734">
        <v>142.96219354575686</v>
      </c>
      <c r="E12915" s="733"/>
    </row>
    <row r="12916" spans="2:5">
      <c r="B12916" s="121">
        <v>1102</v>
      </c>
      <c r="C12916" s="121">
        <v>16</v>
      </c>
      <c r="D12916" s="734">
        <v>135.989317938537</v>
      </c>
      <c r="E12916" s="733"/>
    </row>
    <row r="12917" spans="2:5">
      <c r="B12917" s="121">
        <v>1102</v>
      </c>
      <c r="C12917" s="121">
        <v>17</v>
      </c>
      <c r="D12917" s="734">
        <v>141.63705737594037</v>
      </c>
      <c r="E12917" s="733"/>
    </row>
    <row r="12918" spans="2:5">
      <c r="B12918" s="121">
        <v>1103</v>
      </c>
      <c r="C12918" s="121">
        <v>1</v>
      </c>
      <c r="D12918" s="734">
        <v>5</v>
      </c>
      <c r="E12918" s="733"/>
    </row>
    <row r="12919" spans="2:5">
      <c r="B12919" s="121">
        <v>1103</v>
      </c>
      <c r="C12919" s="121">
        <v>2</v>
      </c>
      <c r="D12919" s="734">
        <v>98.74815799291234</v>
      </c>
      <c r="E12919" s="733"/>
    </row>
    <row r="12920" spans="2:5">
      <c r="B12920" s="121">
        <v>1103</v>
      </c>
      <c r="C12920" s="121">
        <v>3</v>
      </c>
      <c r="D12920" s="734">
        <v>122.77231020951079</v>
      </c>
      <c r="E12920" s="733"/>
    </row>
    <row r="12921" spans="2:5">
      <c r="B12921" s="121">
        <v>1103</v>
      </c>
      <c r="C12921" s="121">
        <v>4</v>
      </c>
      <c r="D12921" s="734">
        <v>137.93552569879151</v>
      </c>
      <c r="E12921" s="733"/>
    </row>
    <row r="12922" spans="2:5">
      <c r="B12922" s="121">
        <v>1103</v>
      </c>
      <c r="C12922" s="121">
        <v>5</v>
      </c>
      <c r="D12922" s="734">
        <v>142.45909316211009</v>
      </c>
      <c r="E12922" s="733"/>
    </row>
    <row r="12923" spans="2:5">
      <c r="B12923" s="121">
        <v>1103</v>
      </c>
      <c r="C12923" s="121">
        <v>6</v>
      </c>
      <c r="D12923" s="734">
        <v>145.31533806953144</v>
      </c>
      <c r="E12923" s="733"/>
    </row>
    <row r="12924" spans="2:5">
      <c r="B12924" s="121">
        <v>1103</v>
      </c>
      <c r="C12924" s="121">
        <v>7</v>
      </c>
      <c r="D12924" s="734">
        <v>144.95039298870768</v>
      </c>
      <c r="E12924" s="733"/>
    </row>
    <row r="12925" spans="2:5">
      <c r="B12925" s="121">
        <v>1103</v>
      </c>
      <c r="C12925" s="121">
        <v>8</v>
      </c>
      <c r="D12925" s="734">
        <v>144.22087281116467</v>
      </c>
      <c r="E12925" s="733"/>
    </row>
    <row r="12926" spans="2:5">
      <c r="B12926" s="121">
        <v>1103</v>
      </c>
      <c r="C12926" s="121">
        <v>9</v>
      </c>
      <c r="D12926" s="734">
        <v>135.57049159790196</v>
      </c>
      <c r="E12926" s="733"/>
    </row>
    <row r="12927" spans="2:5">
      <c r="B12927" s="121">
        <v>1104</v>
      </c>
      <c r="C12927" s="121">
        <v>1</v>
      </c>
      <c r="D12927" s="734">
        <v>5</v>
      </c>
      <c r="E12927" s="733"/>
    </row>
    <row r="12928" spans="2:5">
      <c r="B12928" s="121">
        <v>1104</v>
      </c>
      <c r="C12928" s="121">
        <v>2</v>
      </c>
      <c r="D12928" s="734">
        <v>94.984178097555159</v>
      </c>
      <c r="E12928" s="733"/>
    </row>
    <row r="12929" spans="2:5">
      <c r="B12929" s="121">
        <v>1104</v>
      </c>
      <c r="C12929" s="121">
        <v>3</v>
      </c>
      <c r="D12929" s="734">
        <v>120.16543571023075</v>
      </c>
      <c r="E12929" s="733"/>
    </row>
    <row r="12930" spans="2:5">
      <c r="B12930" s="121">
        <v>1104</v>
      </c>
      <c r="C12930" s="121">
        <v>4</v>
      </c>
      <c r="D12930" s="734">
        <v>146.87125508595278</v>
      </c>
      <c r="E12930" s="733"/>
    </row>
    <row r="12931" spans="2:5">
      <c r="B12931" s="121">
        <v>1104</v>
      </c>
      <c r="C12931" s="121">
        <v>5</v>
      </c>
      <c r="D12931" s="734">
        <v>146.80364758823058</v>
      </c>
      <c r="E12931" s="733"/>
    </row>
    <row r="12932" spans="2:5">
      <c r="B12932" s="121">
        <v>1104</v>
      </c>
      <c r="C12932" s="121">
        <v>6</v>
      </c>
      <c r="D12932" s="734">
        <v>146.23321893791703</v>
      </c>
      <c r="E12932" s="733"/>
    </row>
    <row r="12933" spans="2:5">
      <c r="B12933" s="121">
        <v>1104</v>
      </c>
      <c r="C12933" s="121">
        <v>7</v>
      </c>
      <c r="D12933" s="734">
        <v>140.52985075767506</v>
      </c>
      <c r="E12933" s="733"/>
    </row>
    <row r="12934" spans="2:5">
      <c r="B12934" s="121">
        <v>1104</v>
      </c>
      <c r="C12934" s="121">
        <v>8</v>
      </c>
      <c r="D12934" s="734">
        <v>143.07100468681026</v>
      </c>
      <c r="E12934" s="733"/>
    </row>
    <row r="12935" spans="2:5">
      <c r="B12935" s="121">
        <v>1104</v>
      </c>
      <c r="C12935" s="121">
        <v>9</v>
      </c>
      <c r="D12935" s="734">
        <v>138.0690668726576</v>
      </c>
      <c r="E12935" s="733"/>
    </row>
    <row r="12936" spans="2:5">
      <c r="B12936" s="121">
        <v>1104</v>
      </c>
      <c r="C12936" s="121">
        <v>10</v>
      </c>
      <c r="D12936" s="734">
        <v>143.78684586044417</v>
      </c>
      <c r="E12936" s="733"/>
    </row>
    <row r="12937" spans="2:5">
      <c r="B12937" s="121">
        <v>1104</v>
      </c>
      <c r="C12937" s="121">
        <v>11</v>
      </c>
      <c r="D12937" s="734">
        <v>142.61990395580298</v>
      </c>
      <c r="E12937" s="733"/>
    </row>
    <row r="12938" spans="2:5">
      <c r="B12938" s="121">
        <v>1104</v>
      </c>
      <c r="C12938" s="121">
        <v>12</v>
      </c>
      <c r="D12938" s="734">
        <v>142.75618851444952</v>
      </c>
      <c r="E12938" s="733"/>
    </row>
    <row r="12939" spans="2:5">
      <c r="B12939" s="121">
        <v>1104</v>
      </c>
      <c r="C12939" s="121">
        <v>13</v>
      </c>
      <c r="D12939" s="734">
        <v>140.77209638870039</v>
      </c>
      <c r="E12939" s="733"/>
    </row>
    <row r="12940" spans="2:5">
      <c r="B12940" s="121">
        <v>1104</v>
      </c>
      <c r="C12940" s="121">
        <v>14</v>
      </c>
      <c r="D12940" s="734">
        <v>134.16250245982053</v>
      </c>
      <c r="E12940" s="733"/>
    </row>
    <row r="12941" spans="2:5">
      <c r="B12941" s="121">
        <v>1104</v>
      </c>
      <c r="C12941" s="121">
        <v>15</v>
      </c>
      <c r="D12941" s="734">
        <v>146.46094685507802</v>
      </c>
      <c r="E12941" s="733"/>
    </row>
    <row r="12942" spans="2:5">
      <c r="B12942" s="121">
        <v>1105</v>
      </c>
      <c r="C12942" s="121">
        <v>1</v>
      </c>
      <c r="D12942" s="734">
        <v>5</v>
      </c>
      <c r="E12942" s="733"/>
    </row>
    <row r="12943" spans="2:5">
      <c r="B12943" s="121">
        <v>1105</v>
      </c>
      <c r="C12943" s="121">
        <v>2</v>
      </c>
      <c r="D12943" s="734">
        <v>94.082163927045983</v>
      </c>
      <c r="E12943" s="733"/>
    </row>
    <row r="12944" spans="2:5">
      <c r="B12944" s="121">
        <v>1105</v>
      </c>
      <c r="C12944" s="121">
        <v>3</v>
      </c>
      <c r="D12944" s="734">
        <v>119.98523995650578</v>
      </c>
      <c r="E12944" s="733"/>
    </row>
    <row r="12945" spans="2:5">
      <c r="B12945" s="121">
        <v>1105</v>
      </c>
      <c r="C12945" s="121">
        <v>4</v>
      </c>
      <c r="D12945" s="734">
        <v>140.29434253751168</v>
      </c>
      <c r="E12945" s="733"/>
    </row>
    <row r="12946" spans="2:5">
      <c r="B12946" s="121">
        <v>1105</v>
      </c>
      <c r="C12946" s="121">
        <v>5</v>
      </c>
      <c r="D12946" s="734">
        <v>145.73347555754799</v>
      </c>
      <c r="E12946" s="733"/>
    </row>
    <row r="12947" spans="2:5">
      <c r="B12947" s="121">
        <v>1105</v>
      </c>
      <c r="C12947" s="121">
        <v>6</v>
      </c>
      <c r="D12947" s="734">
        <v>141.28506899651902</v>
      </c>
      <c r="E12947" s="733"/>
    </row>
    <row r="12948" spans="2:5">
      <c r="B12948" s="121">
        <v>1105</v>
      </c>
      <c r="C12948" s="121">
        <v>7</v>
      </c>
      <c r="D12948" s="734">
        <v>137.73105654884381</v>
      </c>
      <c r="E12948" s="733"/>
    </row>
    <row r="12949" spans="2:5">
      <c r="B12949" s="121">
        <v>1105</v>
      </c>
      <c r="C12949" s="121">
        <v>8</v>
      </c>
      <c r="D12949" s="734">
        <v>134.3844776179277</v>
      </c>
      <c r="E12949" s="733"/>
    </row>
    <row r="12950" spans="2:5">
      <c r="B12950" s="121">
        <v>1105</v>
      </c>
      <c r="C12950" s="121">
        <v>9</v>
      </c>
      <c r="D12950" s="734">
        <v>145.36010747497579</v>
      </c>
      <c r="E12950" s="733"/>
    </row>
    <row r="12951" spans="2:5">
      <c r="B12951" s="121">
        <v>1105</v>
      </c>
      <c r="C12951" s="121">
        <v>10</v>
      </c>
      <c r="D12951" s="734">
        <v>146.10334026710228</v>
      </c>
      <c r="E12951" s="733"/>
    </row>
    <row r="12952" spans="2:5">
      <c r="B12952" s="121">
        <v>1106</v>
      </c>
      <c r="C12952" s="121">
        <v>1</v>
      </c>
      <c r="D12952" s="734">
        <v>5</v>
      </c>
      <c r="E12952" s="733"/>
    </row>
    <row r="12953" spans="2:5">
      <c r="B12953" s="121">
        <v>1106</v>
      </c>
      <c r="C12953" s="121">
        <v>2</v>
      </c>
      <c r="D12953" s="734">
        <v>100.15928133104519</v>
      </c>
      <c r="E12953" s="733"/>
    </row>
    <row r="12954" spans="2:5">
      <c r="B12954" s="121">
        <v>1106</v>
      </c>
      <c r="C12954" s="121">
        <v>3</v>
      </c>
      <c r="D12954" s="734">
        <v>120.94119535888672</v>
      </c>
      <c r="E12954" s="733"/>
    </row>
    <row r="12955" spans="2:5">
      <c r="B12955" s="121">
        <v>1106</v>
      </c>
      <c r="C12955" s="121">
        <v>4</v>
      </c>
      <c r="D12955" s="734">
        <v>136.99739224557274</v>
      </c>
      <c r="E12955" s="733"/>
    </row>
    <row r="12956" spans="2:5">
      <c r="B12956" s="121">
        <v>1106</v>
      </c>
      <c r="C12956" s="121">
        <v>5</v>
      </c>
      <c r="D12956" s="734">
        <v>139.05340097233733</v>
      </c>
      <c r="E12956" s="733"/>
    </row>
    <row r="12957" spans="2:5">
      <c r="B12957" s="121">
        <v>1106</v>
      </c>
      <c r="C12957" s="121">
        <v>6</v>
      </c>
      <c r="D12957" s="734">
        <v>142.22596747272794</v>
      </c>
      <c r="E12957" s="733"/>
    </row>
    <row r="12958" spans="2:5">
      <c r="B12958" s="121">
        <v>1106</v>
      </c>
      <c r="C12958" s="121">
        <v>7</v>
      </c>
      <c r="D12958" s="734">
        <v>140.38428799244872</v>
      </c>
      <c r="E12958" s="733"/>
    </row>
    <row r="12959" spans="2:5">
      <c r="B12959" s="121">
        <v>1106</v>
      </c>
      <c r="C12959" s="121">
        <v>8</v>
      </c>
      <c r="D12959" s="734">
        <v>144.4984606019085</v>
      </c>
      <c r="E12959" s="733"/>
    </row>
    <row r="12960" spans="2:5">
      <c r="B12960" s="121">
        <v>1106</v>
      </c>
      <c r="C12960" s="121">
        <v>9</v>
      </c>
      <c r="D12960" s="734">
        <v>135.93399778225483</v>
      </c>
      <c r="E12960" s="733"/>
    </row>
    <row r="12961" spans="2:5">
      <c r="B12961" s="121">
        <v>1106</v>
      </c>
      <c r="C12961" s="121">
        <v>10</v>
      </c>
      <c r="D12961" s="734">
        <v>145.78916648028755</v>
      </c>
      <c r="E12961" s="733"/>
    </row>
    <row r="12962" spans="2:5">
      <c r="B12962" s="121">
        <v>1106</v>
      </c>
      <c r="C12962" s="121">
        <v>11</v>
      </c>
      <c r="D12962" s="734">
        <v>145.68450996732224</v>
      </c>
      <c r="E12962" s="733"/>
    </row>
    <row r="12963" spans="2:5">
      <c r="B12963" s="121">
        <v>1106</v>
      </c>
      <c r="C12963" s="121">
        <v>12</v>
      </c>
      <c r="D12963" s="734">
        <v>145.41679272813781</v>
      </c>
      <c r="E12963" s="733"/>
    </row>
    <row r="12964" spans="2:5">
      <c r="B12964" s="121">
        <v>1106</v>
      </c>
      <c r="C12964" s="121">
        <v>13</v>
      </c>
      <c r="D12964" s="734">
        <v>142.73929492710053</v>
      </c>
      <c r="E12964" s="733"/>
    </row>
    <row r="12965" spans="2:5">
      <c r="B12965" s="121">
        <v>1106</v>
      </c>
      <c r="C12965" s="121">
        <v>14</v>
      </c>
      <c r="D12965" s="734">
        <v>136.38431550091838</v>
      </c>
      <c r="E12965" s="733"/>
    </row>
    <row r="12966" spans="2:5">
      <c r="B12966" s="121">
        <v>1106</v>
      </c>
      <c r="C12966" s="121">
        <v>15</v>
      </c>
      <c r="D12966" s="734">
        <v>142.64800049875231</v>
      </c>
      <c r="E12966" s="733"/>
    </row>
    <row r="12967" spans="2:5">
      <c r="B12967" s="121">
        <v>1106</v>
      </c>
      <c r="C12967" s="121">
        <v>16</v>
      </c>
      <c r="D12967" s="734">
        <v>138.73118491301668</v>
      </c>
      <c r="E12967" s="733"/>
    </row>
    <row r="12968" spans="2:5">
      <c r="B12968" s="121">
        <v>1106</v>
      </c>
      <c r="C12968" s="121">
        <v>17</v>
      </c>
      <c r="D12968" s="734">
        <v>144.59548724629451</v>
      </c>
      <c r="E12968" s="733"/>
    </row>
    <row r="12969" spans="2:5">
      <c r="B12969" s="121">
        <v>1106</v>
      </c>
      <c r="C12969" s="121">
        <v>18</v>
      </c>
      <c r="D12969" s="734">
        <v>141.93192268520943</v>
      </c>
      <c r="E12969" s="733"/>
    </row>
    <row r="12970" spans="2:5">
      <c r="B12970" s="121">
        <v>1106</v>
      </c>
      <c r="C12970" s="121">
        <v>19</v>
      </c>
      <c r="D12970" s="734">
        <v>135.71356541361538</v>
      </c>
      <c r="E12970" s="733"/>
    </row>
    <row r="12971" spans="2:5">
      <c r="B12971" s="121">
        <v>1106</v>
      </c>
      <c r="C12971" s="121">
        <v>20</v>
      </c>
      <c r="D12971" s="734">
        <v>143.20015613552377</v>
      </c>
      <c r="E12971" s="733"/>
    </row>
    <row r="12972" spans="2:5">
      <c r="B12972" s="121">
        <v>1106</v>
      </c>
      <c r="C12972" s="121">
        <v>21</v>
      </c>
      <c r="D12972" s="734">
        <v>146.33535226743066</v>
      </c>
      <c r="E12972" s="733"/>
    </row>
    <row r="12973" spans="2:5">
      <c r="B12973" s="121">
        <v>1106</v>
      </c>
      <c r="C12973" s="121">
        <v>22</v>
      </c>
      <c r="D12973" s="734">
        <v>137.83346885431959</v>
      </c>
      <c r="E12973" s="733"/>
    </row>
    <row r="12974" spans="2:5">
      <c r="B12974" s="121">
        <v>1106</v>
      </c>
      <c r="C12974" s="121">
        <v>23</v>
      </c>
      <c r="D12974" s="734">
        <v>146.66341870320983</v>
      </c>
      <c r="E12974" s="733"/>
    </row>
    <row r="12975" spans="2:5">
      <c r="B12975" s="121">
        <v>1106</v>
      </c>
      <c r="C12975" s="121">
        <v>24</v>
      </c>
      <c r="D12975" s="734">
        <v>139.67073663233867</v>
      </c>
      <c r="E12975" s="733"/>
    </row>
    <row r="12976" spans="2:5">
      <c r="B12976" s="121">
        <v>1106</v>
      </c>
      <c r="C12976" s="121">
        <v>25</v>
      </c>
      <c r="D12976" s="734">
        <v>143.61622855741763</v>
      </c>
      <c r="E12976" s="733"/>
    </row>
    <row r="12977" spans="2:5">
      <c r="B12977" s="121">
        <v>1106</v>
      </c>
      <c r="C12977" s="121">
        <v>26</v>
      </c>
      <c r="D12977" s="734">
        <v>135.68856744685539</v>
      </c>
      <c r="E12977" s="733"/>
    </row>
    <row r="12978" spans="2:5">
      <c r="B12978" s="121">
        <v>1106</v>
      </c>
      <c r="C12978" s="121">
        <v>27</v>
      </c>
      <c r="D12978" s="734">
        <v>139.75664975081608</v>
      </c>
      <c r="E12978" s="733"/>
    </row>
    <row r="12979" spans="2:5">
      <c r="B12979" s="121">
        <v>1106</v>
      </c>
      <c r="C12979" s="121">
        <v>28</v>
      </c>
      <c r="D12979" s="734">
        <v>144.83649562376985</v>
      </c>
      <c r="E12979" s="733"/>
    </row>
    <row r="12980" spans="2:5">
      <c r="B12980" s="121">
        <v>1106</v>
      </c>
      <c r="C12980" s="121">
        <v>29</v>
      </c>
      <c r="D12980" s="734">
        <v>135.49378784014357</v>
      </c>
      <c r="E12980" s="733"/>
    </row>
    <row r="12981" spans="2:5">
      <c r="B12981" s="121">
        <v>1106</v>
      </c>
      <c r="C12981" s="121">
        <v>30</v>
      </c>
      <c r="D12981" s="734">
        <v>141.97011182365537</v>
      </c>
      <c r="E12981" s="733"/>
    </row>
    <row r="12982" spans="2:5">
      <c r="B12982" s="121">
        <v>1106</v>
      </c>
      <c r="C12982" s="121">
        <v>31</v>
      </c>
      <c r="D12982" s="734">
        <v>145.51211050133827</v>
      </c>
      <c r="E12982" s="733"/>
    </row>
    <row r="12983" spans="2:5">
      <c r="B12983" s="121">
        <v>1106</v>
      </c>
      <c r="C12983" s="121">
        <v>32</v>
      </c>
      <c r="D12983" s="734">
        <v>135.42254297031792</v>
      </c>
      <c r="E12983" s="733"/>
    </row>
    <row r="12984" spans="2:5">
      <c r="B12984" s="121">
        <v>1106</v>
      </c>
      <c r="C12984" s="121">
        <v>33</v>
      </c>
      <c r="D12984" s="734">
        <v>145.73637163057904</v>
      </c>
      <c r="E12984" s="733"/>
    </row>
    <row r="12985" spans="2:5">
      <c r="B12985" s="121">
        <v>1106</v>
      </c>
      <c r="C12985" s="121">
        <v>34</v>
      </c>
      <c r="D12985" s="734">
        <v>138.29622035000793</v>
      </c>
      <c r="E12985" s="733"/>
    </row>
    <row r="12986" spans="2:5">
      <c r="B12986" s="121">
        <v>1106</v>
      </c>
      <c r="C12986" s="121">
        <v>35</v>
      </c>
      <c r="D12986" s="734">
        <v>143.85986637874987</v>
      </c>
      <c r="E12986" s="733"/>
    </row>
    <row r="12987" spans="2:5">
      <c r="B12987" s="121">
        <v>1106</v>
      </c>
      <c r="C12987" s="121">
        <v>36</v>
      </c>
      <c r="D12987" s="734">
        <v>138.94273163049195</v>
      </c>
      <c r="E12987" s="733"/>
    </row>
    <row r="12988" spans="2:5">
      <c r="B12988" s="121">
        <v>1107</v>
      </c>
      <c r="C12988" s="121">
        <v>1</v>
      </c>
      <c r="D12988" s="734">
        <v>5</v>
      </c>
      <c r="E12988" s="733"/>
    </row>
    <row r="12989" spans="2:5">
      <c r="B12989" s="121">
        <v>1108</v>
      </c>
      <c r="C12989" s="121">
        <v>1</v>
      </c>
      <c r="D12989" s="734">
        <v>5</v>
      </c>
      <c r="E12989" s="733"/>
    </row>
    <row r="12990" spans="2:5">
      <c r="B12990" s="121">
        <v>1108</v>
      </c>
      <c r="C12990" s="121">
        <v>2</v>
      </c>
      <c r="D12990" s="734">
        <v>98.707671740424033</v>
      </c>
      <c r="E12990" s="733"/>
    </row>
    <row r="12991" spans="2:5">
      <c r="B12991" s="121">
        <v>1108</v>
      </c>
      <c r="C12991" s="121">
        <v>3</v>
      </c>
      <c r="D12991" s="734">
        <v>117.57222933427649</v>
      </c>
      <c r="E12991" s="733"/>
    </row>
    <row r="12992" spans="2:5">
      <c r="B12992" s="121">
        <v>1108</v>
      </c>
      <c r="C12992" s="121">
        <v>4</v>
      </c>
      <c r="D12992" s="734">
        <v>139.87117615791968</v>
      </c>
      <c r="E12992" s="733"/>
    </row>
    <row r="12993" spans="2:5">
      <c r="B12993" s="121">
        <v>1108</v>
      </c>
      <c r="C12993" s="121">
        <v>5</v>
      </c>
      <c r="D12993" s="734">
        <v>141.20326216709594</v>
      </c>
      <c r="E12993" s="733"/>
    </row>
    <row r="12994" spans="2:5">
      <c r="B12994" s="121">
        <v>1108</v>
      </c>
      <c r="C12994" s="121">
        <v>6</v>
      </c>
      <c r="D12994" s="734">
        <v>141.51524582720208</v>
      </c>
      <c r="E12994" s="733"/>
    </row>
    <row r="12995" spans="2:5">
      <c r="B12995" s="121">
        <v>1108</v>
      </c>
      <c r="C12995" s="121">
        <v>7</v>
      </c>
      <c r="D12995" s="734">
        <v>146.82584292296659</v>
      </c>
      <c r="E12995" s="733"/>
    </row>
    <row r="12996" spans="2:5">
      <c r="B12996" s="121">
        <v>1108</v>
      </c>
      <c r="C12996" s="121">
        <v>8</v>
      </c>
      <c r="D12996" s="734">
        <v>142.37065783255079</v>
      </c>
      <c r="E12996" s="733"/>
    </row>
    <row r="12997" spans="2:5">
      <c r="B12997" s="121">
        <v>1108</v>
      </c>
      <c r="C12997" s="121">
        <v>9</v>
      </c>
      <c r="D12997" s="734">
        <v>135.0427075615803</v>
      </c>
      <c r="E12997" s="733"/>
    </row>
    <row r="12998" spans="2:5">
      <c r="B12998" s="121">
        <v>1108</v>
      </c>
      <c r="C12998" s="121">
        <v>10</v>
      </c>
      <c r="D12998" s="734">
        <v>138.98934613552035</v>
      </c>
      <c r="E12998" s="733"/>
    </row>
    <row r="12999" spans="2:5">
      <c r="B12999" s="121">
        <v>1108</v>
      </c>
      <c r="C12999" s="121">
        <v>11</v>
      </c>
      <c r="D12999" s="734">
        <v>141.74639043284634</v>
      </c>
      <c r="E12999" s="733"/>
    </row>
    <row r="13000" spans="2:5">
      <c r="B13000" s="121">
        <v>1108</v>
      </c>
      <c r="C13000" s="121">
        <v>12</v>
      </c>
      <c r="D13000" s="734">
        <v>142.67406326199173</v>
      </c>
      <c r="E13000" s="733"/>
    </row>
    <row r="13001" spans="2:5">
      <c r="B13001" s="121">
        <v>1108</v>
      </c>
      <c r="C13001" s="121">
        <v>13</v>
      </c>
      <c r="D13001" s="734">
        <v>133.68430175506842</v>
      </c>
      <c r="E13001" s="733"/>
    </row>
    <row r="13002" spans="2:5">
      <c r="B13002" s="121">
        <v>1108</v>
      </c>
      <c r="C13002" s="121">
        <v>14</v>
      </c>
      <c r="D13002" s="734">
        <v>141.90478762610599</v>
      </c>
      <c r="E13002" s="733"/>
    </row>
    <row r="13003" spans="2:5">
      <c r="B13003" s="121">
        <v>1108</v>
      </c>
      <c r="C13003" s="121">
        <v>15</v>
      </c>
      <c r="D13003" s="734">
        <v>145.8311817151916</v>
      </c>
      <c r="E13003" s="733"/>
    </row>
    <row r="13004" spans="2:5">
      <c r="B13004" s="121">
        <v>1108</v>
      </c>
      <c r="C13004" s="121">
        <v>16</v>
      </c>
      <c r="D13004" s="734">
        <v>137.45917471269863</v>
      </c>
      <c r="E13004" s="733"/>
    </row>
    <row r="13005" spans="2:5">
      <c r="B13005" s="121">
        <v>1108</v>
      </c>
      <c r="C13005" s="121">
        <v>17</v>
      </c>
      <c r="D13005" s="734">
        <v>143.68454304961253</v>
      </c>
      <c r="E13005" s="733"/>
    </row>
    <row r="13006" spans="2:5">
      <c r="B13006" s="121">
        <v>1109</v>
      </c>
      <c r="C13006" s="121">
        <v>1</v>
      </c>
      <c r="D13006" s="734">
        <v>5</v>
      </c>
      <c r="E13006" s="733"/>
    </row>
    <row r="13007" spans="2:5">
      <c r="B13007" s="121">
        <v>1109</v>
      </c>
      <c r="C13007" s="121">
        <v>2</v>
      </c>
      <c r="D13007" s="734">
        <v>94.258948316264409</v>
      </c>
      <c r="E13007" s="733"/>
    </row>
    <row r="13008" spans="2:5">
      <c r="B13008" s="121">
        <v>1109</v>
      </c>
      <c r="C13008" s="121">
        <v>3</v>
      </c>
      <c r="D13008" s="734">
        <v>118.11326619218291</v>
      </c>
      <c r="E13008" s="733"/>
    </row>
    <row r="13009" spans="2:5">
      <c r="B13009" s="121">
        <v>1109</v>
      </c>
      <c r="C13009" s="121">
        <v>4</v>
      </c>
      <c r="D13009" s="734">
        <v>136.57826192659289</v>
      </c>
      <c r="E13009" s="733"/>
    </row>
    <row r="13010" spans="2:5">
      <c r="B13010" s="121">
        <v>1109</v>
      </c>
      <c r="C13010" s="121">
        <v>5</v>
      </c>
      <c r="D13010" s="734">
        <v>137.61427770408014</v>
      </c>
      <c r="E13010" s="733"/>
    </row>
    <row r="13011" spans="2:5">
      <c r="B13011" s="121">
        <v>1109</v>
      </c>
      <c r="C13011" s="121">
        <v>6</v>
      </c>
      <c r="D13011" s="734">
        <v>144.78248973489016</v>
      </c>
      <c r="E13011" s="733"/>
    </row>
    <row r="13012" spans="2:5">
      <c r="B13012" s="121">
        <v>1110</v>
      </c>
      <c r="C13012" s="121">
        <v>1</v>
      </c>
      <c r="D13012" s="734">
        <v>5</v>
      </c>
      <c r="E13012" s="733"/>
    </row>
    <row r="13013" spans="2:5">
      <c r="B13013" s="121">
        <v>1110</v>
      </c>
      <c r="C13013" s="121">
        <v>2</v>
      </c>
      <c r="D13013" s="734">
        <v>102.84808805456997</v>
      </c>
      <c r="E13013" s="733"/>
    </row>
    <row r="13014" spans="2:5">
      <c r="B13014" s="121">
        <v>1110</v>
      </c>
      <c r="C13014" s="121">
        <v>3</v>
      </c>
      <c r="D13014" s="734">
        <v>117.64468803659119</v>
      </c>
      <c r="E13014" s="733"/>
    </row>
    <row r="13015" spans="2:5">
      <c r="B13015" s="121">
        <v>1110</v>
      </c>
      <c r="C13015" s="121">
        <v>4</v>
      </c>
      <c r="D13015" s="734">
        <v>136.04055956288715</v>
      </c>
      <c r="E13015" s="733"/>
    </row>
    <row r="13016" spans="2:5">
      <c r="B13016" s="121">
        <v>1110</v>
      </c>
      <c r="C13016" s="121">
        <v>5</v>
      </c>
      <c r="D13016" s="734">
        <v>139.80887818465035</v>
      </c>
      <c r="E13016" s="733"/>
    </row>
    <row r="13017" spans="2:5">
      <c r="B13017" s="121">
        <v>1110</v>
      </c>
      <c r="C13017" s="121">
        <v>6</v>
      </c>
      <c r="D13017" s="734">
        <v>145.6960725476477</v>
      </c>
      <c r="E13017" s="733"/>
    </row>
    <row r="13018" spans="2:5">
      <c r="B13018" s="121">
        <v>1110</v>
      </c>
      <c r="C13018" s="121">
        <v>7</v>
      </c>
      <c r="D13018" s="734">
        <v>143.00995817877958</v>
      </c>
      <c r="E13018" s="733"/>
    </row>
    <row r="13019" spans="2:5">
      <c r="B13019" s="121">
        <v>1110</v>
      </c>
      <c r="C13019" s="121">
        <v>8</v>
      </c>
      <c r="D13019" s="734">
        <v>142.36250204679868</v>
      </c>
      <c r="E13019" s="733"/>
    </row>
    <row r="13020" spans="2:5">
      <c r="B13020" s="121">
        <v>1110</v>
      </c>
      <c r="C13020" s="121">
        <v>9</v>
      </c>
      <c r="D13020" s="734">
        <v>139.9903851868132</v>
      </c>
      <c r="E13020" s="733"/>
    </row>
    <row r="13021" spans="2:5">
      <c r="B13021" s="121">
        <v>1110</v>
      </c>
      <c r="C13021" s="121">
        <v>10</v>
      </c>
      <c r="D13021" s="734">
        <v>138.67779743545483</v>
      </c>
      <c r="E13021" s="733"/>
    </row>
    <row r="13022" spans="2:5">
      <c r="B13022" s="121">
        <v>1110</v>
      </c>
      <c r="C13022" s="121">
        <v>11</v>
      </c>
      <c r="D13022" s="734">
        <v>137.85498083048682</v>
      </c>
      <c r="E13022" s="733"/>
    </row>
    <row r="13023" spans="2:5">
      <c r="B13023" s="121">
        <v>1110</v>
      </c>
      <c r="C13023" s="121">
        <v>12</v>
      </c>
      <c r="D13023" s="734">
        <v>145.87823397955995</v>
      </c>
      <c r="E13023" s="733"/>
    </row>
    <row r="13024" spans="2:5">
      <c r="B13024" s="121">
        <v>1110</v>
      </c>
      <c r="C13024" s="121">
        <v>13</v>
      </c>
      <c r="D13024" s="734">
        <v>146.22990806074915</v>
      </c>
      <c r="E13024" s="733"/>
    </row>
    <row r="13025" spans="2:5">
      <c r="B13025" s="121">
        <v>1110</v>
      </c>
      <c r="C13025" s="121">
        <v>14</v>
      </c>
      <c r="D13025" s="734">
        <v>145.05230396137995</v>
      </c>
      <c r="E13025" s="733"/>
    </row>
    <row r="13026" spans="2:5">
      <c r="B13026" s="121">
        <v>1110</v>
      </c>
      <c r="C13026" s="121">
        <v>15</v>
      </c>
      <c r="D13026" s="734">
        <v>137.76753146258059</v>
      </c>
      <c r="E13026" s="733"/>
    </row>
    <row r="13027" spans="2:5">
      <c r="B13027" s="121">
        <v>1110</v>
      </c>
      <c r="C13027" s="121">
        <v>16</v>
      </c>
      <c r="D13027" s="734">
        <v>135.61357998649578</v>
      </c>
      <c r="E13027" s="733"/>
    </row>
    <row r="13028" spans="2:5">
      <c r="B13028" s="121">
        <v>1110</v>
      </c>
      <c r="C13028" s="121">
        <v>17</v>
      </c>
      <c r="D13028" s="734">
        <v>136.72418224189155</v>
      </c>
      <c r="E13028" s="733"/>
    </row>
    <row r="13029" spans="2:5">
      <c r="B13029" s="121">
        <v>1110</v>
      </c>
      <c r="C13029" s="121">
        <v>18</v>
      </c>
      <c r="D13029" s="734">
        <v>146.26454771677587</v>
      </c>
      <c r="E13029" s="733"/>
    </row>
    <row r="13030" spans="2:5">
      <c r="B13030" s="121">
        <v>1110</v>
      </c>
      <c r="C13030" s="121">
        <v>19</v>
      </c>
      <c r="D13030" s="734">
        <v>143.98929791060303</v>
      </c>
      <c r="E13030" s="733"/>
    </row>
    <row r="13031" spans="2:5">
      <c r="B13031" s="121">
        <v>1110</v>
      </c>
      <c r="C13031" s="121">
        <v>20</v>
      </c>
      <c r="D13031" s="734">
        <v>146.63799399294729</v>
      </c>
      <c r="E13031" s="733"/>
    </row>
    <row r="13032" spans="2:5">
      <c r="B13032" s="121">
        <v>1110</v>
      </c>
      <c r="C13032" s="121">
        <v>21</v>
      </c>
      <c r="D13032" s="734">
        <v>145.67237937819516</v>
      </c>
      <c r="E13032" s="733"/>
    </row>
    <row r="13033" spans="2:5">
      <c r="B13033" s="121">
        <v>1110</v>
      </c>
      <c r="C13033" s="121">
        <v>22</v>
      </c>
      <c r="D13033" s="734">
        <v>134.90350064741452</v>
      </c>
      <c r="E13033" s="733"/>
    </row>
    <row r="13034" spans="2:5">
      <c r="B13034" s="121">
        <v>1110</v>
      </c>
      <c r="C13034" s="121">
        <v>23</v>
      </c>
      <c r="D13034" s="734">
        <v>141.66628675888597</v>
      </c>
      <c r="E13034" s="733"/>
    </row>
    <row r="13035" spans="2:5">
      <c r="B13035" s="121">
        <v>1110</v>
      </c>
      <c r="C13035" s="121">
        <v>24</v>
      </c>
      <c r="D13035" s="734">
        <v>134.80731695676653</v>
      </c>
      <c r="E13035" s="733"/>
    </row>
    <row r="13036" spans="2:5">
      <c r="B13036" s="121">
        <v>1110</v>
      </c>
      <c r="C13036" s="121">
        <v>25</v>
      </c>
      <c r="D13036" s="734">
        <v>140.95477337965664</v>
      </c>
      <c r="E13036" s="733"/>
    </row>
    <row r="13037" spans="2:5">
      <c r="B13037" s="121">
        <v>1110</v>
      </c>
      <c r="C13037" s="121">
        <v>26</v>
      </c>
      <c r="D13037" s="734">
        <v>138.39269994756683</v>
      </c>
      <c r="E13037" s="733"/>
    </row>
    <row r="13038" spans="2:5">
      <c r="B13038" s="121">
        <v>1110</v>
      </c>
      <c r="C13038" s="121">
        <v>27</v>
      </c>
      <c r="D13038" s="734">
        <v>143.06314238669387</v>
      </c>
      <c r="E13038" s="733"/>
    </row>
    <row r="13039" spans="2:5">
      <c r="B13039" s="121">
        <v>1110</v>
      </c>
      <c r="C13039" s="121">
        <v>28</v>
      </c>
      <c r="D13039" s="734">
        <v>143.74392685780367</v>
      </c>
      <c r="E13039" s="733"/>
    </row>
    <row r="13040" spans="2:5">
      <c r="B13040" s="121">
        <v>1110</v>
      </c>
      <c r="C13040" s="121">
        <v>29</v>
      </c>
      <c r="D13040" s="734">
        <v>135.38016271288802</v>
      </c>
      <c r="E13040" s="733"/>
    </row>
    <row r="13041" spans="2:5">
      <c r="B13041" s="121">
        <v>1110</v>
      </c>
      <c r="C13041" s="121">
        <v>30</v>
      </c>
      <c r="D13041" s="734">
        <v>133.99490870008512</v>
      </c>
      <c r="E13041" s="733"/>
    </row>
    <row r="13042" spans="2:5">
      <c r="B13042" s="121">
        <v>1110</v>
      </c>
      <c r="C13042" s="121">
        <v>31</v>
      </c>
      <c r="D13042" s="734">
        <v>140.02102807258888</v>
      </c>
      <c r="E13042" s="733"/>
    </row>
    <row r="13043" spans="2:5">
      <c r="B13043" s="121">
        <v>1110</v>
      </c>
      <c r="C13043" s="121">
        <v>32</v>
      </c>
      <c r="D13043" s="734">
        <v>144.88565288082648</v>
      </c>
      <c r="E13043" s="733"/>
    </row>
    <row r="13044" spans="2:5">
      <c r="B13044" s="121">
        <v>1110</v>
      </c>
      <c r="C13044" s="121">
        <v>33</v>
      </c>
      <c r="D13044" s="734">
        <v>134.39991991700347</v>
      </c>
      <c r="E13044" s="733"/>
    </row>
    <row r="13045" spans="2:5">
      <c r="B13045" s="121">
        <v>1110</v>
      </c>
      <c r="C13045" s="121">
        <v>34</v>
      </c>
      <c r="D13045" s="734">
        <v>139.22211106117135</v>
      </c>
      <c r="E13045" s="733"/>
    </row>
    <row r="13046" spans="2:5">
      <c r="B13046" s="121">
        <v>1110</v>
      </c>
      <c r="C13046" s="121">
        <v>35</v>
      </c>
      <c r="D13046" s="734">
        <v>137.55745179330941</v>
      </c>
      <c r="E13046" s="733"/>
    </row>
    <row r="13047" spans="2:5">
      <c r="B13047" s="121">
        <v>1110</v>
      </c>
      <c r="C13047" s="121">
        <v>36</v>
      </c>
      <c r="D13047" s="734">
        <v>140.61437470873511</v>
      </c>
      <c r="E13047" s="733"/>
    </row>
    <row r="13048" spans="2:5">
      <c r="B13048" s="121">
        <v>1111</v>
      </c>
      <c r="C13048" s="121">
        <v>1</v>
      </c>
      <c r="D13048" s="734">
        <v>5</v>
      </c>
      <c r="E13048" s="733"/>
    </row>
    <row r="13049" spans="2:5">
      <c r="B13049" s="121">
        <v>1111</v>
      </c>
      <c r="C13049" s="121">
        <v>2</v>
      </c>
      <c r="D13049" s="734">
        <v>103.04103593310028</v>
      </c>
      <c r="E13049" s="733"/>
    </row>
    <row r="13050" spans="2:5">
      <c r="B13050" s="121">
        <v>1111</v>
      </c>
      <c r="C13050" s="121">
        <v>3</v>
      </c>
      <c r="D13050" s="734">
        <v>116.01904465176122</v>
      </c>
      <c r="E13050" s="733"/>
    </row>
    <row r="13051" spans="2:5">
      <c r="B13051" s="121">
        <v>1111</v>
      </c>
      <c r="C13051" s="121">
        <v>4</v>
      </c>
      <c r="D13051" s="734">
        <v>135.98126676263428</v>
      </c>
      <c r="E13051" s="733"/>
    </row>
    <row r="13052" spans="2:5">
      <c r="B13052" s="121">
        <v>1111</v>
      </c>
      <c r="C13052" s="121">
        <v>5</v>
      </c>
      <c r="D13052" s="734">
        <v>141.867975274694</v>
      </c>
      <c r="E13052" s="733"/>
    </row>
    <row r="13053" spans="2:5">
      <c r="B13053" s="121">
        <v>1111</v>
      </c>
      <c r="C13053" s="121">
        <v>6</v>
      </c>
      <c r="D13053" s="734">
        <v>143.46238551476253</v>
      </c>
      <c r="E13053" s="733"/>
    </row>
    <row r="13054" spans="2:5">
      <c r="B13054" s="121">
        <v>1111</v>
      </c>
      <c r="C13054" s="121">
        <v>7</v>
      </c>
      <c r="D13054" s="734">
        <v>134.30364031565037</v>
      </c>
      <c r="E13054" s="733"/>
    </row>
    <row r="13055" spans="2:5">
      <c r="B13055" s="121">
        <v>1111</v>
      </c>
      <c r="C13055" s="121">
        <v>8</v>
      </c>
      <c r="D13055" s="734">
        <v>142.32042680208858</v>
      </c>
      <c r="E13055" s="733"/>
    </row>
    <row r="13056" spans="2:5">
      <c r="B13056" s="121">
        <v>1111</v>
      </c>
      <c r="C13056" s="121">
        <v>9</v>
      </c>
      <c r="D13056" s="734">
        <v>137.77213046603686</v>
      </c>
      <c r="E13056" s="733"/>
    </row>
    <row r="13057" spans="2:5">
      <c r="B13057" s="121">
        <v>1111</v>
      </c>
      <c r="C13057" s="121">
        <v>10</v>
      </c>
      <c r="D13057" s="734">
        <v>143.44902847868087</v>
      </c>
      <c r="E13057" s="733"/>
    </row>
    <row r="13058" spans="2:5">
      <c r="B13058" s="121">
        <v>1111</v>
      </c>
      <c r="C13058" s="121">
        <v>11</v>
      </c>
      <c r="D13058" s="734">
        <v>145.00680085868791</v>
      </c>
      <c r="E13058" s="733"/>
    </row>
    <row r="13059" spans="2:5">
      <c r="B13059" s="121">
        <v>1111</v>
      </c>
      <c r="C13059" s="121">
        <v>12</v>
      </c>
      <c r="D13059" s="734">
        <v>145.99278803505618</v>
      </c>
      <c r="E13059" s="733"/>
    </row>
    <row r="13060" spans="2:5">
      <c r="B13060" s="121">
        <v>1111</v>
      </c>
      <c r="C13060" s="121">
        <v>13</v>
      </c>
      <c r="D13060" s="734">
        <v>137.56769564366041</v>
      </c>
      <c r="E13060" s="733"/>
    </row>
    <row r="13061" spans="2:5">
      <c r="B13061" s="121">
        <v>1111</v>
      </c>
      <c r="C13061" s="121">
        <v>14</v>
      </c>
      <c r="D13061" s="734">
        <v>146.87975810630186</v>
      </c>
      <c r="E13061" s="733"/>
    </row>
    <row r="13062" spans="2:5">
      <c r="B13062" s="121">
        <v>1111</v>
      </c>
      <c r="C13062" s="121">
        <v>15</v>
      </c>
      <c r="D13062" s="734">
        <v>138.91936405042398</v>
      </c>
      <c r="E13062" s="733"/>
    </row>
    <row r="13063" spans="2:5">
      <c r="B13063" s="121">
        <v>1111</v>
      </c>
      <c r="C13063" s="121">
        <v>16</v>
      </c>
      <c r="D13063" s="734">
        <v>134.73659086983506</v>
      </c>
      <c r="E13063" s="733"/>
    </row>
    <row r="13064" spans="2:5">
      <c r="B13064" s="121">
        <v>1111</v>
      </c>
      <c r="C13064" s="121">
        <v>17</v>
      </c>
      <c r="D13064" s="734">
        <v>143.64803661071898</v>
      </c>
      <c r="E13064" s="733"/>
    </row>
    <row r="13065" spans="2:5">
      <c r="B13065" s="121">
        <v>1111</v>
      </c>
      <c r="C13065" s="121">
        <v>18</v>
      </c>
      <c r="D13065" s="734">
        <v>147.01843873919765</v>
      </c>
      <c r="E13065" s="733"/>
    </row>
    <row r="13066" spans="2:5">
      <c r="B13066" s="121">
        <v>1111</v>
      </c>
      <c r="C13066" s="121">
        <v>19</v>
      </c>
      <c r="D13066" s="734">
        <v>140.28879667786401</v>
      </c>
      <c r="E13066" s="733"/>
    </row>
    <row r="13067" spans="2:5">
      <c r="B13067" s="121">
        <v>1111</v>
      </c>
      <c r="C13067" s="121">
        <v>20</v>
      </c>
      <c r="D13067" s="734">
        <v>138.94433816583762</v>
      </c>
      <c r="E13067" s="733"/>
    </row>
    <row r="13068" spans="2:5">
      <c r="B13068" s="121">
        <v>1111</v>
      </c>
      <c r="C13068" s="121">
        <v>21</v>
      </c>
      <c r="D13068" s="734">
        <v>136.53276117352615</v>
      </c>
      <c r="E13068" s="733"/>
    </row>
    <row r="13069" spans="2:5">
      <c r="B13069" s="121">
        <v>1111</v>
      </c>
      <c r="C13069" s="121">
        <v>22</v>
      </c>
      <c r="D13069" s="734">
        <v>141.78217169385218</v>
      </c>
      <c r="E13069" s="733"/>
    </row>
    <row r="13070" spans="2:5">
      <c r="B13070" s="121">
        <v>1111</v>
      </c>
      <c r="C13070" s="121">
        <v>23</v>
      </c>
      <c r="D13070" s="734">
        <v>140.7928778869985</v>
      </c>
      <c r="E13070" s="733"/>
    </row>
    <row r="13071" spans="2:5">
      <c r="B13071" s="121">
        <v>1111</v>
      </c>
      <c r="C13071" s="121">
        <v>24</v>
      </c>
      <c r="D13071" s="734">
        <v>134.91882881733943</v>
      </c>
      <c r="E13071" s="733"/>
    </row>
    <row r="13072" spans="2:5">
      <c r="B13072" s="121">
        <v>1111</v>
      </c>
      <c r="C13072" s="121">
        <v>25</v>
      </c>
      <c r="D13072" s="734">
        <v>137.72050513030547</v>
      </c>
      <c r="E13072" s="733"/>
    </row>
    <row r="13073" spans="2:5">
      <c r="B13073" s="121">
        <v>1111</v>
      </c>
      <c r="C13073" s="121">
        <v>26</v>
      </c>
      <c r="D13073" s="734">
        <v>138.42242630479001</v>
      </c>
      <c r="E13073" s="733"/>
    </row>
    <row r="13074" spans="2:5">
      <c r="B13074" s="121">
        <v>1111</v>
      </c>
      <c r="C13074" s="121">
        <v>27</v>
      </c>
      <c r="D13074" s="734">
        <v>147.0839608563941</v>
      </c>
      <c r="E13074" s="733"/>
    </row>
    <row r="13075" spans="2:5">
      <c r="B13075" s="121">
        <v>1111</v>
      </c>
      <c r="C13075" s="121">
        <v>28</v>
      </c>
      <c r="D13075" s="734">
        <v>145.78181539260666</v>
      </c>
      <c r="E13075" s="733"/>
    </row>
    <row r="13076" spans="2:5">
      <c r="B13076" s="121">
        <v>1111</v>
      </c>
      <c r="C13076" s="121">
        <v>29</v>
      </c>
      <c r="D13076" s="734">
        <v>145.72143584777444</v>
      </c>
      <c r="E13076" s="733"/>
    </row>
    <row r="13077" spans="2:5">
      <c r="B13077" s="121">
        <v>1111</v>
      </c>
      <c r="C13077" s="121">
        <v>30</v>
      </c>
      <c r="D13077" s="734">
        <v>135.43820647579679</v>
      </c>
      <c r="E13077" s="733"/>
    </row>
    <row r="13078" spans="2:5">
      <c r="B13078" s="121">
        <v>1111</v>
      </c>
      <c r="C13078" s="121">
        <v>31</v>
      </c>
      <c r="D13078" s="734">
        <v>144.54939963492296</v>
      </c>
      <c r="E13078" s="733"/>
    </row>
    <row r="13079" spans="2:5">
      <c r="B13079" s="121">
        <v>1111</v>
      </c>
      <c r="C13079" s="121">
        <v>32</v>
      </c>
      <c r="D13079" s="734">
        <v>139.6681319839029</v>
      </c>
      <c r="E13079" s="733"/>
    </row>
    <row r="13080" spans="2:5">
      <c r="B13080" s="121">
        <v>1111</v>
      </c>
      <c r="C13080" s="121">
        <v>33</v>
      </c>
      <c r="D13080" s="734">
        <v>137.34017912913413</v>
      </c>
      <c r="E13080" s="733"/>
    </row>
    <row r="13081" spans="2:5">
      <c r="B13081" s="121">
        <v>1111</v>
      </c>
      <c r="C13081" s="121">
        <v>34</v>
      </c>
      <c r="D13081" s="734">
        <v>146.66693327226298</v>
      </c>
      <c r="E13081" s="733"/>
    </row>
    <row r="13082" spans="2:5">
      <c r="B13082" s="121">
        <v>1111</v>
      </c>
      <c r="C13082" s="121">
        <v>35</v>
      </c>
      <c r="D13082" s="734">
        <v>140.53150026095662</v>
      </c>
      <c r="E13082" s="733"/>
    </row>
    <row r="13083" spans="2:5">
      <c r="B13083" s="121">
        <v>1111</v>
      </c>
      <c r="C13083" s="121">
        <v>36</v>
      </c>
      <c r="D13083" s="734">
        <v>145.3723567365019</v>
      </c>
      <c r="E13083" s="733"/>
    </row>
    <row r="13084" spans="2:5">
      <c r="B13084" s="121">
        <v>1112</v>
      </c>
      <c r="C13084" s="121">
        <v>1</v>
      </c>
      <c r="D13084" s="734">
        <v>5</v>
      </c>
      <c r="E13084" s="733"/>
    </row>
    <row r="13085" spans="2:5">
      <c r="B13085" s="121">
        <v>1112</v>
      </c>
      <c r="C13085" s="121">
        <v>2</v>
      </c>
      <c r="D13085" s="734">
        <v>99.747581654809593</v>
      </c>
      <c r="E13085" s="733"/>
    </row>
    <row r="13086" spans="2:5">
      <c r="B13086" s="121">
        <v>1112</v>
      </c>
      <c r="C13086" s="121">
        <v>3</v>
      </c>
      <c r="D13086" s="734">
        <v>122.59919485297959</v>
      </c>
      <c r="E13086" s="733"/>
    </row>
    <row r="13087" spans="2:5">
      <c r="B13087" s="121">
        <v>1112</v>
      </c>
      <c r="C13087" s="121">
        <v>4</v>
      </c>
      <c r="D13087" s="734">
        <v>143.4180788430713</v>
      </c>
      <c r="E13087" s="733"/>
    </row>
    <row r="13088" spans="2:5">
      <c r="B13088" s="121">
        <v>1112</v>
      </c>
      <c r="C13088" s="121">
        <v>5</v>
      </c>
      <c r="D13088" s="734">
        <v>135.68721763568524</v>
      </c>
      <c r="E13088" s="733"/>
    </row>
    <row r="13089" spans="2:5">
      <c r="B13089" s="121">
        <v>1112</v>
      </c>
      <c r="C13089" s="121">
        <v>6</v>
      </c>
      <c r="D13089" s="734">
        <v>144.06270038530991</v>
      </c>
      <c r="E13089" s="733"/>
    </row>
    <row r="13090" spans="2:5">
      <c r="B13090" s="121">
        <v>1112</v>
      </c>
      <c r="C13090" s="121">
        <v>7</v>
      </c>
      <c r="D13090" s="734">
        <v>138.92456283452083</v>
      </c>
      <c r="E13090" s="733"/>
    </row>
    <row r="13091" spans="2:5">
      <c r="B13091" s="121">
        <v>1112</v>
      </c>
      <c r="C13091" s="121">
        <v>8</v>
      </c>
      <c r="D13091" s="734">
        <v>140.71211917328742</v>
      </c>
      <c r="E13091" s="733"/>
    </row>
    <row r="13092" spans="2:5">
      <c r="B13092" s="121">
        <v>1112</v>
      </c>
      <c r="C13092" s="121">
        <v>9</v>
      </c>
      <c r="D13092" s="734">
        <v>134.7737521817306</v>
      </c>
      <c r="E13092" s="733"/>
    </row>
    <row r="13093" spans="2:5">
      <c r="B13093" s="121">
        <v>1112</v>
      </c>
      <c r="C13093" s="121">
        <v>10</v>
      </c>
      <c r="D13093" s="734">
        <v>136.29020824186773</v>
      </c>
      <c r="E13093" s="733"/>
    </row>
    <row r="13094" spans="2:5">
      <c r="B13094" s="121">
        <v>1112</v>
      </c>
      <c r="C13094" s="121">
        <v>11</v>
      </c>
      <c r="D13094" s="734">
        <v>146.27176987833724</v>
      </c>
      <c r="E13094" s="733"/>
    </row>
    <row r="13095" spans="2:5">
      <c r="B13095" s="121">
        <v>1112</v>
      </c>
      <c r="C13095" s="121">
        <v>12</v>
      </c>
      <c r="D13095" s="734">
        <v>141.22432762460465</v>
      </c>
      <c r="E13095" s="733"/>
    </row>
    <row r="13096" spans="2:5">
      <c r="B13096" s="121">
        <v>1112</v>
      </c>
      <c r="C13096" s="121">
        <v>13</v>
      </c>
      <c r="D13096" s="734">
        <v>134.2403724756598</v>
      </c>
      <c r="E13096" s="733"/>
    </row>
    <row r="13097" spans="2:5">
      <c r="B13097" s="121">
        <v>1112</v>
      </c>
      <c r="C13097" s="121">
        <v>14</v>
      </c>
      <c r="D13097" s="734">
        <v>138.51230224785692</v>
      </c>
      <c r="E13097" s="733"/>
    </row>
    <row r="13098" spans="2:5">
      <c r="B13098" s="121">
        <v>1112</v>
      </c>
      <c r="C13098" s="121">
        <v>15</v>
      </c>
      <c r="D13098" s="734">
        <v>141.0109894176382</v>
      </c>
      <c r="E13098" s="733"/>
    </row>
    <row r="13099" spans="2:5">
      <c r="B13099" s="121">
        <v>1112</v>
      </c>
      <c r="C13099" s="121">
        <v>16</v>
      </c>
      <c r="D13099" s="734">
        <v>145.86460400425665</v>
      </c>
      <c r="E13099" s="733"/>
    </row>
    <row r="13100" spans="2:5">
      <c r="B13100" s="121">
        <v>1112</v>
      </c>
      <c r="C13100" s="121">
        <v>17</v>
      </c>
      <c r="D13100" s="734">
        <v>141.29442599672234</v>
      </c>
      <c r="E13100" s="733"/>
    </row>
    <row r="13101" spans="2:5">
      <c r="B13101" s="121">
        <v>1112</v>
      </c>
      <c r="C13101" s="121">
        <v>18</v>
      </c>
      <c r="D13101" s="734">
        <v>141.55310045330896</v>
      </c>
      <c r="E13101" s="733"/>
    </row>
    <row r="13102" spans="2:5">
      <c r="B13102" s="121">
        <v>1112</v>
      </c>
      <c r="C13102" s="121">
        <v>19</v>
      </c>
      <c r="D13102" s="734">
        <v>136.76074025127213</v>
      </c>
      <c r="E13102" s="733"/>
    </row>
    <row r="13103" spans="2:5">
      <c r="B13103" s="121">
        <v>1112</v>
      </c>
      <c r="C13103" s="121">
        <v>20</v>
      </c>
      <c r="D13103" s="734">
        <v>144.08662914403604</v>
      </c>
      <c r="E13103" s="733"/>
    </row>
    <row r="13104" spans="2:5">
      <c r="B13104" s="121">
        <v>1112</v>
      </c>
      <c r="C13104" s="121">
        <v>21</v>
      </c>
      <c r="D13104" s="734">
        <v>139.88441387213683</v>
      </c>
      <c r="E13104" s="733"/>
    </row>
    <row r="13105" spans="2:5">
      <c r="B13105" s="121">
        <v>1112</v>
      </c>
      <c r="C13105" s="121">
        <v>22</v>
      </c>
      <c r="D13105" s="734">
        <v>145.71377331674972</v>
      </c>
      <c r="E13105" s="733"/>
    </row>
    <row r="13106" spans="2:5">
      <c r="B13106" s="121">
        <v>1112</v>
      </c>
      <c r="C13106" s="121">
        <v>23</v>
      </c>
      <c r="D13106" s="734">
        <v>138.61823365442945</v>
      </c>
      <c r="E13106" s="733"/>
    </row>
    <row r="13107" spans="2:5">
      <c r="B13107" s="121">
        <v>1112</v>
      </c>
      <c r="C13107" s="121">
        <v>24</v>
      </c>
      <c r="D13107" s="734">
        <v>146.34634252697239</v>
      </c>
      <c r="E13107" s="733"/>
    </row>
    <row r="13108" spans="2:5">
      <c r="B13108" s="121">
        <v>1112</v>
      </c>
      <c r="C13108" s="121">
        <v>25</v>
      </c>
      <c r="D13108" s="734">
        <v>146.43138008109591</v>
      </c>
      <c r="E13108" s="733"/>
    </row>
    <row r="13109" spans="2:5">
      <c r="B13109" s="121">
        <v>1112</v>
      </c>
      <c r="C13109" s="121">
        <v>26</v>
      </c>
      <c r="D13109" s="734">
        <v>140.90901075794599</v>
      </c>
      <c r="E13109" s="733"/>
    </row>
    <row r="13110" spans="2:5">
      <c r="B13110" s="121">
        <v>1112</v>
      </c>
      <c r="C13110" s="121">
        <v>27</v>
      </c>
      <c r="D13110" s="734">
        <v>134.71423243336653</v>
      </c>
      <c r="E13110" s="733"/>
    </row>
    <row r="13111" spans="2:5">
      <c r="B13111" s="121">
        <v>1112</v>
      </c>
      <c r="C13111" s="121">
        <v>28</v>
      </c>
      <c r="D13111" s="734">
        <v>134.5583002066376</v>
      </c>
      <c r="E13111" s="733"/>
    </row>
    <row r="13112" spans="2:5">
      <c r="B13112" s="121">
        <v>1112</v>
      </c>
      <c r="C13112" s="121">
        <v>29</v>
      </c>
      <c r="D13112" s="734">
        <v>147.04674849733402</v>
      </c>
      <c r="E13112" s="733"/>
    </row>
    <row r="13113" spans="2:5">
      <c r="B13113" s="121">
        <v>1112</v>
      </c>
      <c r="C13113" s="121">
        <v>30</v>
      </c>
      <c r="D13113" s="734">
        <v>140.28707403999144</v>
      </c>
      <c r="E13113" s="733"/>
    </row>
    <row r="13114" spans="2:5">
      <c r="B13114" s="121">
        <v>1112</v>
      </c>
      <c r="C13114" s="121">
        <v>31</v>
      </c>
      <c r="D13114" s="734">
        <v>134.17267479920946</v>
      </c>
      <c r="E13114" s="733"/>
    </row>
    <row r="13115" spans="2:5">
      <c r="B13115" s="121">
        <v>1112</v>
      </c>
      <c r="C13115" s="121">
        <v>32</v>
      </c>
      <c r="D13115" s="734">
        <v>138.75391540213772</v>
      </c>
      <c r="E13115" s="733"/>
    </row>
    <row r="13116" spans="2:5">
      <c r="B13116" s="121">
        <v>1112</v>
      </c>
      <c r="C13116" s="121">
        <v>33</v>
      </c>
      <c r="D13116" s="734">
        <v>144.32866694378029</v>
      </c>
      <c r="E13116" s="733"/>
    </row>
    <row r="13117" spans="2:5">
      <c r="B13117" s="121">
        <v>1112</v>
      </c>
      <c r="C13117" s="121">
        <v>34</v>
      </c>
      <c r="D13117" s="734">
        <v>141.58860229832075</v>
      </c>
      <c r="E13117" s="733"/>
    </row>
    <row r="13118" spans="2:5">
      <c r="B13118" s="121">
        <v>1112</v>
      </c>
      <c r="C13118" s="121">
        <v>35</v>
      </c>
      <c r="D13118" s="734">
        <v>139.93161711730545</v>
      </c>
      <c r="E13118" s="733"/>
    </row>
    <row r="13119" spans="2:5">
      <c r="B13119" s="121">
        <v>1112</v>
      </c>
      <c r="C13119" s="121">
        <v>36</v>
      </c>
      <c r="D13119" s="734">
        <v>138.77806734013544</v>
      </c>
      <c r="E13119" s="733"/>
    </row>
    <row r="13120" spans="2:5">
      <c r="B13120" s="121">
        <v>1113</v>
      </c>
      <c r="C13120" s="121">
        <v>1</v>
      </c>
      <c r="D13120" s="734">
        <v>5</v>
      </c>
      <c r="E13120" s="733"/>
    </row>
    <row r="13121" spans="2:5">
      <c r="B13121" s="121">
        <v>1113</v>
      </c>
      <c r="C13121" s="121">
        <v>2</v>
      </c>
      <c r="D13121" s="734">
        <v>96.973349674380188</v>
      </c>
      <c r="E13121" s="733"/>
    </row>
    <row r="13122" spans="2:5">
      <c r="B13122" s="121">
        <v>1113</v>
      </c>
      <c r="C13122" s="121">
        <v>3</v>
      </c>
      <c r="D13122" s="734">
        <v>118.12638755249935</v>
      </c>
      <c r="E13122" s="733"/>
    </row>
    <row r="13123" spans="2:5">
      <c r="B13123" s="121">
        <v>1113</v>
      </c>
      <c r="C13123" s="121">
        <v>4</v>
      </c>
      <c r="D13123" s="734">
        <v>141.85178178876282</v>
      </c>
      <c r="E13123" s="733"/>
    </row>
    <row r="13124" spans="2:5">
      <c r="B13124" s="121">
        <v>1113</v>
      </c>
      <c r="C13124" s="121">
        <v>5</v>
      </c>
      <c r="D13124" s="734">
        <v>137.82681888447544</v>
      </c>
      <c r="E13124" s="733"/>
    </row>
    <row r="13125" spans="2:5">
      <c r="B13125" s="121">
        <v>1113</v>
      </c>
      <c r="C13125" s="121">
        <v>6</v>
      </c>
      <c r="D13125" s="734">
        <v>134.16940770796546</v>
      </c>
      <c r="E13125" s="733"/>
    </row>
    <row r="13126" spans="2:5">
      <c r="B13126" s="121">
        <v>1113</v>
      </c>
      <c r="C13126" s="121">
        <v>7</v>
      </c>
      <c r="D13126" s="734">
        <v>138.71583723788325</v>
      </c>
      <c r="E13126" s="733"/>
    </row>
    <row r="13127" spans="2:5">
      <c r="B13127" s="121">
        <v>1113</v>
      </c>
      <c r="C13127" s="121">
        <v>8</v>
      </c>
      <c r="D13127" s="734">
        <v>137.36683162186787</v>
      </c>
      <c r="E13127" s="733"/>
    </row>
    <row r="13128" spans="2:5">
      <c r="B13128" s="121">
        <v>1113</v>
      </c>
      <c r="C13128" s="121">
        <v>9</v>
      </c>
      <c r="D13128" s="734">
        <v>142.39878134003291</v>
      </c>
      <c r="E13128" s="733"/>
    </row>
    <row r="13129" spans="2:5">
      <c r="B13129" s="121">
        <v>1113</v>
      </c>
      <c r="C13129" s="121">
        <v>10</v>
      </c>
      <c r="D13129" s="734">
        <v>137.05480579082885</v>
      </c>
      <c r="E13129" s="733"/>
    </row>
    <row r="13130" spans="2:5">
      <c r="B13130" s="121">
        <v>1113</v>
      </c>
      <c r="C13130" s="121">
        <v>11</v>
      </c>
      <c r="D13130" s="734">
        <v>137.77006188659672</v>
      </c>
      <c r="E13130" s="733"/>
    </row>
    <row r="13131" spans="2:5">
      <c r="B13131" s="121">
        <v>1113</v>
      </c>
      <c r="C13131" s="121">
        <v>12</v>
      </c>
      <c r="D13131" s="734">
        <v>135.2994642609215</v>
      </c>
      <c r="E13131" s="733"/>
    </row>
    <row r="13132" spans="2:5">
      <c r="B13132" s="121">
        <v>1113</v>
      </c>
      <c r="C13132" s="121">
        <v>13</v>
      </c>
      <c r="D13132" s="734">
        <v>142.68248799455662</v>
      </c>
      <c r="E13132" s="733"/>
    </row>
    <row r="13133" spans="2:5">
      <c r="B13133" s="121">
        <v>1113</v>
      </c>
      <c r="C13133" s="121">
        <v>14</v>
      </c>
      <c r="D13133" s="734">
        <v>134.43765326740677</v>
      </c>
      <c r="E13133" s="733"/>
    </row>
    <row r="13134" spans="2:5">
      <c r="B13134" s="121">
        <v>1113</v>
      </c>
      <c r="C13134" s="121">
        <v>15</v>
      </c>
      <c r="D13134" s="734">
        <v>135.21397977874332</v>
      </c>
      <c r="E13134" s="733"/>
    </row>
    <row r="13135" spans="2:5">
      <c r="B13135" s="121">
        <v>1113</v>
      </c>
      <c r="C13135" s="121">
        <v>16</v>
      </c>
      <c r="D13135" s="734">
        <v>141.59249483186818</v>
      </c>
      <c r="E13135" s="733"/>
    </row>
    <row r="13136" spans="2:5">
      <c r="B13136" s="121">
        <v>1113</v>
      </c>
      <c r="C13136" s="121">
        <v>17</v>
      </c>
      <c r="D13136" s="734">
        <v>139.33565736615262</v>
      </c>
      <c r="E13136" s="733"/>
    </row>
    <row r="13137" spans="2:5">
      <c r="B13137" s="121">
        <v>1113</v>
      </c>
      <c r="C13137" s="121">
        <v>18</v>
      </c>
      <c r="D13137" s="734">
        <v>145.92324985911267</v>
      </c>
      <c r="E13137" s="733"/>
    </row>
    <row r="13138" spans="2:5">
      <c r="B13138" s="121">
        <v>1113</v>
      </c>
      <c r="C13138" s="121">
        <v>19</v>
      </c>
      <c r="D13138" s="734">
        <v>139.49064348842413</v>
      </c>
      <c r="E13138" s="733"/>
    </row>
    <row r="13139" spans="2:5">
      <c r="B13139" s="121">
        <v>1113</v>
      </c>
      <c r="C13139" s="121">
        <v>20</v>
      </c>
      <c r="D13139" s="734">
        <v>143.38563056004708</v>
      </c>
      <c r="E13139" s="733"/>
    </row>
    <row r="13140" spans="2:5">
      <c r="B13140" s="121">
        <v>1113</v>
      </c>
      <c r="C13140" s="121">
        <v>21</v>
      </c>
      <c r="D13140" s="734">
        <v>147.09767265345829</v>
      </c>
      <c r="E13140" s="733"/>
    </row>
    <row r="13141" spans="2:5">
      <c r="B13141" s="121">
        <v>1113</v>
      </c>
      <c r="C13141" s="121">
        <v>22</v>
      </c>
      <c r="D13141" s="734">
        <v>140.50498828029214</v>
      </c>
      <c r="E13141" s="733"/>
    </row>
    <row r="13142" spans="2:5">
      <c r="B13142" s="121">
        <v>1113</v>
      </c>
      <c r="C13142" s="121">
        <v>23</v>
      </c>
      <c r="D13142" s="734">
        <v>140.750483513821</v>
      </c>
      <c r="E13142" s="733"/>
    </row>
    <row r="13143" spans="2:5">
      <c r="B13143" s="121">
        <v>1113</v>
      </c>
      <c r="C13143" s="121">
        <v>24</v>
      </c>
      <c r="D13143" s="734">
        <v>140.07023115961573</v>
      </c>
      <c r="E13143" s="733"/>
    </row>
    <row r="13144" spans="2:5">
      <c r="B13144" s="121">
        <v>1113</v>
      </c>
      <c r="C13144" s="121">
        <v>25</v>
      </c>
      <c r="D13144" s="734">
        <v>146.49840289737082</v>
      </c>
      <c r="E13144" s="733"/>
    </row>
    <row r="13145" spans="2:5">
      <c r="B13145" s="121">
        <v>1113</v>
      </c>
      <c r="C13145" s="121">
        <v>26</v>
      </c>
      <c r="D13145" s="734">
        <v>139.92674026727599</v>
      </c>
      <c r="E13145" s="733"/>
    </row>
    <row r="13146" spans="2:5">
      <c r="B13146" s="121">
        <v>1113</v>
      </c>
      <c r="C13146" s="121">
        <v>27</v>
      </c>
      <c r="D13146" s="734">
        <v>147.05881900179921</v>
      </c>
      <c r="E13146" s="733"/>
    </row>
    <row r="13147" spans="2:5">
      <c r="B13147" s="121">
        <v>1113</v>
      </c>
      <c r="C13147" s="121">
        <v>28</v>
      </c>
      <c r="D13147" s="734">
        <v>142.68592285298664</v>
      </c>
      <c r="E13147" s="733"/>
    </row>
    <row r="13148" spans="2:5">
      <c r="B13148" s="121">
        <v>1113</v>
      </c>
      <c r="C13148" s="121">
        <v>29</v>
      </c>
      <c r="D13148" s="734">
        <v>137.88636035274226</v>
      </c>
      <c r="E13148" s="733"/>
    </row>
    <row r="13149" spans="2:5">
      <c r="B13149" s="121">
        <v>1113</v>
      </c>
      <c r="C13149" s="121">
        <v>30</v>
      </c>
      <c r="D13149" s="734">
        <v>142.37966008738439</v>
      </c>
      <c r="E13149" s="733"/>
    </row>
    <row r="13150" spans="2:5">
      <c r="B13150" s="121">
        <v>1113</v>
      </c>
      <c r="C13150" s="121">
        <v>31</v>
      </c>
      <c r="D13150" s="734">
        <v>141.67907488225924</v>
      </c>
      <c r="E13150" s="733"/>
    </row>
    <row r="13151" spans="2:5">
      <c r="B13151" s="121">
        <v>1114</v>
      </c>
      <c r="C13151" s="121">
        <v>1</v>
      </c>
      <c r="D13151" s="734">
        <v>5</v>
      </c>
      <c r="E13151" s="733"/>
    </row>
    <row r="13152" spans="2:5">
      <c r="B13152" s="121">
        <v>1114</v>
      </c>
      <c r="C13152" s="121">
        <v>2</v>
      </c>
      <c r="D13152" s="734">
        <v>97.85826546010594</v>
      </c>
      <c r="E13152" s="733"/>
    </row>
    <row r="13153" spans="2:5">
      <c r="B13153" s="121">
        <v>1115</v>
      </c>
      <c r="C13153" s="121">
        <v>1</v>
      </c>
      <c r="D13153" s="734">
        <v>5</v>
      </c>
      <c r="E13153" s="733"/>
    </row>
    <row r="13154" spans="2:5">
      <c r="B13154" s="121">
        <v>1116</v>
      </c>
      <c r="C13154" s="121">
        <v>1</v>
      </c>
      <c r="D13154" s="734">
        <v>5</v>
      </c>
      <c r="E13154" s="733"/>
    </row>
    <row r="13155" spans="2:5">
      <c r="B13155" s="121">
        <v>1117</v>
      </c>
      <c r="C13155" s="121">
        <v>1</v>
      </c>
      <c r="D13155" s="734">
        <v>5</v>
      </c>
      <c r="E13155" s="733"/>
    </row>
    <row r="13156" spans="2:5">
      <c r="B13156" s="121">
        <v>1117</v>
      </c>
      <c r="C13156" s="121">
        <v>2</v>
      </c>
      <c r="D13156" s="734">
        <v>102.70332936862154</v>
      </c>
      <c r="E13156" s="733"/>
    </row>
    <row r="13157" spans="2:5">
      <c r="B13157" s="121">
        <v>1117</v>
      </c>
      <c r="C13157" s="121">
        <v>3</v>
      </c>
      <c r="D13157" s="734">
        <v>121.60009418831591</v>
      </c>
      <c r="E13157" s="733"/>
    </row>
    <row r="13158" spans="2:5">
      <c r="B13158" s="121">
        <v>1117</v>
      </c>
      <c r="C13158" s="121">
        <v>4</v>
      </c>
      <c r="D13158" s="734">
        <v>142.62271758108656</v>
      </c>
      <c r="E13158" s="733"/>
    </row>
    <row r="13159" spans="2:5">
      <c r="B13159" s="121">
        <v>1117</v>
      </c>
      <c r="C13159" s="121">
        <v>5</v>
      </c>
      <c r="D13159" s="734">
        <v>144.948109287763</v>
      </c>
      <c r="E13159" s="733"/>
    </row>
    <row r="13160" spans="2:5">
      <c r="B13160" s="121">
        <v>1117</v>
      </c>
      <c r="C13160" s="121">
        <v>6</v>
      </c>
      <c r="D13160" s="734">
        <v>142.55983915392756</v>
      </c>
      <c r="E13160" s="733"/>
    </row>
    <row r="13161" spans="2:5">
      <c r="B13161" s="121">
        <v>1117</v>
      </c>
      <c r="C13161" s="121">
        <v>7</v>
      </c>
      <c r="D13161" s="734">
        <v>142.45281870583085</v>
      </c>
      <c r="E13161" s="733"/>
    </row>
    <row r="13162" spans="2:5">
      <c r="B13162" s="121">
        <v>1117</v>
      </c>
      <c r="C13162" s="121">
        <v>8</v>
      </c>
      <c r="D13162" s="734">
        <v>145.66299029424533</v>
      </c>
      <c r="E13162" s="733"/>
    </row>
    <row r="13163" spans="2:5">
      <c r="B13163" s="121">
        <v>1117</v>
      </c>
      <c r="C13163" s="121">
        <v>9</v>
      </c>
      <c r="D13163" s="734">
        <v>136.67263978030823</v>
      </c>
      <c r="E13163" s="733"/>
    </row>
    <row r="13164" spans="2:5">
      <c r="B13164" s="121">
        <v>1117</v>
      </c>
      <c r="C13164" s="121">
        <v>10</v>
      </c>
      <c r="D13164" s="734">
        <v>145.06694483782681</v>
      </c>
      <c r="E13164" s="733"/>
    </row>
    <row r="13165" spans="2:5">
      <c r="B13165" s="121">
        <v>1117</v>
      </c>
      <c r="C13165" s="121">
        <v>11</v>
      </c>
      <c r="D13165" s="734">
        <v>138.71593419211175</v>
      </c>
      <c r="E13165" s="733"/>
    </row>
    <row r="13166" spans="2:5">
      <c r="B13166" s="121">
        <v>1117</v>
      </c>
      <c r="C13166" s="121">
        <v>12</v>
      </c>
      <c r="D13166" s="734">
        <v>143.81082919301699</v>
      </c>
      <c r="E13166" s="733"/>
    </row>
    <row r="13167" spans="2:5">
      <c r="B13167" s="121">
        <v>1117</v>
      </c>
      <c r="C13167" s="121">
        <v>13</v>
      </c>
      <c r="D13167" s="734">
        <v>142.98824366212733</v>
      </c>
      <c r="E13167" s="733"/>
    </row>
    <row r="13168" spans="2:5">
      <c r="B13168" s="121">
        <v>1117</v>
      </c>
      <c r="C13168" s="121">
        <v>14</v>
      </c>
      <c r="D13168" s="734">
        <v>145.36661695595234</v>
      </c>
      <c r="E13168" s="733"/>
    </row>
    <row r="13169" spans="2:5">
      <c r="B13169" s="121">
        <v>1117</v>
      </c>
      <c r="C13169" s="121">
        <v>15</v>
      </c>
      <c r="D13169" s="734">
        <v>134.94763315703179</v>
      </c>
      <c r="E13169" s="733"/>
    </row>
    <row r="13170" spans="2:5">
      <c r="B13170" s="121">
        <v>1117</v>
      </c>
      <c r="C13170" s="121">
        <v>16</v>
      </c>
      <c r="D13170" s="734">
        <v>146.65447741577432</v>
      </c>
      <c r="E13170" s="733"/>
    </row>
    <row r="13171" spans="2:5">
      <c r="B13171" s="121">
        <v>1117</v>
      </c>
      <c r="C13171" s="121">
        <v>17</v>
      </c>
      <c r="D13171" s="734">
        <v>141.90799912098353</v>
      </c>
      <c r="E13171" s="733"/>
    </row>
    <row r="13172" spans="2:5">
      <c r="B13172" s="121">
        <v>1117</v>
      </c>
      <c r="C13172" s="121">
        <v>18</v>
      </c>
      <c r="D13172" s="734">
        <v>135.40032396052771</v>
      </c>
      <c r="E13172" s="733"/>
    </row>
    <row r="13173" spans="2:5">
      <c r="B13173" s="121">
        <v>1117</v>
      </c>
      <c r="C13173" s="121">
        <v>19</v>
      </c>
      <c r="D13173" s="734">
        <v>135.93408302188644</v>
      </c>
      <c r="E13173" s="733"/>
    </row>
    <row r="13174" spans="2:5">
      <c r="B13174" s="121">
        <v>1117</v>
      </c>
      <c r="C13174" s="121">
        <v>20</v>
      </c>
      <c r="D13174" s="734">
        <v>133.93881811504218</v>
      </c>
      <c r="E13174" s="733"/>
    </row>
    <row r="13175" spans="2:5">
      <c r="B13175" s="121">
        <v>1117</v>
      </c>
      <c r="C13175" s="121">
        <v>21</v>
      </c>
      <c r="D13175" s="734">
        <v>138.23821741851953</v>
      </c>
      <c r="E13175" s="733"/>
    </row>
    <row r="13176" spans="2:5">
      <c r="B13176" s="121">
        <v>1117</v>
      </c>
      <c r="C13176" s="121">
        <v>22</v>
      </c>
      <c r="D13176" s="734">
        <v>145.33752393934179</v>
      </c>
      <c r="E13176" s="733"/>
    </row>
    <row r="13177" spans="2:5">
      <c r="B13177" s="121">
        <v>1117</v>
      </c>
      <c r="C13177" s="121">
        <v>23</v>
      </c>
      <c r="D13177" s="734">
        <v>137.67866313952791</v>
      </c>
      <c r="E13177" s="733"/>
    </row>
    <row r="13178" spans="2:5">
      <c r="B13178" s="121">
        <v>1117</v>
      </c>
      <c r="C13178" s="121">
        <v>24</v>
      </c>
      <c r="D13178" s="734">
        <v>141.45759555826513</v>
      </c>
      <c r="E13178" s="733"/>
    </row>
    <row r="13179" spans="2:5">
      <c r="B13179" s="121">
        <v>1117</v>
      </c>
      <c r="C13179" s="121">
        <v>25</v>
      </c>
      <c r="D13179" s="734">
        <v>138.73695080219528</v>
      </c>
      <c r="E13179" s="733"/>
    </row>
    <row r="13180" spans="2:5">
      <c r="B13180" s="121">
        <v>1117</v>
      </c>
      <c r="C13180" s="121">
        <v>26</v>
      </c>
      <c r="D13180" s="734">
        <v>137.07261077114367</v>
      </c>
      <c r="E13180" s="733"/>
    </row>
    <row r="13181" spans="2:5">
      <c r="B13181" s="121">
        <v>1117</v>
      </c>
      <c r="C13181" s="121">
        <v>27</v>
      </c>
      <c r="D13181" s="734">
        <v>141.60076362660209</v>
      </c>
      <c r="E13181" s="733"/>
    </row>
    <row r="13182" spans="2:5">
      <c r="B13182" s="121">
        <v>1117</v>
      </c>
      <c r="C13182" s="121">
        <v>28</v>
      </c>
      <c r="D13182" s="734">
        <v>145.38855058815687</v>
      </c>
      <c r="E13182" s="733"/>
    </row>
    <row r="13183" spans="2:5">
      <c r="B13183" s="121">
        <v>1117</v>
      </c>
      <c r="C13183" s="121">
        <v>29</v>
      </c>
      <c r="D13183" s="734">
        <v>137.2706739348184</v>
      </c>
      <c r="E13183" s="733"/>
    </row>
    <row r="13184" spans="2:5">
      <c r="B13184" s="121">
        <v>1117</v>
      </c>
      <c r="C13184" s="121">
        <v>30</v>
      </c>
      <c r="D13184" s="734">
        <v>139.61787764155557</v>
      </c>
      <c r="E13184" s="733"/>
    </row>
    <row r="13185" spans="2:5">
      <c r="B13185" s="121">
        <v>1117</v>
      </c>
      <c r="C13185" s="121">
        <v>31</v>
      </c>
      <c r="D13185" s="734">
        <v>142.49992290443799</v>
      </c>
      <c r="E13185" s="733"/>
    </row>
    <row r="13186" spans="2:5">
      <c r="B13186" s="121">
        <v>1117</v>
      </c>
      <c r="C13186" s="121">
        <v>32</v>
      </c>
      <c r="D13186" s="734">
        <v>137.2721360186502</v>
      </c>
      <c r="E13186" s="733"/>
    </row>
    <row r="13187" spans="2:5">
      <c r="B13187" s="121">
        <v>1117</v>
      </c>
      <c r="C13187" s="121">
        <v>33</v>
      </c>
      <c r="D13187" s="734">
        <v>137.73068746922175</v>
      </c>
      <c r="E13187" s="733"/>
    </row>
    <row r="13188" spans="2:5">
      <c r="B13188" s="121">
        <v>1117</v>
      </c>
      <c r="C13188" s="121">
        <v>34</v>
      </c>
      <c r="D13188" s="734">
        <v>141.5414501410128</v>
      </c>
      <c r="E13188" s="733"/>
    </row>
    <row r="13189" spans="2:5">
      <c r="B13189" s="121">
        <v>1117</v>
      </c>
      <c r="C13189" s="121">
        <v>35</v>
      </c>
      <c r="D13189" s="734">
        <v>145.8238591218846</v>
      </c>
      <c r="E13189" s="733"/>
    </row>
    <row r="13190" spans="2:5">
      <c r="B13190" s="121">
        <v>1117</v>
      </c>
      <c r="C13190" s="121">
        <v>36</v>
      </c>
      <c r="D13190" s="734">
        <v>136.91149555853082</v>
      </c>
      <c r="E13190" s="733"/>
    </row>
    <row r="13191" spans="2:5">
      <c r="B13191" s="121">
        <v>1118</v>
      </c>
      <c r="C13191" s="121">
        <v>1</v>
      </c>
      <c r="D13191" s="734">
        <v>5</v>
      </c>
      <c r="E13191" s="733"/>
    </row>
    <row r="13192" spans="2:5">
      <c r="B13192" s="121">
        <v>1118</v>
      </c>
      <c r="C13192" s="121">
        <v>2</v>
      </c>
      <c r="D13192" s="734">
        <v>100.82804280473093</v>
      </c>
      <c r="E13192" s="733"/>
    </row>
    <row r="13193" spans="2:5">
      <c r="B13193" s="121">
        <v>1118</v>
      </c>
      <c r="C13193" s="121">
        <v>3</v>
      </c>
      <c r="D13193" s="734">
        <v>116.19898260000937</v>
      </c>
      <c r="E13193" s="733"/>
    </row>
    <row r="13194" spans="2:5">
      <c r="B13194" s="121">
        <v>1118</v>
      </c>
      <c r="C13194" s="121">
        <v>4</v>
      </c>
      <c r="D13194" s="734">
        <v>135.84012542104205</v>
      </c>
      <c r="E13194" s="733"/>
    </row>
    <row r="13195" spans="2:5">
      <c r="B13195" s="121">
        <v>1119</v>
      </c>
      <c r="C13195" s="121">
        <v>1</v>
      </c>
      <c r="D13195" s="734">
        <v>5</v>
      </c>
      <c r="E13195" s="733"/>
    </row>
    <row r="13196" spans="2:5">
      <c r="B13196" s="121">
        <v>1120</v>
      </c>
      <c r="C13196" s="121">
        <v>1</v>
      </c>
      <c r="D13196" s="734">
        <v>5</v>
      </c>
      <c r="E13196" s="733"/>
    </row>
    <row r="13197" spans="2:5">
      <c r="B13197" s="121">
        <v>1121</v>
      </c>
      <c r="C13197" s="121">
        <v>1</v>
      </c>
      <c r="D13197" s="734">
        <v>5</v>
      </c>
      <c r="E13197" s="733"/>
    </row>
    <row r="13198" spans="2:5">
      <c r="B13198" s="121">
        <v>1122</v>
      </c>
      <c r="C13198" s="121">
        <v>1</v>
      </c>
      <c r="D13198" s="734">
        <v>5</v>
      </c>
      <c r="E13198" s="733"/>
    </row>
    <row r="13199" spans="2:5">
      <c r="B13199" s="121">
        <v>1122</v>
      </c>
      <c r="C13199" s="121">
        <v>2</v>
      </c>
      <c r="D13199" s="734">
        <v>96.39207611896498</v>
      </c>
      <c r="E13199" s="733"/>
    </row>
    <row r="13200" spans="2:5">
      <c r="B13200" s="121">
        <v>1123</v>
      </c>
      <c r="C13200" s="121">
        <v>1</v>
      </c>
      <c r="D13200" s="734">
        <v>5</v>
      </c>
      <c r="E13200" s="733"/>
    </row>
    <row r="13201" spans="2:5">
      <c r="B13201" s="121">
        <v>1124</v>
      </c>
      <c r="C13201" s="121">
        <v>1</v>
      </c>
      <c r="D13201" s="734">
        <v>5</v>
      </c>
      <c r="E13201" s="733"/>
    </row>
    <row r="13202" spans="2:5">
      <c r="B13202" s="121">
        <v>1124</v>
      </c>
      <c r="C13202" s="121">
        <v>2</v>
      </c>
      <c r="D13202" s="734">
        <v>99.254524806463976</v>
      </c>
      <c r="E13202" s="733"/>
    </row>
    <row r="13203" spans="2:5">
      <c r="B13203" s="121">
        <v>1124</v>
      </c>
      <c r="C13203" s="121">
        <v>3</v>
      </c>
      <c r="D13203" s="734">
        <v>123.11550334877029</v>
      </c>
      <c r="E13203" s="733"/>
    </row>
    <row r="13204" spans="2:5">
      <c r="B13204" s="121">
        <v>1124</v>
      </c>
      <c r="C13204" s="121">
        <v>4</v>
      </c>
      <c r="D13204" s="734">
        <v>142.53093966394951</v>
      </c>
      <c r="E13204" s="733"/>
    </row>
    <row r="13205" spans="2:5">
      <c r="B13205" s="121">
        <v>1125</v>
      </c>
      <c r="C13205" s="121">
        <v>1</v>
      </c>
      <c r="D13205" s="734">
        <v>5</v>
      </c>
      <c r="E13205" s="733"/>
    </row>
    <row r="13206" spans="2:5">
      <c r="B13206" s="121">
        <v>1125</v>
      </c>
      <c r="C13206" s="121">
        <v>2</v>
      </c>
      <c r="D13206" s="734">
        <v>96.212420348439693</v>
      </c>
      <c r="E13206" s="733"/>
    </row>
    <row r="13207" spans="2:5">
      <c r="B13207" s="121">
        <v>1125</v>
      </c>
      <c r="C13207" s="121">
        <v>3</v>
      </c>
      <c r="D13207" s="734">
        <v>125.49753295690283</v>
      </c>
      <c r="E13207" s="733"/>
    </row>
    <row r="13208" spans="2:5">
      <c r="B13208" s="121">
        <v>1125</v>
      </c>
      <c r="C13208" s="121">
        <v>4</v>
      </c>
      <c r="D13208" s="734">
        <v>146.41388685397945</v>
      </c>
      <c r="E13208" s="733"/>
    </row>
    <row r="13209" spans="2:5">
      <c r="B13209" s="121">
        <v>1125</v>
      </c>
      <c r="C13209" s="121">
        <v>5</v>
      </c>
      <c r="D13209" s="734">
        <v>143.66616593432755</v>
      </c>
      <c r="E13209" s="733"/>
    </row>
    <row r="13210" spans="2:5">
      <c r="B13210" s="121">
        <v>1125</v>
      </c>
      <c r="C13210" s="121">
        <v>6</v>
      </c>
      <c r="D13210" s="734">
        <v>137.27634086516989</v>
      </c>
      <c r="E13210" s="733"/>
    </row>
    <row r="13211" spans="2:5">
      <c r="B13211" s="121">
        <v>1125</v>
      </c>
      <c r="C13211" s="121">
        <v>7</v>
      </c>
      <c r="D13211" s="734">
        <v>136.0098137201814</v>
      </c>
      <c r="E13211" s="733"/>
    </row>
    <row r="13212" spans="2:5">
      <c r="B13212" s="121">
        <v>1125</v>
      </c>
      <c r="C13212" s="121">
        <v>8</v>
      </c>
      <c r="D13212" s="734">
        <v>142.68296242401331</v>
      </c>
      <c r="E13212" s="733"/>
    </row>
    <row r="13213" spans="2:5">
      <c r="B13213" s="121">
        <v>1125</v>
      </c>
      <c r="C13213" s="121">
        <v>9</v>
      </c>
      <c r="D13213" s="734">
        <v>138.48508388335497</v>
      </c>
      <c r="E13213" s="733"/>
    </row>
    <row r="13214" spans="2:5">
      <c r="B13214" s="121">
        <v>1125</v>
      </c>
      <c r="C13214" s="121">
        <v>10</v>
      </c>
      <c r="D13214" s="734">
        <v>136.95040622835575</v>
      </c>
      <c r="E13214" s="733"/>
    </row>
    <row r="13215" spans="2:5">
      <c r="B13215" s="121">
        <v>1125</v>
      </c>
      <c r="C13215" s="121">
        <v>11</v>
      </c>
      <c r="D13215" s="734">
        <v>137.96974168394229</v>
      </c>
      <c r="E13215" s="733"/>
    </row>
    <row r="13216" spans="2:5">
      <c r="B13216" s="121">
        <v>1125</v>
      </c>
      <c r="C13216" s="121">
        <v>12</v>
      </c>
      <c r="D13216" s="734">
        <v>145.46600862857539</v>
      </c>
      <c r="E13216" s="733"/>
    </row>
    <row r="13217" spans="2:5">
      <c r="B13217" s="121">
        <v>1126</v>
      </c>
      <c r="C13217" s="121">
        <v>1</v>
      </c>
      <c r="D13217" s="734">
        <v>5</v>
      </c>
      <c r="E13217" s="733"/>
    </row>
    <row r="13218" spans="2:5">
      <c r="B13218" s="121">
        <v>1126</v>
      </c>
      <c r="C13218" s="121">
        <v>2</v>
      </c>
      <c r="D13218" s="734">
        <v>100.68958975762922</v>
      </c>
      <c r="E13218" s="733"/>
    </row>
    <row r="13219" spans="2:5">
      <c r="B13219" s="121">
        <v>1126</v>
      </c>
      <c r="C13219" s="121">
        <v>3</v>
      </c>
      <c r="D13219" s="734">
        <v>120.77207287160361</v>
      </c>
      <c r="E13219" s="733"/>
    </row>
    <row r="13220" spans="2:5">
      <c r="B13220" s="121">
        <v>1127</v>
      </c>
      <c r="C13220" s="121">
        <v>1</v>
      </c>
      <c r="D13220" s="734">
        <v>5</v>
      </c>
      <c r="E13220" s="733"/>
    </row>
    <row r="13221" spans="2:5">
      <c r="B13221" s="121">
        <v>1127</v>
      </c>
      <c r="C13221" s="121">
        <v>2</v>
      </c>
      <c r="D13221" s="734">
        <v>96.045090575383199</v>
      </c>
      <c r="E13221" s="733"/>
    </row>
    <row r="13222" spans="2:5">
      <c r="B13222" s="121">
        <v>1127</v>
      </c>
      <c r="C13222" s="121">
        <v>3</v>
      </c>
      <c r="D13222" s="734">
        <v>117.95177759820402</v>
      </c>
      <c r="E13222" s="733"/>
    </row>
    <row r="13223" spans="2:5">
      <c r="B13223" s="121">
        <v>1127</v>
      </c>
      <c r="C13223" s="121">
        <v>4</v>
      </c>
      <c r="D13223" s="734">
        <v>136.41798864666217</v>
      </c>
      <c r="E13223" s="733"/>
    </row>
    <row r="13224" spans="2:5">
      <c r="B13224" s="121">
        <v>1127</v>
      </c>
      <c r="C13224" s="121">
        <v>5</v>
      </c>
      <c r="D13224" s="734">
        <v>136.06055640146414</v>
      </c>
      <c r="E13224" s="733"/>
    </row>
    <row r="13225" spans="2:5">
      <c r="B13225" s="121">
        <v>1127</v>
      </c>
      <c r="C13225" s="121">
        <v>6</v>
      </c>
      <c r="D13225" s="734">
        <v>140.86592458045126</v>
      </c>
      <c r="E13225" s="733"/>
    </row>
    <row r="13226" spans="2:5">
      <c r="B13226" s="121">
        <v>1127</v>
      </c>
      <c r="C13226" s="121">
        <v>7</v>
      </c>
      <c r="D13226" s="734">
        <v>136.94601726439976</v>
      </c>
      <c r="E13226" s="733"/>
    </row>
    <row r="13227" spans="2:5">
      <c r="B13227" s="121">
        <v>1127</v>
      </c>
      <c r="C13227" s="121">
        <v>8</v>
      </c>
      <c r="D13227" s="734">
        <v>135.59295918557601</v>
      </c>
      <c r="E13227" s="733"/>
    </row>
    <row r="13228" spans="2:5">
      <c r="B13228" s="121">
        <v>1127</v>
      </c>
      <c r="C13228" s="121">
        <v>9</v>
      </c>
      <c r="D13228" s="734">
        <v>144.74892213325583</v>
      </c>
      <c r="E13228" s="733"/>
    </row>
    <row r="13229" spans="2:5">
      <c r="B13229" s="121">
        <v>1127</v>
      </c>
      <c r="C13229" s="121">
        <v>10</v>
      </c>
      <c r="D13229" s="734">
        <v>146.74026650746896</v>
      </c>
      <c r="E13229" s="733"/>
    </row>
    <row r="13230" spans="2:5">
      <c r="B13230" s="121">
        <v>1127</v>
      </c>
      <c r="C13230" s="121">
        <v>11</v>
      </c>
      <c r="D13230" s="734">
        <v>135.3757434737085</v>
      </c>
      <c r="E13230" s="733"/>
    </row>
    <row r="13231" spans="2:5">
      <c r="B13231" s="121">
        <v>1127</v>
      </c>
      <c r="C13231" s="121">
        <v>12</v>
      </c>
      <c r="D13231" s="734">
        <v>138.00614897084191</v>
      </c>
      <c r="E13231" s="733"/>
    </row>
    <row r="13232" spans="2:5">
      <c r="B13232" s="121">
        <v>1127</v>
      </c>
      <c r="C13232" s="121">
        <v>13</v>
      </c>
      <c r="D13232" s="734">
        <v>138.7865943368634</v>
      </c>
      <c r="E13232" s="733"/>
    </row>
    <row r="13233" spans="2:5">
      <c r="B13233" s="121">
        <v>1127</v>
      </c>
      <c r="C13233" s="121">
        <v>14</v>
      </c>
      <c r="D13233" s="734">
        <v>145.75991882641688</v>
      </c>
      <c r="E13233" s="733"/>
    </row>
    <row r="13234" spans="2:5">
      <c r="B13234" s="121">
        <v>1127</v>
      </c>
      <c r="C13234" s="121">
        <v>15</v>
      </c>
      <c r="D13234" s="734">
        <v>147.26709622291335</v>
      </c>
      <c r="E13234" s="733"/>
    </row>
    <row r="13235" spans="2:5">
      <c r="B13235" s="121">
        <v>1127</v>
      </c>
      <c r="C13235" s="121">
        <v>16</v>
      </c>
      <c r="D13235" s="734">
        <v>139.01389829921325</v>
      </c>
      <c r="E13235" s="733"/>
    </row>
    <row r="13236" spans="2:5">
      <c r="B13236" s="121">
        <v>1128</v>
      </c>
      <c r="C13236" s="121">
        <v>1</v>
      </c>
      <c r="D13236" s="734">
        <v>5</v>
      </c>
      <c r="E13236" s="733"/>
    </row>
    <row r="13237" spans="2:5">
      <c r="B13237" s="121">
        <v>1128</v>
      </c>
      <c r="C13237" s="121">
        <v>2</v>
      </c>
      <c r="D13237" s="734">
        <v>98.263744012780577</v>
      </c>
      <c r="E13237" s="733"/>
    </row>
    <row r="13238" spans="2:5">
      <c r="B13238" s="121">
        <v>1128</v>
      </c>
      <c r="C13238" s="121">
        <v>3</v>
      </c>
      <c r="D13238" s="734">
        <v>119.59540158601838</v>
      </c>
      <c r="E13238" s="733"/>
    </row>
    <row r="13239" spans="2:5">
      <c r="B13239" s="121">
        <v>1129</v>
      </c>
      <c r="C13239" s="121">
        <v>1</v>
      </c>
      <c r="D13239" s="734">
        <v>5</v>
      </c>
      <c r="E13239" s="733"/>
    </row>
    <row r="13240" spans="2:5">
      <c r="B13240" s="121">
        <v>1129</v>
      </c>
      <c r="C13240" s="121">
        <v>2</v>
      </c>
      <c r="D13240" s="734">
        <v>100.63098333326714</v>
      </c>
      <c r="E13240" s="733"/>
    </row>
    <row r="13241" spans="2:5">
      <c r="B13241" s="121">
        <v>1129</v>
      </c>
      <c r="C13241" s="121">
        <v>3</v>
      </c>
      <c r="D13241" s="734">
        <v>121.32480268357698</v>
      </c>
      <c r="E13241" s="733"/>
    </row>
    <row r="13242" spans="2:5">
      <c r="B13242" s="121">
        <v>1129</v>
      </c>
      <c r="C13242" s="121">
        <v>4</v>
      </c>
      <c r="D13242" s="734">
        <v>142.79405787565452</v>
      </c>
      <c r="E13242" s="733"/>
    </row>
    <row r="13243" spans="2:5">
      <c r="B13243" s="121">
        <v>1129</v>
      </c>
      <c r="C13243" s="121">
        <v>5</v>
      </c>
      <c r="D13243" s="734">
        <v>138.83266078227422</v>
      </c>
      <c r="E13243" s="733"/>
    </row>
    <row r="13244" spans="2:5">
      <c r="B13244" s="121">
        <v>1129</v>
      </c>
      <c r="C13244" s="121">
        <v>6</v>
      </c>
      <c r="D13244" s="734">
        <v>136.05101814029263</v>
      </c>
      <c r="E13244" s="733"/>
    </row>
    <row r="13245" spans="2:5">
      <c r="B13245" s="121">
        <v>1129</v>
      </c>
      <c r="C13245" s="121">
        <v>7</v>
      </c>
      <c r="D13245" s="734">
        <v>142.98199048638327</v>
      </c>
      <c r="E13245" s="733"/>
    </row>
    <row r="13246" spans="2:5">
      <c r="B13246" s="121">
        <v>1129</v>
      </c>
      <c r="C13246" s="121">
        <v>8</v>
      </c>
      <c r="D13246" s="734">
        <v>136.41645286414553</v>
      </c>
      <c r="E13246" s="733"/>
    </row>
    <row r="13247" spans="2:5">
      <c r="B13247" s="121">
        <v>1129</v>
      </c>
      <c r="C13247" s="121">
        <v>9</v>
      </c>
      <c r="D13247" s="734">
        <v>146.24218795271548</v>
      </c>
      <c r="E13247" s="733"/>
    </row>
    <row r="13248" spans="2:5">
      <c r="B13248" s="121">
        <v>1129</v>
      </c>
      <c r="C13248" s="121">
        <v>10</v>
      </c>
      <c r="D13248" s="734">
        <v>138.63202934084455</v>
      </c>
      <c r="E13248" s="733"/>
    </row>
    <row r="13249" spans="2:5">
      <c r="B13249" s="121">
        <v>1129</v>
      </c>
      <c r="C13249" s="121">
        <v>11</v>
      </c>
      <c r="D13249" s="734">
        <v>136.417899746719</v>
      </c>
      <c r="E13249" s="733"/>
    </row>
    <row r="13250" spans="2:5">
      <c r="B13250" s="121">
        <v>1130</v>
      </c>
      <c r="C13250" s="121">
        <v>1</v>
      </c>
      <c r="D13250" s="734">
        <v>5</v>
      </c>
      <c r="E13250" s="733"/>
    </row>
    <row r="13251" spans="2:5">
      <c r="B13251" s="121">
        <v>1130</v>
      </c>
      <c r="C13251" s="121">
        <v>2</v>
      </c>
      <c r="D13251" s="734">
        <v>100.63181763912961</v>
      </c>
      <c r="E13251" s="733"/>
    </row>
    <row r="13252" spans="2:5">
      <c r="B13252" s="121">
        <v>1130</v>
      </c>
      <c r="C13252" s="121">
        <v>3</v>
      </c>
      <c r="D13252" s="734">
        <v>119.51841172192609</v>
      </c>
      <c r="E13252" s="733"/>
    </row>
    <row r="13253" spans="2:5">
      <c r="B13253" s="121">
        <v>1130</v>
      </c>
      <c r="C13253" s="121">
        <v>4</v>
      </c>
      <c r="D13253" s="734">
        <v>142.09056193450974</v>
      </c>
      <c r="E13253" s="733"/>
    </row>
    <row r="13254" spans="2:5">
      <c r="B13254" s="121">
        <v>1130</v>
      </c>
      <c r="C13254" s="121">
        <v>5</v>
      </c>
      <c r="D13254" s="734">
        <v>140.37378272658484</v>
      </c>
      <c r="E13254" s="733"/>
    </row>
    <row r="13255" spans="2:5">
      <c r="B13255" s="121">
        <v>1130</v>
      </c>
      <c r="C13255" s="121">
        <v>6</v>
      </c>
      <c r="D13255" s="734">
        <v>134.71607277276584</v>
      </c>
      <c r="E13255" s="733"/>
    </row>
    <row r="13256" spans="2:5">
      <c r="B13256" s="121">
        <v>1130</v>
      </c>
      <c r="C13256" s="121">
        <v>7</v>
      </c>
      <c r="D13256" s="734">
        <v>145.73828351648743</v>
      </c>
      <c r="E13256" s="733"/>
    </row>
    <row r="13257" spans="2:5">
      <c r="B13257" s="121">
        <v>1130</v>
      </c>
      <c r="C13257" s="121">
        <v>8</v>
      </c>
      <c r="D13257" s="734">
        <v>144.61024990828261</v>
      </c>
      <c r="E13257" s="733"/>
    </row>
    <row r="13258" spans="2:5">
      <c r="B13258" s="121">
        <v>1130</v>
      </c>
      <c r="C13258" s="121">
        <v>9</v>
      </c>
      <c r="D13258" s="734">
        <v>136.64863344571884</v>
      </c>
      <c r="E13258" s="733"/>
    </row>
    <row r="13259" spans="2:5">
      <c r="B13259" s="121">
        <v>1130</v>
      </c>
      <c r="C13259" s="121">
        <v>10</v>
      </c>
      <c r="D13259" s="734">
        <v>135.96949703649614</v>
      </c>
      <c r="E13259" s="733"/>
    </row>
    <row r="13260" spans="2:5">
      <c r="B13260" s="121">
        <v>1130</v>
      </c>
      <c r="C13260" s="121">
        <v>11</v>
      </c>
      <c r="D13260" s="734">
        <v>144.95370969047178</v>
      </c>
      <c r="E13260" s="733"/>
    </row>
    <row r="13261" spans="2:5">
      <c r="B13261" s="121">
        <v>1130</v>
      </c>
      <c r="C13261" s="121">
        <v>12</v>
      </c>
      <c r="D13261" s="734">
        <v>144.7642512276569</v>
      </c>
      <c r="E13261" s="733"/>
    </row>
    <row r="13262" spans="2:5">
      <c r="B13262" s="121">
        <v>1130</v>
      </c>
      <c r="C13262" s="121">
        <v>13</v>
      </c>
      <c r="D13262" s="734">
        <v>135.71894409187726</v>
      </c>
      <c r="E13262" s="733"/>
    </row>
    <row r="13263" spans="2:5">
      <c r="B13263" s="121">
        <v>1131</v>
      </c>
      <c r="C13263" s="121">
        <v>1</v>
      </c>
      <c r="D13263" s="734">
        <v>5</v>
      </c>
      <c r="E13263" s="733"/>
    </row>
    <row r="13264" spans="2:5">
      <c r="B13264" s="121">
        <v>1131</v>
      </c>
      <c r="C13264" s="121">
        <v>2</v>
      </c>
      <c r="D13264" s="734">
        <v>95.103020220940664</v>
      </c>
      <c r="E13264" s="733"/>
    </row>
    <row r="13265" spans="2:5">
      <c r="B13265" s="121">
        <v>1131</v>
      </c>
      <c r="C13265" s="121">
        <v>3</v>
      </c>
      <c r="D13265" s="734">
        <v>123.86101998113787</v>
      </c>
      <c r="E13265" s="733"/>
    </row>
    <row r="13266" spans="2:5">
      <c r="B13266" s="121">
        <v>1131</v>
      </c>
      <c r="C13266" s="121">
        <v>4</v>
      </c>
      <c r="D13266" s="734">
        <v>146.83988206754933</v>
      </c>
      <c r="E13266" s="733"/>
    </row>
    <row r="13267" spans="2:5">
      <c r="B13267" s="121">
        <v>1131</v>
      </c>
      <c r="C13267" s="121">
        <v>5</v>
      </c>
      <c r="D13267" s="734">
        <v>136.26295587922127</v>
      </c>
      <c r="E13267" s="733"/>
    </row>
    <row r="13268" spans="2:5">
      <c r="B13268" s="121">
        <v>1131</v>
      </c>
      <c r="C13268" s="121">
        <v>6</v>
      </c>
      <c r="D13268" s="734">
        <v>137.74835951006006</v>
      </c>
      <c r="E13268" s="733"/>
    </row>
    <row r="13269" spans="2:5">
      <c r="B13269" s="121">
        <v>1131</v>
      </c>
      <c r="C13269" s="121">
        <v>7</v>
      </c>
      <c r="D13269" s="734">
        <v>141.62621480878423</v>
      </c>
      <c r="E13269" s="733"/>
    </row>
    <row r="13270" spans="2:5">
      <c r="B13270" s="121">
        <v>1131</v>
      </c>
      <c r="C13270" s="121">
        <v>8</v>
      </c>
      <c r="D13270" s="734">
        <v>140.98715827105104</v>
      </c>
      <c r="E13270" s="733"/>
    </row>
    <row r="13271" spans="2:5">
      <c r="B13271" s="121">
        <v>1131</v>
      </c>
      <c r="C13271" s="121">
        <v>9</v>
      </c>
      <c r="D13271" s="734">
        <v>137.90764996024024</v>
      </c>
      <c r="E13271" s="733"/>
    </row>
    <row r="13272" spans="2:5">
      <c r="B13272" s="121">
        <v>1131</v>
      </c>
      <c r="C13272" s="121">
        <v>10</v>
      </c>
      <c r="D13272" s="734">
        <v>140.7076202113511</v>
      </c>
      <c r="E13272" s="733"/>
    </row>
    <row r="13273" spans="2:5">
      <c r="B13273" s="121">
        <v>1131</v>
      </c>
      <c r="C13273" s="121">
        <v>11</v>
      </c>
      <c r="D13273" s="734">
        <v>135.57368819480064</v>
      </c>
      <c r="E13273" s="733"/>
    </row>
    <row r="13274" spans="2:5">
      <c r="B13274" s="121">
        <v>1131</v>
      </c>
      <c r="C13274" s="121">
        <v>12</v>
      </c>
      <c r="D13274" s="734">
        <v>133.94979284459788</v>
      </c>
      <c r="E13274" s="733"/>
    </row>
    <row r="13275" spans="2:5">
      <c r="B13275" s="121">
        <v>1131</v>
      </c>
      <c r="C13275" s="121">
        <v>13</v>
      </c>
      <c r="D13275" s="734">
        <v>137.7477338135144</v>
      </c>
      <c r="E13275" s="733"/>
    </row>
    <row r="13276" spans="2:5">
      <c r="B13276" s="121">
        <v>1131</v>
      </c>
      <c r="C13276" s="121">
        <v>14</v>
      </c>
      <c r="D13276" s="734">
        <v>140.76321161415015</v>
      </c>
      <c r="E13276" s="733"/>
    </row>
    <row r="13277" spans="2:5">
      <c r="B13277" s="121">
        <v>1131</v>
      </c>
      <c r="C13277" s="121">
        <v>15</v>
      </c>
      <c r="D13277" s="734">
        <v>142.52313061067659</v>
      </c>
      <c r="E13277" s="733"/>
    </row>
    <row r="13278" spans="2:5">
      <c r="B13278" s="121">
        <v>1131</v>
      </c>
      <c r="C13278" s="121">
        <v>16</v>
      </c>
      <c r="D13278" s="734">
        <v>139.99738356267332</v>
      </c>
      <c r="E13278" s="733"/>
    </row>
    <row r="13279" spans="2:5">
      <c r="B13279" s="121">
        <v>1131</v>
      </c>
      <c r="C13279" s="121">
        <v>17</v>
      </c>
      <c r="D13279" s="734">
        <v>135.20365210971397</v>
      </c>
      <c r="E13279" s="733"/>
    </row>
    <row r="13280" spans="2:5">
      <c r="B13280" s="121">
        <v>1131</v>
      </c>
      <c r="C13280" s="121">
        <v>18</v>
      </c>
      <c r="D13280" s="734">
        <v>143.26900462727579</v>
      </c>
      <c r="E13280" s="733"/>
    </row>
    <row r="13281" spans="2:5">
      <c r="B13281" s="121">
        <v>1132</v>
      </c>
      <c r="C13281" s="121">
        <v>1</v>
      </c>
      <c r="D13281" s="734">
        <v>5</v>
      </c>
      <c r="E13281" s="733"/>
    </row>
    <row r="13282" spans="2:5">
      <c r="B13282" s="121">
        <v>1132</v>
      </c>
      <c r="C13282" s="121">
        <v>2</v>
      </c>
      <c r="D13282" s="734">
        <v>102.63691299992819</v>
      </c>
      <c r="E13282" s="733"/>
    </row>
    <row r="13283" spans="2:5">
      <c r="B13283" s="121">
        <v>1132</v>
      </c>
      <c r="C13283" s="121">
        <v>3</v>
      </c>
      <c r="D13283" s="734">
        <v>121.15048965094972</v>
      </c>
      <c r="E13283" s="733"/>
    </row>
    <row r="13284" spans="2:5">
      <c r="B13284" s="121">
        <v>1132</v>
      </c>
      <c r="C13284" s="121">
        <v>4</v>
      </c>
      <c r="D13284" s="734">
        <v>141.06546003555519</v>
      </c>
      <c r="E13284" s="733"/>
    </row>
    <row r="13285" spans="2:5">
      <c r="B13285" s="121">
        <v>1132</v>
      </c>
      <c r="C13285" s="121">
        <v>5</v>
      </c>
      <c r="D13285" s="734">
        <v>136.81028923780016</v>
      </c>
      <c r="E13285" s="733"/>
    </row>
    <row r="13286" spans="2:5">
      <c r="B13286" s="121">
        <v>1132</v>
      </c>
      <c r="C13286" s="121">
        <v>6</v>
      </c>
      <c r="D13286" s="734">
        <v>145.09772988804536</v>
      </c>
      <c r="E13286" s="733"/>
    </row>
    <row r="13287" spans="2:5">
      <c r="B13287" s="121">
        <v>1132</v>
      </c>
      <c r="C13287" s="121">
        <v>7</v>
      </c>
      <c r="D13287" s="734">
        <v>142.40008470016204</v>
      </c>
      <c r="E13287" s="733"/>
    </row>
    <row r="13288" spans="2:5">
      <c r="B13288" s="121">
        <v>1132</v>
      </c>
      <c r="C13288" s="121">
        <v>8</v>
      </c>
      <c r="D13288" s="734">
        <v>141.37934534159393</v>
      </c>
      <c r="E13288" s="733"/>
    </row>
    <row r="13289" spans="2:5">
      <c r="B13289" s="121">
        <v>1132</v>
      </c>
      <c r="C13289" s="121">
        <v>9</v>
      </c>
      <c r="D13289" s="734">
        <v>144.83799932655347</v>
      </c>
      <c r="E13289" s="733"/>
    </row>
    <row r="13290" spans="2:5">
      <c r="B13290" s="121">
        <v>1132</v>
      </c>
      <c r="C13290" s="121">
        <v>10</v>
      </c>
      <c r="D13290" s="734">
        <v>141.3281227761104</v>
      </c>
      <c r="E13290" s="733"/>
    </row>
    <row r="13291" spans="2:5">
      <c r="B13291" s="121">
        <v>1132</v>
      </c>
      <c r="C13291" s="121">
        <v>11</v>
      </c>
      <c r="D13291" s="734">
        <v>142.01960123305503</v>
      </c>
      <c r="E13291" s="733"/>
    </row>
    <row r="13292" spans="2:5">
      <c r="B13292" s="121">
        <v>1132</v>
      </c>
      <c r="C13292" s="121">
        <v>12</v>
      </c>
      <c r="D13292" s="734">
        <v>133.7337902309811</v>
      </c>
      <c r="E13292" s="733"/>
    </row>
    <row r="13293" spans="2:5">
      <c r="B13293" s="121">
        <v>1132</v>
      </c>
      <c r="C13293" s="121">
        <v>13</v>
      </c>
      <c r="D13293" s="734">
        <v>133.94259642699311</v>
      </c>
      <c r="E13293" s="733"/>
    </row>
    <row r="13294" spans="2:5">
      <c r="B13294" s="121">
        <v>1132</v>
      </c>
      <c r="C13294" s="121">
        <v>14</v>
      </c>
      <c r="D13294" s="734">
        <v>134.25241813088726</v>
      </c>
      <c r="E13294" s="733"/>
    </row>
    <row r="13295" spans="2:5">
      <c r="B13295" s="121">
        <v>1132</v>
      </c>
      <c r="C13295" s="121">
        <v>15</v>
      </c>
      <c r="D13295" s="734">
        <v>141.92747275285177</v>
      </c>
      <c r="E13295" s="733"/>
    </row>
    <row r="13296" spans="2:5">
      <c r="B13296" s="121">
        <v>1132</v>
      </c>
      <c r="C13296" s="121">
        <v>16</v>
      </c>
      <c r="D13296" s="734">
        <v>140.45810515511369</v>
      </c>
      <c r="E13296" s="733"/>
    </row>
    <row r="13297" spans="2:5">
      <c r="B13297" s="121">
        <v>1133</v>
      </c>
      <c r="C13297" s="121">
        <v>1</v>
      </c>
      <c r="D13297" s="734">
        <v>5</v>
      </c>
      <c r="E13297" s="733"/>
    </row>
    <row r="13298" spans="2:5">
      <c r="B13298" s="121">
        <v>1134</v>
      </c>
      <c r="C13298" s="121">
        <v>1</v>
      </c>
      <c r="D13298" s="734">
        <v>5</v>
      </c>
      <c r="E13298" s="733"/>
    </row>
    <row r="13299" spans="2:5">
      <c r="B13299" s="121">
        <v>1135</v>
      </c>
      <c r="C13299" s="121">
        <v>1</v>
      </c>
      <c r="D13299" s="734">
        <v>5</v>
      </c>
      <c r="E13299" s="733"/>
    </row>
    <row r="13300" spans="2:5">
      <c r="B13300" s="121">
        <v>1135</v>
      </c>
      <c r="C13300" s="121">
        <v>2</v>
      </c>
      <c r="D13300" s="734">
        <v>103.50400673673501</v>
      </c>
      <c r="E13300" s="733"/>
    </row>
    <row r="13301" spans="2:5">
      <c r="B13301" s="121">
        <v>1135</v>
      </c>
      <c r="C13301" s="121">
        <v>3</v>
      </c>
      <c r="D13301" s="734">
        <v>114.29292263989709</v>
      </c>
      <c r="E13301" s="733"/>
    </row>
    <row r="13302" spans="2:5">
      <c r="B13302" s="121">
        <v>1135</v>
      </c>
      <c r="C13302" s="121">
        <v>4</v>
      </c>
      <c r="D13302" s="734">
        <v>143.85188424437013</v>
      </c>
      <c r="E13302" s="733"/>
    </row>
    <row r="13303" spans="2:5">
      <c r="B13303" s="121">
        <v>1135</v>
      </c>
      <c r="C13303" s="121">
        <v>5</v>
      </c>
      <c r="D13303" s="734">
        <v>143.32633193359399</v>
      </c>
      <c r="E13303" s="733"/>
    </row>
    <row r="13304" spans="2:5">
      <c r="B13304" s="121">
        <v>1135</v>
      </c>
      <c r="C13304" s="121">
        <v>6</v>
      </c>
      <c r="D13304" s="734">
        <v>144.01510163779267</v>
      </c>
      <c r="E13304" s="733"/>
    </row>
    <row r="13305" spans="2:5">
      <c r="B13305" s="121">
        <v>1135</v>
      </c>
      <c r="C13305" s="121">
        <v>7</v>
      </c>
      <c r="D13305" s="734">
        <v>146.59200368075619</v>
      </c>
      <c r="E13305" s="733"/>
    </row>
    <row r="13306" spans="2:5">
      <c r="B13306" s="121">
        <v>1135</v>
      </c>
      <c r="C13306" s="121">
        <v>8</v>
      </c>
      <c r="D13306" s="734">
        <v>144.74634709787335</v>
      </c>
      <c r="E13306" s="733"/>
    </row>
    <row r="13307" spans="2:5">
      <c r="B13307" s="121">
        <v>1135</v>
      </c>
      <c r="C13307" s="121">
        <v>9</v>
      </c>
      <c r="D13307" s="734">
        <v>139.50786708272096</v>
      </c>
      <c r="E13307" s="733"/>
    </row>
    <row r="13308" spans="2:5">
      <c r="B13308" s="121">
        <v>1135</v>
      </c>
      <c r="C13308" s="121">
        <v>10</v>
      </c>
      <c r="D13308" s="734">
        <v>146.74089710618077</v>
      </c>
      <c r="E13308" s="733"/>
    </row>
    <row r="13309" spans="2:5">
      <c r="B13309" s="121">
        <v>1135</v>
      </c>
      <c r="C13309" s="121">
        <v>11</v>
      </c>
      <c r="D13309" s="734">
        <v>137.01742771462716</v>
      </c>
      <c r="E13309" s="733"/>
    </row>
    <row r="13310" spans="2:5">
      <c r="B13310" s="121">
        <v>1135</v>
      </c>
      <c r="C13310" s="121">
        <v>12</v>
      </c>
      <c r="D13310" s="734">
        <v>144.26061846850769</v>
      </c>
      <c r="E13310" s="733"/>
    </row>
    <row r="13311" spans="2:5">
      <c r="B13311" s="121">
        <v>1135</v>
      </c>
      <c r="C13311" s="121">
        <v>13</v>
      </c>
      <c r="D13311" s="734">
        <v>147.01909752297576</v>
      </c>
      <c r="E13311" s="733"/>
    </row>
    <row r="13312" spans="2:5">
      <c r="B13312" s="121">
        <v>1135</v>
      </c>
      <c r="C13312" s="121">
        <v>14</v>
      </c>
      <c r="D13312" s="734">
        <v>139.30034668775818</v>
      </c>
      <c r="E13312" s="733"/>
    </row>
    <row r="13313" spans="2:5">
      <c r="B13313" s="121">
        <v>1135</v>
      </c>
      <c r="C13313" s="121">
        <v>15</v>
      </c>
      <c r="D13313" s="734">
        <v>136.61990527331938</v>
      </c>
      <c r="E13313" s="733"/>
    </row>
    <row r="13314" spans="2:5">
      <c r="B13314" s="121">
        <v>1135</v>
      </c>
      <c r="C13314" s="121">
        <v>16</v>
      </c>
      <c r="D13314" s="734">
        <v>144.22218490138559</v>
      </c>
      <c r="E13314" s="733"/>
    </row>
    <row r="13315" spans="2:5">
      <c r="B13315" s="121">
        <v>1135</v>
      </c>
      <c r="C13315" s="121">
        <v>17</v>
      </c>
      <c r="D13315" s="734">
        <v>136.93526203425995</v>
      </c>
      <c r="E13315" s="733"/>
    </row>
    <row r="13316" spans="2:5">
      <c r="B13316" s="121">
        <v>1135</v>
      </c>
      <c r="C13316" s="121">
        <v>18</v>
      </c>
      <c r="D13316" s="734">
        <v>144.3951668690799</v>
      </c>
      <c r="E13316" s="733"/>
    </row>
    <row r="13317" spans="2:5">
      <c r="B13317" s="121">
        <v>1135</v>
      </c>
      <c r="C13317" s="121">
        <v>19</v>
      </c>
      <c r="D13317" s="734">
        <v>145.54907032375982</v>
      </c>
      <c r="E13317" s="733"/>
    </row>
    <row r="13318" spans="2:5">
      <c r="B13318" s="121">
        <v>1135</v>
      </c>
      <c r="C13318" s="121">
        <v>20</v>
      </c>
      <c r="D13318" s="734">
        <v>143.22628133741168</v>
      </c>
      <c r="E13318" s="733"/>
    </row>
    <row r="13319" spans="2:5">
      <c r="B13319" s="121">
        <v>1135</v>
      </c>
      <c r="C13319" s="121">
        <v>21</v>
      </c>
      <c r="D13319" s="734">
        <v>140.57083703634828</v>
      </c>
      <c r="E13319" s="733"/>
    </row>
    <row r="13320" spans="2:5">
      <c r="B13320" s="121">
        <v>1135</v>
      </c>
      <c r="C13320" s="121">
        <v>22</v>
      </c>
      <c r="D13320" s="734">
        <v>143.40884369585282</v>
      </c>
      <c r="E13320" s="733"/>
    </row>
    <row r="13321" spans="2:5">
      <c r="B13321" s="121">
        <v>1135</v>
      </c>
      <c r="C13321" s="121">
        <v>23</v>
      </c>
      <c r="D13321" s="734">
        <v>142.53505421644812</v>
      </c>
      <c r="E13321" s="733"/>
    </row>
    <row r="13322" spans="2:5">
      <c r="B13322" s="121">
        <v>1135</v>
      </c>
      <c r="C13322" s="121">
        <v>24</v>
      </c>
      <c r="D13322" s="734">
        <v>135.65364162795868</v>
      </c>
      <c r="E13322" s="733"/>
    </row>
    <row r="13323" spans="2:5">
      <c r="B13323" s="121">
        <v>1135</v>
      </c>
      <c r="C13323" s="121">
        <v>25</v>
      </c>
      <c r="D13323" s="734">
        <v>143.6861659718418</v>
      </c>
      <c r="E13323" s="733"/>
    </row>
    <row r="13324" spans="2:5">
      <c r="B13324" s="121">
        <v>1135</v>
      </c>
      <c r="C13324" s="121">
        <v>26</v>
      </c>
      <c r="D13324" s="734">
        <v>144.54479548204066</v>
      </c>
      <c r="E13324" s="733"/>
    </row>
    <row r="13325" spans="2:5">
      <c r="B13325" s="121">
        <v>1135</v>
      </c>
      <c r="C13325" s="121">
        <v>27</v>
      </c>
      <c r="D13325" s="734">
        <v>145.61239369779358</v>
      </c>
      <c r="E13325" s="733"/>
    </row>
    <row r="13326" spans="2:5">
      <c r="B13326" s="121">
        <v>1135</v>
      </c>
      <c r="C13326" s="121">
        <v>28</v>
      </c>
      <c r="D13326" s="734">
        <v>137.68996338547831</v>
      </c>
      <c r="E13326" s="733"/>
    </row>
    <row r="13327" spans="2:5">
      <c r="B13327" s="121">
        <v>1135</v>
      </c>
      <c r="C13327" s="121">
        <v>29</v>
      </c>
      <c r="D13327" s="734">
        <v>140.59342601794518</v>
      </c>
      <c r="E13327" s="733"/>
    </row>
    <row r="13328" spans="2:5">
      <c r="B13328" s="121">
        <v>1135</v>
      </c>
      <c r="C13328" s="121">
        <v>30</v>
      </c>
      <c r="D13328" s="734">
        <v>142.30531984386801</v>
      </c>
      <c r="E13328" s="733"/>
    </row>
    <row r="13329" spans="2:5">
      <c r="B13329" s="121">
        <v>1135</v>
      </c>
      <c r="C13329" s="121">
        <v>31</v>
      </c>
      <c r="D13329" s="734">
        <v>135.83798409595087</v>
      </c>
      <c r="E13329" s="733"/>
    </row>
    <row r="13330" spans="2:5">
      <c r="B13330" s="121">
        <v>1135</v>
      </c>
      <c r="C13330" s="121">
        <v>32</v>
      </c>
      <c r="D13330" s="734">
        <v>144.81356607757556</v>
      </c>
      <c r="E13330" s="733"/>
    </row>
    <row r="13331" spans="2:5">
      <c r="B13331" s="121">
        <v>1135</v>
      </c>
      <c r="C13331" s="121">
        <v>33</v>
      </c>
      <c r="D13331" s="734">
        <v>136.76598800891372</v>
      </c>
      <c r="E13331" s="733"/>
    </row>
    <row r="13332" spans="2:5">
      <c r="B13332" s="121">
        <v>1135</v>
      </c>
      <c r="C13332" s="121">
        <v>34</v>
      </c>
      <c r="D13332" s="734">
        <v>136.44120322296916</v>
      </c>
      <c r="E13332" s="733"/>
    </row>
    <row r="13333" spans="2:5">
      <c r="B13333" s="121">
        <v>1135</v>
      </c>
      <c r="C13333" s="121">
        <v>35</v>
      </c>
      <c r="D13333" s="734">
        <v>133.65956072426744</v>
      </c>
      <c r="E13333" s="733"/>
    </row>
    <row r="13334" spans="2:5">
      <c r="B13334" s="121">
        <v>1135</v>
      </c>
      <c r="C13334" s="121">
        <v>36</v>
      </c>
      <c r="D13334" s="734">
        <v>138.76696141965559</v>
      </c>
      <c r="E13334" s="733"/>
    </row>
    <row r="13335" spans="2:5">
      <c r="B13335" s="121">
        <v>1136</v>
      </c>
      <c r="C13335" s="121">
        <v>1</v>
      </c>
      <c r="D13335" s="734">
        <v>5</v>
      </c>
      <c r="E13335" s="733"/>
    </row>
    <row r="13336" spans="2:5">
      <c r="B13336" s="121">
        <v>1136</v>
      </c>
      <c r="C13336" s="121">
        <v>2</v>
      </c>
      <c r="D13336" s="734">
        <v>94.562321284008704</v>
      </c>
      <c r="E13336" s="733"/>
    </row>
    <row r="13337" spans="2:5">
      <c r="B13337" s="121">
        <v>1136</v>
      </c>
      <c r="C13337" s="121">
        <v>3</v>
      </c>
      <c r="D13337" s="734">
        <v>117.00959117305011</v>
      </c>
      <c r="E13337" s="733"/>
    </row>
    <row r="13338" spans="2:5">
      <c r="B13338" s="121">
        <v>1136</v>
      </c>
      <c r="C13338" s="121">
        <v>4</v>
      </c>
      <c r="D13338" s="734">
        <v>135.93474296569696</v>
      </c>
      <c r="E13338" s="733"/>
    </row>
    <row r="13339" spans="2:5">
      <c r="B13339" s="121">
        <v>1136</v>
      </c>
      <c r="C13339" s="121">
        <v>5</v>
      </c>
      <c r="D13339" s="734">
        <v>141.05669254645531</v>
      </c>
      <c r="E13339" s="733"/>
    </row>
    <row r="13340" spans="2:5">
      <c r="B13340" s="121">
        <v>1136</v>
      </c>
      <c r="C13340" s="121">
        <v>6</v>
      </c>
      <c r="D13340" s="734">
        <v>137.46216843926112</v>
      </c>
      <c r="E13340" s="733"/>
    </row>
    <row r="13341" spans="2:5">
      <c r="B13341" s="121">
        <v>1136</v>
      </c>
      <c r="C13341" s="121">
        <v>7</v>
      </c>
      <c r="D13341" s="734">
        <v>144.8171532676939</v>
      </c>
      <c r="E13341" s="733"/>
    </row>
    <row r="13342" spans="2:5">
      <c r="B13342" s="121">
        <v>1136</v>
      </c>
      <c r="C13342" s="121">
        <v>8</v>
      </c>
      <c r="D13342" s="734">
        <v>135.9376233355963</v>
      </c>
      <c r="E13342" s="733"/>
    </row>
    <row r="13343" spans="2:5">
      <c r="B13343" s="121">
        <v>1136</v>
      </c>
      <c r="C13343" s="121">
        <v>9</v>
      </c>
      <c r="D13343" s="734">
        <v>135.63612989945594</v>
      </c>
      <c r="E13343" s="733"/>
    </row>
    <row r="13344" spans="2:5">
      <c r="B13344" s="121">
        <v>1136</v>
      </c>
      <c r="C13344" s="121">
        <v>10</v>
      </c>
      <c r="D13344" s="734">
        <v>134.02571241029221</v>
      </c>
      <c r="E13344" s="733"/>
    </row>
    <row r="13345" spans="2:5">
      <c r="B13345" s="121">
        <v>1136</v>
      </c>
      <c r="C13345" s="121">
        <v>11</v>
      </c>
      <c r="D13345" s="734">
        <v>143.71849354865887</v>
      </c>
      <c r="E13345" s="733"/>
    </row>
    <row r="13346" spans="2:5">
      <c r="B13346" s="121">
        <v>1137</v>
      </c>
      <c r="C13346" s="121">
        <v>1</v>
      </c>
      <c r="D13346" s="734">
        <v>5</v>
      </c>
      <c r="E13346" s="733"/>
    </row>
    <row r="13347" spans="2:5">
      <c r="B13347" s="121">
        <v>1138</v>
      </c>
      <c r="C13347" s="121">
        <v>1</v>
      </c>
      <c r="D13347" s="734">
        <v>5</v>
      </c>
      <c r="E13347" s="733"/>
    </row>
    <row r="13348" spans="2:5">
      <c r="B13348" s="121">
        <v>1139</v>
      </c>
      <c r="C13348" s="121">
        <v>1</v>
      </c>
      <c r="D13348" s="734">
        <v>5</v>
      </c>
      <c r="E13348" s="733"/>
    </row>
    <row r="13349" spans="2:5">
      <c r="B13349" s="121">
        <v>1140</v>
      </c>
      <c r="C13349" s="121">
        <v>1</v>
      </c>
      <c r="D13349" s="734">
        <v>5</v>
      </c>
      <c r="E13349" s="733"/>
    </row>
    <row r="13350" spans="2:5">
      <c r="B13350" s="121">
        <v>1141</v>
      </c>
      <c r="C13350" s="121">
        <v>1</v>
      </c>
      <c r="D13350" s="734">
        <v>5</v>
      </c>
      <c r="E13350" s="733"/>
    </row>
    <row r="13351" spans="2:5">
      <c r="B13351" s="121">
        <v>1141</v>
      </c>
      <c r="C13351" s="121">
        <v>2</v>
      </c>
      <c r="D13351" s="734">
        <v>101.99020898943243</v>
      </c>
      <c r="E13351" s="733"/>
    </row>
    <row r="13352" spans="2:5">
      <c r="B13352" s="121">
        <v>1142</v>
      </c>
      <c r="C13352" s="121">
        <v>1</v>
      </c>
      <c r="D13352" s="734">
        <v>5</v>
      </c>
      <c r="E13352" s="733"/>
    </row>
    <row r="13353" spans="2:5">
      <c r="B13353" s="121">
        <v>1142</v>
      </c>
      <c r="C13353" s="121">
        <v>2</v>
      </c>
      <c r="D13353" s="734">
        <v>98.812642835946306</v>
      </c>
      <c r="E13353" s="733"/>
    </row>
    <row r="13354" spans="2:5">
      <c r="B13354" s="121">
        <v>1142</v>
      </c>
      <c r="C13354" s="121">
        <v>3</v>
      </c>
      <c r="D13354" s="734">
        <v>123.24189193953382</v>
      </c>
      <c r="E13354" s="733"/>
    </row>
    <row r="13355" spans="2:5">
      <c r="B13355" s="121">
        <v>1142</v>
      </c>
      <c r="C13355" s="121">
        <v>4</v>
      </c>
      <c r="D13355" s="734">
        <v>139.06156838221878</v>
      </c>
      <c r="E13355" s="733"/>
    </row>
    <row r="13356" spans="2:5">
      <c r="B13356" s="121">
        <v>1142</v>
      </c>
      <c r="C13356" s="121">
        <v>5</v>
      </c>
      <c r="D13356" s="734">
        <v>146.31096702903531</v>
      </c>
      <c r="E13356" s="733"/>
    </row>
    <row r="13357" spans="2:5">
      <c r="B13357" s="121">
        <v>1142</v>
      </c>
      <c r="C13357" s="121">
        <v>6</v>
      </c>
      <c r="D13357" s="734">
        <v>133.90113359121281</v>
      </c>
      <c r="E13357" s="733"/>
    </row>
    <row r="13358" spans="2:5">
      <c r="B13358" s="121">
        <v>1142</v>
      </c>
      <c r="C13358" s="121">
        <v>7</v>
      </c>
      <c r="D13358" s="734">
        <v>144.51590943657118</v>
      </c>
      <c r="E13358" s="733"/>
    </row>
    <row r="13359" spans="2:5">
      <c r="B13359" s="121">
        <v>1142</v>
      </c>
      <c r="C13359" s="121">
        <v>8</v>
      </c>
      <c r="D13359" s="734">
        <v>140.00032912474089</v>
      </c>
      <c r="E13359" s="733"/>
    </row>
    <row r="13360" spans="2:5">
      <c r="B13360" s="121">
        <v>1142</v>
      </c>
      <c r="C13360" s="121">
        <v>9</v>
      </c>
      <c r="D13360" s="734">
        <v>142.56884510399667</v>
      </c>
      <c r="E13360" s="733"/>
    </row>
    <row r="13361" spans="2:5">
      <c r="B13361" s="121">
        <v>1142</v>
      </c>
      <c r="C13361" s="121">
        <v>10</v>
      </c>
      <c r="D13361" s="734">
        <v>142.01844055193388</v>
      </c>
      <c r="E13361" s="733"/>
    </row>
    <row r="13362" spans="2:5">
      <c r="B13362" s="121">
        <v>1142</v>
      </c>
      <c r="C13362" s="121">
        <v>11</v>
      </c>
      <c r="D13362" s="734">
        <v>138.9853720720829</v>
      </c>
      <c r="E13362" s="733"/>
    </row>
    <row r="13363" spans="2:5">
      <c r="B13363" s="121">
        <v>1143</v>
      </c>
      <c r="C13363" s="121">
        <v>1</v>
      </c>
      <c r="D13363" s="734">
        <v>5</v>
      </c>
      <c r="E13363" s="733"/>
    </row>
    <row r="13364" spans="2:5">
      <c r="B13364" s="121">
        <v>1143</v>
      </c>
      <c r="C13364" s="121">
        <v>2</v>
      </c>
      <c r="D13364" s="734">
        <v>99.111931678672619</v>
      </c>
      <c r="E13364" s="733"/>
    </row>
    <row r="13365" spans="2:5">
      <c r="B13365" s="121">
        <v>1143</v>
      </c>
      <c r="C13365" s="121">
        <v>3</v>
      </c>
      <c r="D13365" s="734">
        <v>123.52295683331921</v>
      </c>
      <c r="E13365" s="733"/>
    </row>
    <row r="13366" spans="2:5">
      <c r="B13366" s="121">
        <v>1143</v>
      </c>
      <c r="C13366" s="121">
        <v>4</v>
      </c>
      <c r="D13366" s="734">
        <v>141.91690750920756</v>
      </c>
      <c r="E13366" s="733"/>
    </row>
    <row r="13367" spans="2:5">
      <c r="B13367" s="121">
        <v>1143</v>
      </c>
      <c r="C13367" s="121">
        <v>5</v>
      </c>
      <c r="D13367" s="734">
        <v>136.68907688136312</v>
      </c>
      <c r="E13367" s="733"/>
    </row>
    <row r="13368" spans="2:5">
      <c r="B13368" s="121">
        <v>1143</v>
      </c>
      <c r="C13368" s="121">
        <v>6</v>
      </c>
      <c r="D13368" s="734">
        <v>140.3415134912475</v>
      </c>
      <c r="E13368" s="733"/>
    </row>
    <row r="13369" spans="2:5">
      <c r="B13369" s="121">
        <v>1143</v>
      </c>
      <c r="C13369" s="121">
        <v>7</v>
      </c>
      <c r="D13369" s="734">
        <v>137.54134744016352</v>
      </c>
      <c r="E13369" s="733"/>
    </row>
    <row r="13370" spans="2:5">
      <c r="B13370" s="121">
        <v>1143</v>
      </c>
      <c r="C13370" s="121">
        <v>8</v>
      </c>
      <c r="D13370" s="734">
        <v>140.77256831620085</v>
      </c>
      <c r="E13370" s="733"/>
    </row>
    <row r="13371" spans="2:5">
      <c r="B13371" s="121">
        <v>1143</v>
      </c>
      <c r="C13371" s="121">
        <v>9</v>
      </c>
      <c r="D13371" s="734">
        <v>139.30388687549799</v>
      </c>
      <c r="E13371" s="733"/>
    </row>
    <row r="13372" spans="2:5">
      <c r="B13372" s="121">
        <v>1143</v>
      </c>
      <c r="C13372" s="121">
        <v>10</v>
      </c>
      <c r="D13372" s="734">
        <v>139.21911430534027</v>
      </c>
      <c r="E13372" s="733"/>
    </row>
    <row r="13373" spans="2:5">
      <c r="B13373" s="121">
        <v>1143</v>
      </c>
      <c r="C13373" s="121">
        <v>11</v>
      </c>
      <c r="D13373" s="734">
        <v>139.93030735940491</v>
      </c>
      <c r="E13373" s="733"/>
    </row>
    <row r="13374" spans="2:5">
      <c r="B13374" s="121">
        <v>1143</v>
      </c>
      <c r="C13374" s="121">
        <v>12</v>
      </c>
      <c r="D13374" s="734">
        <v>138.05578847841562</v>
      </c>
      <c r="E13374" s="733"/>
    </row>
    <row r="13375" spans="2:5">
      <c r="B13375" s="121">
        <v>1143</v>
      </c>
      <c r="C13375" s="121">
        <v>13</v>
      </c>
      <c r="D13375" s="734">
        <v>142.69843396446441</v>
      </c>
      <c r="E13375" s="733"/>
    </row>
    <row r="13376" spans="2:5">
      <c r="B13376" s="121">
        <v>1143</v>
      </c>
      <c r="C13376" s="121">
        <v>14</v>
      </c>
      <c r="D13376" s="734">
        <v>139.29141849703143</v>
      </c>
      <c r="E13376" s="733"/>
    </row>
    <row r="13377" spans="2:5">
      <c r="B13377" s="121">
        <v>1143</v>
      </c>
      <c r="C13377" s="121">
        <v>15</v>
      </c>
      <c r="D13377" s="734">
        <v>134.27096542860937</v>
      </c>
      <c r="E13377" s="733"/>
    </row>
    <row r="13378" spans="2:5">
      <c r="B13378" s="121">
        <v>1143</v>
      </c>
      <c r="C13378" s="121">
        <v>16</v>
      </c>
      <c r="D13378" s="734">
        <v>136.95881042252307</v>
      </c>
      <c r="E13378" s="733"/>
    </row>
    <row r="13379" spans="2:5">
      <c r="B13379" s="121">
        <v>1143</v>
      </c>
      <c r="C13379" s="121">
        <v>17</v>
      </c>
      <c r="D13379" s="734">
        <v>144.87821685332125</v>
      </c>
      <c r="E13379" s="733"/>
    </row>
    <row r="13380" spans="2:5">
      <c r="B13380" s="121">
        <v>1143</v>
      </c>
      <c r="C13380" s="121">
        <v>18</v>
      </c>
      <c r="D13380" s="734">
        <v>146.58369895453839</v>
      </c>
      <c r="E13380" s="733"/>
    </row>
    <row r="13381" spans="2:5">
      <c r="B13381" s="121">
        <v>1144</v>
      </c>
      <c r="C13381" s="121">
        <v>1</v>
      </c>
      <c r="D13381" s="734">
        <v>5</v>
      </c>
      <c r="E13381" s="733"/>
    </row>
    <row r="13382" spans="2:5">
      <c r="B13382" s="121">
        <v>1144</v>
      </c>
      <c r="C13382" s="121">
        <v>2</v>
      </c>
      <c r="D13382" s="734">
        <v>101.16914677118945</v>
      </c>
      <c r="E13382" s="733"/>
    </row>
    <row r="13383" spans="2:5">
      <c r="B13383" s="121">
        <v>1144</v>
      </c>
      <c r="C13383" s="121">
        <v>3</v>
      </c>
      <c r="D13383" s="734">
        <v>119.1895962647357</v>
      </c>
      <c r="E13383" s="733"/>
    </row>
    <row r="13384" spans="2:5">
      <c r="B13384" s="121">
        <v>1144</v>
      </c>
      <c r="C13384" s="121">
        <v>4</v>
      </c>
      <c r="D13384" s="734">
        <v>146.68112928405509</v>
      </c>
      <c r="E13384" s="733"/>
    </row>
    <row r="13385" spans="2:5">
      <c r="B13385" s="121">
        <v>1144</v>
      </c>
      <c r="C13385" s="121">
        <v>5</v>
      </c>
      <c r="D13385" s="734">
        <v>142.96889687887122</v>
      </c>
      <c r="E13385" s="733"/>
    </row>
    <row r="13386" spans="2:5">
      <c r="B13386" s="121">
        <v>1144</v>
      </c>
      <c r="C13386" s="121">
        <v>6</v>
      </c>
      <c r="D13386" s="734">
        <v>146.06350873174395</v>
      </c>
      <c r="E13386" s="733"/>
    </row>
    <row r="13387" spans="2:5">
      <c r="B13387" s="121">
        <v>1144</v>
      </c>
      <c r="C13387" s="121">
        <v>7</v>
      </c>
      <c r="D13387" s="734">
        <v>144.65356297765874</v>
      </c>
      <c r="E13387" s="733"/>
    </row>
    <row r="13388" spans="2:5">
      <c r="B13388" s="121">
        <v>1144</v>
      </c>
      <c r="C13388" s="121">
        <v>8</v>
      </c>
      <c r="D13388" s="734">
        <v>133.75778274153924</v>
      </c>
      <c r="E13388" s="733"/>
    </row>
    <row r="13389" spans="2:5">
      <c r="B13389" s="121">
        <v>1144</v>
      </c>
      <c r="C13389" s="121">
        <v>9</v>
      </c>
      <c r="D13389" s="734">
        <v>140.50528191164835</v>
      </c>
      <c r="E13389" s="733"/>
    </row>
    <row r="13390" spans="2:5">
      <c r="B13390" s="121">
        <v>1144</v>
      </c>
      <c r="C13390" s="121">
        <v>10</v>
      </c>
      <c r="D13390" s="734">
        <v>139.90827152444166</v>
      </c>
      <c r="E13390" s="733"/>
    </row>
    <row r="13391" spans="2:5">
      <c r="B13391" s="121">
        <v>1144</v>
      </c>
      <c r="C13391" s="121">
        <v>11</v>
      </c>
      <c r="D13391" s="734">
        <v>138.71093791165382</v>
      </c>
      <c r="E13391" s="733"/>
    </row>
    <row r="13392" spans="2:5">
      <c r="B13392" s="121">
        <v>1144</v>
      </c>
      <c r="C13392" s="121">
        <v>12</v>
      </c>
      <c r="D13392" s="734">
        <v>139.34642603906443</v>
      </c>
      <c r="E13392" s="733"/>
    </row>
    <row r="13393" spans="2:5">
      <c r="B13393" s="121">
        <v>1144</v>
      </c>
      <c r="C13393" s="121">
        <v>13</v>
      </c>
      <c r="D13393" s="734">
        <v>140.40405371870864</v>
      </c>
      <c r="E13393" s="733"/>
    </row>
    <row r="13394" spans="2:5">
      <c r="B13394" s="121">
        <v>1144</v>
      </c>
      <c r="C13394" s="121">
        <v>14</v>
      </c>
      <c r="D13394" s="734">
        <v>143.51607536794222</v>
      </c>
      <c r="E13394" s="733"/>
    </row>
    <row r="13395" spans="2:5">
      <c r="B13395" s="121">
        <v>1144</v>
      </c>
      <c r="C13395" s="121">
        <v>15</v>
      </c>
      <c r="D13395" s="734">
        <v>139.35265003166214</v>
      </c>
      <c r="E13395" s="733"/>
    </row>
    <row r="13396" spans="2:5">
      <c r="B13396" s="121">
        <v>1144</v>
      </c>
      <c r="C13396" s="121">
        <v>16</v>
      </c>
      <c r="D13396" s="734">
        <v>142.77309980015752</v>
      </c>
      <c r="E13396" s="733"/>
    </row>
    <row r="13397" spans="2:5">
      <c r="B13397" s="121">
        <v>1144</v>
      </c>
      <c r="C13397" s="121">
        <v>17</v>
      </c>
      <c r="D13397" s="734">
        <v>144.45091332907754</v>
      </c>
      <c r="E13397" s="733"/>
    </row>
    <row r="13398" spans="2:5">
      <c r="B13398" s="121">
        <v>1144</v>
      </c>
      <c r="C13398" s="121">
        <v>18</v>
      </c>
      <c r="D13398" s="734">
        <v>142.95073456765616</v>
      </c>
      <c r="E13398" s="733"/>
    </row>
    <row r="13399" spans="2:5">
      <c r="B13399" s="121">
        <v>1144</v>
      </c>
      <c r="C13399" s="121">
        <v>19</v>
      </c>
      <c r="D13399" s="734">
        <v>144.21001271340319</v>
      </c>
      <c r="E13399" s="733"/>
    </row>
    <row r="13400" spans="2:5">
      <c r="B13400" s="121">
        <v>1145</v>
      </c>
      <c r="C13400" s="121">
        <v>1</v>
      </c>
      <c r="D13400" s="734">
        <v>5</v>
      </c>
      <c r="E13400" s="733"/>
    </row>
    <row r="13401" spans="2:5">
      <c r="B13401" s="121">
        <v>1145</v>
      </c>
      <c r="C13401" s="121">
        <v>2</v>
      </c>
      <c r="D13401" s="734">
        <v>100.29387606152336</v>
      </c>
      <c r="E13401" s="733"/>
    </row>
    <row r="13402" spans="2:5">
      <c r="B13402" s="121">
        <v>1145</v>
      </c>
      <c r="C13402" s="121">
        <v>3</v>
      </c>
      <c r="D13402" s="734">
        <v>124.98238783399773</v>
      </c>
      <c r="E13402" s="733"/>
    </row>
    <row r="13403" spans="2:5">
      <c r="B13403" s="121">
        <v>1146</v>
      </c>
      <c r="C13403" s="121">
        <v>1</v>
      </c>
      <c r="D13403" s="734">
        <v>5</v>
      </c>
      <c r="E13403" s="733"/>
    </row>
    <row r="13404" spans="2:5">
      <c r="B13404" s="121">
        <v>1146</v>
      </c>
      <c r="C13404" s="121">
        <v>2</v>
      </c>
      <c r="D13404" s="734">
        <v>101.88358580657646</v>
      </c>
      <c r="E13404" s="733"/>
    </row>
    <row r="13405" spans="2:5">
      <c r="B13405" s="121">
        <v>1146</v>
      </c>
      <c r="C13405" s="121">
        <v>3</v>
      </c>
      <c r="D13405" s="734">
        <v>116.61546569464576</v>
      </c>
      <c r="E13405" s="733"/>
    </row>
    <row r="13406" spans="2:5">
      <c r="B13406" s="121">
        <v>1146</v>
      </c>
      <c r="C13406" s="121">
        <v>4</v>
      </c>
      <c r="D13406" s="734">
        <v>139.45586254655709</v>
      </c>
      <c r="E13406" s="733"/>
    </row>
    <row r="13407" spans="2:5">
      <c r="B13407" s="121">
        <v>1146</v>
      </c>
      <c r="C13407" s="121">
        <v>5</v>
      </c>
      <c r="D13407" s="734">
        <v>145.5828642202882</v>
      </c>
      <c r="E13407" s="733"/>
    </row>
    <row r="13408" spans="2:5">
      <c r="B13408" s="121">
        <v>1146</v>
      </c>
      <c r="C13408" s="121">
        <v>6</v>
      </c>
      <c r="D13408" s="734">
        <v>138.86875561150464</v>
      </c>
      <c r="E13408" s="733"/>
    </row>
    <row r="13409" spans="2:5">
      <c r="B13409" s="121">
        <v>1146</v>
      </c>
      <c r="C13409" s="121">
        <v>7</v>
      </c>
      <c r="D13409" s="734">
        <v>140.70526224979881</v>
      </c>
      <c r="E13409" s="733"/>
    </row>
    <row r="13410" spans="2:5">
      <c r="B13410" s="121">
        <v>1146</v>
      </c>
      <c r="C13410" s="121">
        <v>8</v>
      </c>
      <c r="D13410" s="734">
        <v>144.55242186840522</v>
      </c>
      <c r="E13410" s="733"/>
    </row>
    <row r="13411" spans="2:5">
      <c r="B13411" s="121">
        <v>1147</v>
      </c>
      <c r="C13411" s="121">
        <v>1</v>
      </c>
      <c r="D13411" s="734">
        <v>5</v>
      </c>
      <c r="E13411" s="733"/>
    </row>
    <row r="13412" spans="2:5">
      <c r="B13412" s="121">
        <v>1148</v>
      </c>
      <c r="C13412" s="121">
        <v>1</v>
      </c>
      <c r="D13412" s="734">
        <v>5</v>
      </c>
      <c r="E13412" s="733"/>
    </row>
    <row r="13413" spans="2:5">
      <c r="B13413" s="121">
        <v>1148</v>
      </c>
      <c r="C13413" s="121">
        <v>2</v>
      </c>
      <c r="D13413" s="734">
        <v>96.021178633660782</v>
      </c>
      <c r="E13413" s="733"/>
    </row>
    <row r="13414" spans="2:5">
      <c r="B13414" s="121">
        <v>1148</v>
      </c>
      <c r="C13414" s="121">
        <v>3</v>
      </c>
      <c r="D13414" s="734">
        <v>123.76512711298402</v>
      </c>
      <c r="E13414" s="733"/>
    </row>
    <row r="13415" spans="2:5">
      <c r="B13415" s="121">
        <v>1148</v>
      </c>
      <c r="C13415" s="121">
        <v>4</v>
      </c>
      <c r="D13415" s="734">
        <v>145.88634089682054</v>
      </c>
      <c r="E13415" s="733"/>
    </row>
    <row r="13416" spans="2:5">
      <c r="B13416" s="121">
        <v>1148</v>
      </c>
      <c r="C13416" s="121">
        <v>5</v>
      </c>
      <c r="D13416" s="734">
        <v>146.73333021277659</v>
      </c>
      <c r="E13416" s="733"/>
    </row>
    <row r="13417" spans="2:5">
      <c r="B13417" s="121">
        <v>1148</v>
      </c>
      <c r="C13417" s="121">
        <v>6</v>
      </c>
      <c r="D13417" s="734">
        <v>136.39446263241243</v>
      </c>
      <c r="E13417" s="733"/>
    </row>
    <row r="13418" spans="2:5">
      <c r="B13418" s="121">
        <v>1148</v>
      </c>
      <c r="C13418" s="121">
        <v>7</v>
      </c>
      <c r="D13418" s="734">
        <v>142.27778959746647</v>
      </c>
      <c r="E13418" s="733"/>
    </row>
    <row r="13419" spans="2:5">
      <c r="B13419" s="121">
        <v>1149</v>
      </c>
      <c r="C13419" s="121">
        <v>1</v>
      </c>
      <c r="D13419" s="734">
        <v>5</v>
      </c>
      <c r="E13419" s="733"/>
    </row>
    <row r="13420" spans="2:5">
      <c r="B13420" s="121">
        <v>1149</v>
      </c>
      <c r="C13420" s="121">
        <v>2</v>
      </c>
      <c r="D13420" s="734">
        <v>101.63199016105453</v>
      </c>
      <c r="E13420" s="733"/>
    </row>
    <row r="13421" spans="2:5">
      <c r="B13421" s="121">
        <v>1149</v>
      </c>
      <c r="C13421" s="121">
        <v>3</v>
      </c>
      <c r="D13421" s="734">
        <v>123.53207885594949</v>
      </c>
      <c r="E13421" s="733"/>
    </row>
    <row r="13422" spans="2:5">
      <c r="B13422" s="121">
        <v>1149</v>
      </c>
      <c r="C13422" s="121">
        <v>4</v>
      </c>
      <c r="D13422" s="734">
        <v>140.3647703438925</v>
      </c>
      <c r="E13422" s="733"/>
    </row>
    <row r="13423" spans="2:5">
      <c r="B13423" s="121">
        <v>1149</v>
      </c>
      <c r="C13423" s="121">
        <v>5</v>
      </c>
      <c r="D13423" s="734">
        <v>140.39711331564112</v>
      </c>
      <c r="E13423" s="733"/>
    </row>
    <row r="13424" spans="2:5">
      <c r="B13424" s="121">
        <v>1149</v>
      </c>
      <c r="C13424" s="121">
        <v>6</v>
      </c>
      <c r="D13424" s="734">
        <v>145.23980948057473</v>
      </c>
      <c r="E13424" s="733"/>
    </row>
    <row r="13425" spans="2:5">
      <c r="B13425" s="121">
        <v>1149</v>
      </c>
      <c r="C13425" s="121">
        <v>7</v>
      </c>
      <c r="D13425" s="734">
        <v>137.73627272500059</v>
      </c>
      <c r="E13425" s="733"/>
    </row>
    <row r="13426" spans="2:5">
      <c r="B13426" s="121">
        <v>1149</v>
      </c>
      <c r="C13426" s="121">
        <v>8</v>
      </c>
      <c r="D13426" s="734">
        <v>145.76946082537805</v>
      </c>
      <c r="E13426" s="733"/>
    </row>
    <row r="13427" spans="2:5">
      <c r="B13427" s="121">
        <v>1149</v>
      </c>
      <c r="C13427" s="121">
        <v>9</v>
      </c>
      <c r="D13427" s="734">
        <v>135.21740937880585</v>
      </c>
      <c r="E13427" s="733"/>
    </row>
    <row r="13428" spans="2:5">
      <c r="B13428" s="121">
        <v>1149</v>
      </c>
      <c r="C13428" s="121">
        <v>10</v>
      </c>
      <c r="D13428" s="734">
        <v>137.66238201392071</v>
      </c>
      <c r="E13428" s="733"/>
    </row>
    <row r="13429" spans="2:5">
      <c r="B13429" s="121">
        <v>1149</v>
      </c>
      <c r="C13429" s="121">
        <v>11</v>
      </c>
      <c r="D13429" s="734">
        <v>137.32532760638108</v>
      </c>
      <c r="E13429" s="733"/>
    </row>
    <row r="13430" spans="2:5">
      <c r="B13430" s="121">
        <v>1149</v>
      </c>
      <c r="C13430" s="121">
        <v>12</v>
      </c>
      <c r="D13430" s="734">
        <v>135.74276608578353</v>
      </c>
      <c r="E13430" s="733"/>
    </row>
    <row r="13431" spans="2:5">
      <c r="B13431" s="121">
        <v>1149</v>
      </c>
      <c r="C13431" s="121">
        <v>13</v>
      </c>
      <c r="D13431" s="734">
        <v>137.75963231797348</v>
      </c>
      <c r="E13431" s="733"/>
    </row>
    <row r="13432" spans="2:5">
      <c r="B13432" s="121">
        <v>1149</v>
      </c>
      <c r="C13432" s="121">
        <v>14</v>
      </c>
      <c r="D13432" s="734">
        <v>136.69667205178166</v>
      </c>
      <c r="E13432" s="733"/>
    </row>
    <row r="13433" spans="2:5">
      <c r="B13433" s="121">
        <v>1149</v>
      </c>
      <c r="C13433" s="121">
        <v>15</v>
      </c>
      <c r="D13433" s="734">
        <v>142.94441072270357</v>
      </c>
      <c r="E13433" s="733"/>
    </row>
    <row r="13434" spans="2:5">
      <c r="B13434" s="121">
        <v>1149</v>
      </c>
      <c r="C13434" s="121">
        <v>16</v>
      </c>
      <c r="D13434" s="734">
        <v>144.65460567647276</v>
      </c>
      <c r="E13434" s="733"/>
    </row>
    <row r="13435" spans="2:5">
      <c r="B13435" s="121">
        <v>1149</v>
      </c>
      <c r="C13435" s="121">
        <v>17</v>
      </c>
      <c r="D13435" s="734">
        <v>147.28212168590375</v>
      </c>
      <c r="E13435" s="733"/>
    </row>
    <row r="13436" spans="2:5">
      <c r="B13436" s="121">
        <v>1149</v>
      </c>
      <c r="C13436" s="121">
        <v>18</v>
      </c>
      <c r="D13436" s="734">
        <v>140.50389902378737</v>
      </c>
      <c r="E13436" s="733"/>
    </row>
    <row r="13437" spans="2:5">
      <c r="B13437" s="121">
        <v>1149</v>
      </c>
      <c r="C13437" s="121">
        <v>19</v>
      </c>
      <c r="D13437" s="734">
        <v>143.36556306441071</v>
      </c>
      <c r="E13437" s="733"/>
    </row>
    <row r="13438" spans="2:5">
      <c r="B13438" s="121">
        <v>1149</v>
      </c>
      <c r="C13438" s="121">
        <v>20</v>
      </c>
      <c r="D13438" s="734">
        <v>141.73329605146029</v>
      </c>
      <c r="E13438" s="733"/>
    </row>
    <row r="13439" spans="2:5">
      <c r="B13439" s="121">
        <v>1149</v>
      </c>
      <c r="C13439" s="121">
        <v>21</v>
      </c>
      <c r="D13439" s="734">
        <v>134.02669605660836</v>
      </c>
      <c r="E13439" s="733"/>
    </row>
    <row r="13440" spans="2:5">
      <c r="B13440" s="121">
        <v>1149</v>
      </c>
      <c r="C13440" s="121">
        <v>22</v>
      </c>
      <c r="D13440" s="734">
        <v>146.09285736216205</v>
      </c>
      <c r="E13440" s="733"/>
    </row>
    <row r="13441" spans="2:5">
      <c r="B13441" s="121">
        <v>1149</v>
      </c>
      <c r="C13441" s="121">
        <v>23</v>
      </c>
      <c r="D13441" s="734">
        <v>146.60851043642501</v>
      </c>
      <c r="E13441" s="733"/>
    </row>
    <row r="13442" spans="2:5">
      <c r="B13442" s="121">
        <v>1149</v>
      </c>
      <c r="C13442" s="121">
        <v>24</v>
      </c>
      <c r="D13442" s="734">
        <v>135.99739504211558</v>
      </c>
      <c r="E13442" s="733"/>
    </row>
    <row r="13443" spans="2:5">
      <c r="B13443" s="121">
        <v>1149</v>
      </c>
      <c r="C13443" s="121">
        <v>25</v>
      </c>
      <c r="D13443" s="734">
        <v>146.52583015364783</v>
      </c>
      <c r="E13443" s="733"/>
    </row>
    <row r="13444" spans="2:5">
      <c r="B13444" s="121">
        <v>1149</v>
      </c>
      <c r="C13444" s="121">
        <v>26</v>
      </c>
      <c r="D13444" s="734">
        <v>140.92509375386558</v>
      </c>
      <c r="E13444" s="733"/>
    </row>
    <row r="13445" spans="2:5">
      <c r="B13445" s="121">
        <v>1149</v>
      </c>
      <c r="C13445" s="121">
        <v>27</v>
      </c>
      <c r="D13445" s="734">
        <v>139.59176699669391</v>
      </c>
      <c r="E13445" s="733"/>
    </row>
    <row r="13446" spans="2:5">
      <c r="B13446" s="121">
        <v>1149</v>
      </c>
      <c r="C13446" s="121">
        <v>28</v>
      </c>
      <c r="D13446" s="734">
        <v>136.77178462709102</v>
      </c>
      <c r="E13446" s="733"/>
    </row>
    <row r="13447" spans="2:5">
      <c r="B13447" s="121">
        <v>1149</v>
      </c>
      <c r="C13447" s="121">
        <v>29</v>
      </c>
      <c r="D13447" s="734">
        <v>139.73485721529096</v>
      </c>
      <c r="E13447" s="733"/>
    </row>
    <row r="13448" spans="2:5">
      <c r="B13448" s="121">
        <v>1149</v>
      </c>
      <c r="C13448" s="121">
        <v>30</v>
      </c>
      <c r="D13448" s="734">
        <v>144.8360173901107</v>
      </c>
      <c r="E13448" s="733"/>
    </row>
    <row r="13449" spans="2:5">
      <c r="B13449" s="121">
        <v>1149</v>
      </c>
      <c r="C13449" s="121">
        <v>31</v>
      </c>
      <c r="D13449" s="734">
        <v>138.07222582544742</v>
      </c>
      <c r="E13449" s="733"/>
    </row>
    <row r="13450" spans="2:5">
      <c r="B13450" s="121">
        <v>1149</v>
      </c>
      <c r="C13450" s="121">
        <v>32</v>
      </c>
      <c r="D13450" s="734">
        <v>145.76683143670627</v>
      </c>
      <c r="E13450" s="733"/>
    </row>
    <row r="13451" spans="2:5">
      <c r="B13451" s="121">
        <v>1149</v>
      </c>
      <c r="C13451" s="121">
        <v>33</v>
      </c>
      <c r="D13451" s="734">
        <v>139.63685743085446</v>
      </c>
      <c r="E13451" s="733"/>
    </row>
    <row r="13452" spans="2:5">
      <c r="B13452" s="121">
        <v>1149</v>
      </c>
      <c r="C13452" s="121">
        <v>34</v>
      </c>
      <c r="D13452" s="734">
        <v>138.72288797443622</v>
      </c>
      <c r="E13452" s="733"/>
    </row>
    <row r="13453" spans="2:5">
      <c r="B13453" s="121">
        <v>1149</v>
      </c>
      <c r="C13453" s="121">
        <v>35</v>
      </c>
      <c r="D13453" s="734">
        <v>135.97481568607407</v>
      </c>
      <c r="E13453" s="733"/>
    </row>
    <row r="13454" spans="2:5">
      <c r="B13454" s="121">
        <v>1149</v>
      </c>
      <c r="C13454" s="121">
        <v>36</v>
      </c>
      <c r="D13454" s="734">
        <v>142.76044128542071</v>
      </c>
      <c r="E13454" s="733"/>
    </row>
    <row r="13455" spans="2:5">
      <c r="B13455" s="121">
        <v>1150</v>
      </c>
      <c r="C13455" s="121">
        <v>1</v>
      </c>
      <c r="D13455" s="734">
        <v>5</v>
      </c>
      <c r="E13455" s="733"/>
    </row>
    <row r="13456" spans="2:5">
      <c r="B13456" s="121">
        <v>1150</v>
      </c>
      <c r="C13456" s="121">
        <v>2</v>
      </c>
      <c r="D13456" s="734">
        <v>102.9541708240892</v>
      </c>
      <c r="E13456" s="733"/>
    </row>
    <row r="13457" spans="2:5">
      <c r="B13457" s="121">
        <v>1150</v>
      </c>
      <c r="C13457" s="121">
        <v>3</v>
      </c>
      <c r="D13457" s="734">
        <v>121.99358463550425</v>
      </c>
      <c r="E13457" s="733"/>
    </row>
    <row r="13458" spans="2:5">
      <c r="B13458" s="121">
        <v>1150</v>
      </c>
      <c r="C13458" s="121">
        <v>4</v>
      </c>
      <c r="D13458" s="734">
        <v>136.76512497641133</v>
      </c>
      <c r="E13458" s="733"/>
    </row>
    <row r="13459" spans="2:5">
      <c r="B13459" s="121">
        <v>1150</v>
      </c>
      <c r="C13459" s="121">
        <v>5</v>
      </c>
      <c r="D13459" s="734">
        <v>138.23432985412865</v>
      </c>
      <c r="E13459" s="733"/>
    </row>
    <row r="13460" spans="2:5">
      <c r="B13460" s="121">
        <v>1150</v>
      </c>
      <c r="C13460" s="121">
        <v>6</v>
      </c>
      <c r="D13460" s="734">
        <v>145.75912609157456</v>
      </c>
      <c r="E13460" s="733"/>
    </row>
    <row r="13461" spans="2:5">
      <c r="B13461" s="121">
        <v>1150</v>
      </c>
      <c r="C13461" s="121">
        <v>7</v>
      </c>
      <c r="D13461" s="734">
        <v>145.26993955186825</v>
      </c>
      <c r="E13461" s="733"/>
    </row>
    <row r="13462" spans="2:5">
      <c r="B13462" s="121">
        <v>1150</v>
      </c>
      <c r="C13462" s="121">
        <v>8</v>
      </c>
      <c r="D13462" s="734">
        <v>145.47859793559002</v>
      </c>
      <c r="E13462" s="733"/>
    </row>
    <row r="13463" spans="2:5">
      <c r="B13463" s="121">
        <v>1150</v>
      </c>
      <c r="C13463" s="121">
        <v>9</v>
      </c>
      <c r="D13463" s="734">
        <v>146.71114262127244</v>
      </c>
      <c r="E13463" s="733"/>
    </row>
    <row r="13464" spans="2:5">
      <c r="B13464" s="121">
        <v>1150</v>
      </c>
      <c r="C13464" s="121">
        <v>10</v>
      </c>
      <c r="D13464" s="734">
        <v>144.01293374251193</v>
      </c>
      <c r="E13464" s="733"/>
    </row>
    <row r="13465" spans="2:5">
      <c r="B13465" s="121">
        <v>1150</v>
      </c>
      <c r="C13465" s="121">
        <v>11</v>
      </c>
      <c r="D13465" s="734">
        <v>136.64451805942718</v>
      </c>
      <c r="E13465" s="733"/>
    </row>
    <row r="13466" spans="2:5">
      <c r="B13466" s="121">
        <v>1151</v>
      </c>
      <c r="C13466" s="121">
        <v>1</v>
      </c>
      <c r="D13466" s="734">
        <v>5</v>
      </c>
      <c r="E13466" s="733"/>
    </row>
    <row r="13467" spans="2:5">
      <c r="B13467" s="121">
        <v>1151</v>
      </c>
      <c r="C13467" s="121">
        <v>2</v>
      </c>
      <c r="D13467" s="734">
        <v>101.50823374304431</v>
      </c>
      <c r="E13467" s="733"/>
    </row>
    <row r="13468" spans="2:5">
      <c r="B13468" s="121">
        <v>1151</v>
      </c>
      <c r="C13468" s="121">
        <v>3</v>
      </c>
      <c r="D13468" s="734">
        <v>116.47020614955741</v>
      </c>
      <c r="E13468" s="733"/>
    </row>
    <row r="13469" spans="2:5">
      <c r="B13469" s="121">
        <v>1151</v>
      </c>
      <c r="C13469" s="121">
        <v>4</v>
      </c>
      <c r="D13469" s="734">
        <v>135.69328129112529</v>
      </c>
      <c r="E13469" s="733"/>
    </row>
    <row r="13470" spans="2:5">
      <c r="B13470" s="121">
        <v>1151</v>
      </c>
      <c r="C13470" s="121">
        <v>5</v>
      </c>
      <c r="D13470" s="734">
        <v>139.894410129081</v>
      </c>
      <c r="E13470" s="733"/>
    </row>
    <row r="13471" spans="2:5">
      <c r="B13471" s="121">
        <v>1151</v>
      </c>
      <c r="C13471" s="121">
        <v>6</v>
      </c>
      <c r="D13471" s="734">
        <v>147.00251975910564</v>
      </c>
      <c r="E13471" s="733"/>
    </row>
    <row r="13472" spans="2:5">
      <c r="B13472" s="121">
        <v>1151</v>
      </c>
      <c r="C13472" s="121">
        <v>7</v>
      </c>
      <c r="D13472" s="734">
        <v>133.9256082792129</v>
      </c>
      <c r="E13472" s="733"/>
    </row>
    <row r="13473" spans="2:5">
      <c r="B13473" s="121">
        <v>1151</v>
      </c>
      <c r="C13473" s="121">
        <v>8</v>
      </c>
      <c r="D13473" s="734">
        <v>141.96700958604839</v>
      </c>
      <c r="E13473" s="733"/>
    </row>
    <row r="13474" spans="2:5">
      <c r="B13474" s="121">
        <v>1151</v>
      </c>
      <c r="C13474" s="121">
        <v>9</v>
      </c>
      <c r="D13474" s="734">
        <v>139.64676100738387</v>
      </c>
      <c r="E13474" s="733"/>
    </row>
    <row r="13475" spans="2:5">
      <c r="B13475" s="121">
        <v>1151</v>
      </c>
      <c r="C13475" s="121">
        <v>10</v>
      </c>
      <c r="D13475" s="734">
        <v>147.24410165373308</v>
      </c>
      <c r="E13475" s="733"/>
    </row>
    <row r="13476" spans="2:5">
      <c r="B13476" s="121">
        <v>1151</v>
      </c>
      <c r="C13476" s="121">
        <v>11</v>
      </c>
      <c r="D13476" s="734">
        <v>137.99425835350442</v>
      </c>
      <c r="E13476" s="733"/>
    </row>
    <row r="13477" spans="2:5">
      <c r="B13477" s="121">
        <v>1151</v>
      </c>
      <c r="C13477" s="121">
        <v>12</v>
      </c>
      <c r="D13477" s="734">
        <v>144.0948150484671</v>
      </c>
      <c r="E13477" s="733"/>
    </row>
    <row r="13478" spans="2:5">
      <c r="B13478" s="121">
        <v>1151</v>
      </c>
      <c r="C13478" s="121">
        <v>13</v>
      </c>
      <c r="D13478" s="734">
        <v>138.91457731814845</v>
      </c>
      <c r="E13478" s="733"/>
    </row>
    <row r="13479" spans="2:5">
      <c r="B13479" s="121">
        <v>1151</v>
      </c>
      <c r="C13479" s="121">
        <v>14</v>
      </c>
      <c r="D13479" s="734">
        <v>143.9938084094702</v>
      </c>
      <c r="E13479" s="733"/>
    </row>
    <row r="13480" spans="2:5">
      <c r="B13480" s="121">
        <v>1151</v>
      </c>
      <c r="C13480" s="121">
        <v>15</v>
      </c>
      <c r="D13480" s="734">
        <v>138.05987998911962</v>
      </c>
      <c r="E13480" s="733"/>
    </row>
    <row r="13481" spans="2:5">
      <c r="B13481" s="121">
        <v>1151</v>
      </c>
      <c r="C13481" s="121">
        <v>16</v>
      </c>
      <c r="D13481" s="734">
        <v>143.85002631312801</v>
      </c>
      <c r="E13481" s="733"/>
    </row>
    <row r="13482" spans="2:5">
      <c r="B13482" s="121">
        <v>1151</v>
      </c>
      <c r="C13482" s="121">
        <v>17</v>
      </c>
      <c r="D13482" s="734">
        <v>141.64731201337008</v>
      </c>
      <c r="E13482" s="733"/>
    </row>
    <row r="13483" spans="2:5">
      <c r="B13483" s="121">
        <v>1151</v>
      </c>
      <c r="C13483" s="121">
        <v>18</v>
      </c>
      <c r="D13483" s="734">
        <v>140.72144532768962</v>
      </c>
      <c r="E13483" s="733"/>
    </row>
    <row r="13484" spans="2:5">
      <c r="B13484" s="121">
        <v>1151</v>
      </c>
      <c r="C13484" s="121">
        <v>19</v>
      </c>
      <c r="D13484" s="734">
        <v>141.99468735593794</v>
      </c>
      <c r="E13484" s="733"/>
    </row>
    <row r="13485" spans="2:5">
      <c r="B13485" s="121">
        <v>1151</v>
      </c>
      <c r="C13485" s="121">
        <v>20</v>
      </c>
      <c r="D13485" s="734">
        <v>139.24273910498536</v>
      </c>
      <c r="E13485" s="733"/>
    </row>
    <row r="13486" spans="2:5">
      <c r="B13486" s="121">
        <v>1151</v>
      </c>
      <c r="C13486" s="121">
        <v>21</v>
      </c>
      <c r="D13486" s="734">
        <v>146.08965149288898</v>
      </c>
      <c r="E13486" s="733"/>
    </row>
    <row r="13487" spans="2:5">
      <c r="B13487" s="121">
        <v>1151</v>
      </c>
      <c r="C13487" s="121">
        <v>22</v>
      </c>
      <c r="D13487" s="734">
        <v>138.26119967612138</v>
      </c>
      <c r="E13487" s="733"/>
    </row>
    <row r="13488" spans="2:5">
      <c r="B13488" s="121">
        <v>1151</v>
      </c>
      <c r="C13488" s="121">
        <v>23</v>
      </c>
      <c r="D13488" s="734">
        <v>146.62782768631681</v>
      </c>
      <c r="E13488" s="733"/>
    </row>
    <row r="13489" spans="2:5">
      <c r="B13489" s="121">
        <v>1151</v>
      </c>
      <c r="C13489" s="121">
        <v>24</v>
      </c>
      <c r="D13489" s="734">
        <v>146.09314315520271</v>
      </c>
      <c r="E13489" s="733"/>
    </row>
    <row r="13490" spans="2:5">
      <c r="B13490" s="121">
        <v>1151</v>
      </c>
      <c r="C13490" s="121">
        <v>25</v>
      </c>
      <c r="D13490" s="734">
        <v>134.92393152182822</v>
      </c>
      <c r="E13490" s="733"/>
    </row>
    <row r="13491" spans="2:5">
      <c r="B13491" s="121">
        <v>1152</v>
      </c>
      <c r="C13491" s="121">
        <v>1</v>
      </c>
      <c r="D13491" s="734">
        <v>5</v>
      </c>
      <c r="E13491" s="733"/>
    </row>
    <row r="13492" spans="2:5">
      <c r="B13492" s="121">
        <v>1152</v>
      </c>
      <c r="C13492" s="121">
        <v>2</v>
      </c>
      <c r="D13492" s="734">
        <v>96.662518710814311</v>
      </c>
      <c r="E13492" s="733"/>
    </row>
    <row r="13493" spans="2:5">
      <c r="B13493" s="121">
        <v>1152</v>
      </c>
      <c r="C13493" s="121">
        <v>3</v>
      </c>
      <c r="D13493" s="734">
        <v>120.65808891444938</v>
      </c>
      <c r="E13493" s="733"/>
    </row>
    <row r="13494" spans="2:5">
      <c r="B13494" s="121">
        <v>1152</v>
      </c>
      <c r="C13494" s="121">
        <v>4</v>
      </c>
      <c r="D13494" s="734">
        <v>137.35712554661629</v>
      </c>
      <c r="E13494" s="733"/>
    </row>
    <row r="13495" spans="2:5">
      <c r="B13495" s="121">
        <v>1152</v>
      </c>
      <c r="C13495" s="121">
        <v>5</v>
      </c>
      <c r="D13495" s="734">
        <v>144.56686677102786</v>
      </c>
      <c r="E13495" s="733"/>
    </row>
    <row r="13496" spans="2:5">
      <c r="B13496" s="121">
        <v>1152</v>
      </c>
      <c r="C13496" s="121">
        <v>6</v>
      </c>
      <c r="D13496" s="734">
        <v>140.94783385373549</v>
      </c>
      <c r="E13496" s="733"/>
    </row>
    <row r="13497" spans="2:5">
      <c r="B13497" s="121">
        <v>1152</v>
      </c>
      <c r="C13497" s="121">
        <v>7</v>
      </c>
      <c r="D13497" s="734">
        <v>139.68272702650813</v>
      </c>
      <c r="E13497" s="733"/>
    </row>
    <row r="13498" spans="2:5">
      <c r="B13498" s="121">
        <v>1152</v>
      </c>
      <c r="C13498" s="121">
        <v>8</v>
      </c>
      <c r="D13498" s="734">
        <v>136.58752918920277</v>
      </c>
      <c r="E13498" s="733"/>
    </row>
    <row r="13499" spans="2:5">
      <c r="B13499" s="121">
        <v>1152</v>
      </c>
      <c r="C13499" s="121">
        <v>9</v>
      </c>
      <c r="D13499" s="734">
        <v>135.36918477425553</v>
      </c>
      <c r="E13499" s="733"/>
    </row>
    <row r="13500" spans="2:5">
      <c r="B13500" s="121">
        <v>1152</v>
      </c>
      <c r="C13500" s="121">
        <v>10</v>
      </c>
      <c r="D13500" s="734">
        <v>142.73144169856494</v>
      </c>
      <c r="E13500" s="733"/>
    </row>
    <row r="13501" spans="2:5">
      <c r="B13501" s="121">
        <v>1152</v>
      </c>
      <c r="C13501" s="121">
        <v>11</v>
      </c>
      <c r="D13501" s="734">
        <v>134.66402460715676</v>
      </c>
      <c r="E13501" s="733"/>
    </row>
    <row r="13502" spans="2:5">
      <c r="B13502" s="121">
        <v>1152</v>
      </c>
      <c r="C13502" s="121">
        <v>12</v>
      </c>
      <c r="D13502" s="734">
        <v>144.05867018775061</v>
      </c>
      <c r="E13502" s="733"/>
    </row>
    <row r="13503" spans="2:5">
      <c r="B13503" s="121">
        <v>1152</v>
      </c>
      <c r="C13503" s="121">
        <v>13</v>
      </c>
      <c r="D13503" s="734">
        <v>141.48336614113339</v>
      </c>
      <c r="E13503" s="733"/>
    </row>
    <row r="13504" spans="2:5">
      <c r="B13504" s="121">
        <v>1152</v>
      </c>
      <c r="C13504" s="121">
        <v>14</v>
      </c>
      <c r="D13504" s="734">
        <v>140.74966188249226</v>
      </c>
      <c r="E13504" s="733"/>
    </row>
    <row r="13505" spans="2:5">
      <c r="B13505" s="121">
        <v>1152</v>
      </c>
      <c r="C13505" s="121">
        <v>15</v>
      </c>
      <c r="D13505" s="734">
        <v>136.64894497728466</v>
      </c>
      <c r="E13505" s="733"/>
    </row>
    <row r="13506" spans="2:5">
      <c r="B13506" s="121">
        <v>1152</v>
      </c>
      <c r="C13506" s="121">
        <v>16</v>
      </c>
      <c r="D13506" s="734">
        <v>144.79187961149029</v>
      </c>
      <c r="E13506" s="733"/>
    </row>
    <row r="13507" spans="2:5">
      <c r="B13507" s="121">
        <v>1152</v>
      </c>
      <c r="C13507" s="121">
        <v>17</v>
      </c>
      <c r="D13507" s="734">
        <v>144.72170013137551</v>
      </c>
      <c r="E13507" s="733"/>
    </row>
    <row r="13508" spans="2:5">
      <c r="B13508" s="121">
        <v>1152</v>
      </c>
      <c r="C13508" s="121">
        <v>18</v>
      </c>
      <c r="D13508" s="734">
        <v>134.01997412752843</v>
      </c>
      <c r="E13508" s="733"/>
    </row>
    <row r="13509" spans="2:5">
      <c r="B13509" s="121">
        <v>1152</v>
      </c>
      <c r="C13509" s="121">
        <v>19</v>
      </c>
      <c r="D13509" s="734">
        <v>147.28020545646669</v>
      </c>
      <c r="E13509" s="733"/>
    </row>
    <row r="13510" spans="2:5">
      <c r="B13510" s="121">
        <v>1152</v>
      </c>
      <c r="C13510" s="121">
        <v>20</v>
      </c>
      <c r="D13510" s="734">
        <v>136.55418462947532</v>
      </c>
      <c r="E13510" s="733"/>
    </row>
    <row r="13511" spans="2:5">
      <c r="B13511" s="121">
        <v>1152</v>
      </c>
      <c r="C13511" s="121">
        <v>21</v>
      </c>
      <c r="D13511" s="734">
        <v>139.97882770613967</v>
      </c>
      <c r="E13511" s="733"/>
    </row>
    <row r="13512" spans="2:5">
      <c r="B13512" s="121">
        <v>1152</v>
      </c>
      <c r="C13512" s="121">
        <v>22</v>
      </c>
      <c r="D13512" s="734">
        <v>145.85451518791322</v>
      </c>
      <c r="E13512" s="733"/>
    </row>
    <row r="13513" spans="2:5">
      <c r="B13513" s="121">
        <v>1152</v>
      </c>
      <c r="C13513" s="121">
        <v>23</v>
      </c>
      <c r="D13513" s="734">
        <v>134.52350927274932</v>
      </c>
      <c r="E13513" s="733"/>
    </row>
    <row r="13514" spans="2:5">
      <c r="B13514" s="121">
        <v>1152</v>
      </c>
      <c r="C13514" s="121">
        <v>24</v>
      </c>
      <c r="D13514" s="734">
        <v>137.0355698166301</v>
      </c>
      <c r="E13514" s="733"/>
    </row>
    <row r="13515" spans="2:5">
      <c r="B13515" s="121">
        <v>1152</v>
      </c>
      <c r="C13515" s="121">
        <v>25</v>
      </c>
      <c r="D13515" s="734">
        <v>145.22713179537573</v>
      </c>
      <c r="E13515" s="733"/>
    </row>
    <row r="13516" spans="2:5">
      <c r="B13516" s="121">
        <v>1152</v>
      </c>
      <c r="C13516" s="121">
        <v>26</v>
      </c>
      <c r="D13516" s="734">
        <v>135.2724347665177</v>
      </c>
      <c r="E13516" s="733"/>
    </row>
    <row r="13517" spans="2:5">
      <c r="B13517" s="121">
        <v>1152</v>
      </c>
      <c r="C13517" s="121">
        <v>27</v>
      </c>
      <c r="D13517" s="734">
        <v>140.69420278136761</v>
      </c>
      <c r="E13517" s="733"/>
    </row>
    <row r="13518" spans="2:5">
      <c r="B13518" s="121">
        <v>1152</v>
      </c>
      <c r="C13518" s="121">
        <v>28</v>
      </c>
      <c r="D13518" s="734">
        <v>135.43611201775846</v>
      </c>
      <c r="E13518" s="733"/>
    </row>
    <row r="13519" spans="2:5">
      <c r="B13519" s="121">
        <v>1152</v>
      </c>
      <c r="C13519" s="121">
        <v>29</v>
      </c>
      <c r="D13519" s="734">
        <v>142.40555197559709</v>
      </c>
      <c r="E13519" s="733"/>
    </row>
    <row r="13520" spans="2:5">
      <c r="B13520" s="121">
        <v>1152</v>
      </c>
      <c r="C13520" s="121">
        <v>30</v>
      </c>
      <c r="D13520" s="734">
        <v>138.05243164501729</v>
      </c>
      <c r="E13520" s="733"/>
    </row>
    <row r="13521" spans="2:5">
      <c r="B13521" s="121">
        <v>1152</v>
      </c>
      <c r="C13521" s="121">
        <v>31</v>
      </c>
      <c r="D13521" s="734">
        <v>145.75292103925051</v>
      </c>
      <c r="E13521" s="733"/>
    </row>
    <row r="13522" spans="2:5">
      <c r="B13522" s="121">
        <v>1152</v>
      </c>
      <c r="C13522" s="121">
        <v>32</v>
      </c>
      <c r="D13522" s="734">
        <v>135.26275038684696</v>
      </c>
      <c r="E13522" s="733"/>
    </row>
    <row r="13523" spans="2:5">
      <c r="B13523" s="121">
        <v>1152</v>
      </c>
      <c r="C13523" s="121">
        <v>33</v>
      </c>
      <c r="D13523" s="734">
        <v>138.6242055705417</v>
      </c>
      <c r="E13523" s="733"/>
    </row>
    <row r="13524" spans="2:5">
      <c r="B13524" s="121">
        <v>1152</v>
      </c>
      <c r="C13524" s="121">
        <v>34</v>
      </c>
      <c r="D13524" s="734">
        <v>142.55408009500314</v>
      </c>
      <c r="E13524" s="733"/>
    </row>
    <row r="13525" spans="2:5">
      <c r="B13525" s="121">
        <v>1152</v>
      </c>
      <c r="C13525" s="121">
        <v>35</v>
      </c>
      <c r="D13525" s="734">
        <v>139.27342777371484</v>
      </c>
      <c r="E13525" s="733"/>
    </row>
    <row r="13526" spans="2:5">
      <c r="B13526" s="121">
        <v>1152</v>
      </c>
      <c r="C13526" s="121">
        <v>36</v>
      </c>
      <c r="D13526" s="734">
        <v>138.73816499247184</v>
      </c>
      <c r="E13526" s="733"/>
    </row>
    <row r="13527" spans="2:5">
      <c r="B13527" s="121">
        <v>1153</v>
      </c>
      <c r="C13527" s="121">
        <v>1</v>
      </c>
      <c r="D13527" s="734">
        <v>5</v>
      </c>
      <c r="E13527" s="733"/>
    </row>
    <row r="13528" spans="2:5">
      <c r="B13528" s="121">
        <v>1154</v>
      </c>
      <c r="C13528" s="121">
        <v>1</v>
      </c>
      <c r="D13528" s="734">
        <v>5</v>
      </c>
      <c r="E13528" s="733"/>
    </row>
    <row r="13529" spans="2:5">
      <c r="B13529" s="121">
        <v>1154</v>
      </c>
      <c r="C13529" s="121">
        <v>2</v>
      </c>
      <c r="D13529" s="734">
        <v>101.35628049474816</v>
      </c>
      <c r="E13529" s="733"/>
    </row>
    <row r="13530" spans="2:5">
      <c r="B13530" s="121">
        <v>1154</v>
      </c>
      <c r="C13530" s="121">
        <v>3</v>
      </c>
      <c r="D13530" s="734">
        <v>116.91300453166269</v>
      </c>
      <c r="E13530" s="733"/>
    </row>
    <row r="13531" spans="2:5">
      <c r="B13531" s="121">
        <v>1154</v>
      </c>
      <c r="C13531" s="121">
        <v>4</v>
      </c>
      <c r="D13531" s="734">
        <v>142.08366718589116</v>
      </c>
      <c r="E13531" s="733"/>
    </row>
    <row r="13532" spans="2:5">
      <c r="B13532" s="121">
        <v>1154</v>
      </c>
      <c r="C13532" s="121">
        <v>5</v>
      </c>
      <c r="D13532" s="734">
        <v>145.51356614445837</v>
      </c>
      <c r="E13532" s="733"/>
    </row>
    <row r="13533" spans="2:5">
      <c r="B13533" s="121">
        <v>1154</v>
      </c>
      <c r="C13533" s="121">
        <v>6</v>
      </c>
      <c r="D13533" s="734">
        <v>134.74598517243174</v>
      </c>
      <c r="E13533" s="733"/>
    </row>
    <row r="13534" spans="2:5">
      <c r="B13534" s="121">
        <v>1154</v>
      </c>
      <c r="C13534" s="121">
        <v>7</v>
      </c>
      <c r="D13534" s="734">
        <v>144.84478756367847</v>
      </c>
      <c r="E13534" s="733"/>
    </row>
    <row r="13535" spans="2:5">
      <c r="B13535" s="121">
        <v>1154</v>
      </c>
      <c r="C13535" s="121">
        <v>8</v>
      </c>
      <c r="D13535" s="734">
        <v>138.77463482886131</v>
      </c>
      <c r="E13535" s="733"/>
    </row>
    <row r="13536" spans="2:5">
      <c r="B13536" s="121">
        <v>1154</v>
      </c>
      <c r="C13536" s="121">
        <v>9</v>
      </c>
      <c r="D13536" s="734">
        <v>141.46482215853106</v>
      </c>
      <c r="E13536" s="733"/>
    </row>
    <row r="13537" spans="2:5">
      <c r="B13537" s="121">
        <v>1154</v>
      </c>
      <c r="C13537" s="121">
        <v>10</v>
      </c>
      <c r="D13537" s="734">
        <v>136.73983209058761</v>
      </c>
      <c r="E13537" s="733"/>
    </row>
    <row r="13538" spans="2:5">
      <c r="B13538" s="121">
        <v>1154</v>
      </c>
      <c r="C13538" s="121">
        <v>11</v>
      </c>
      <c r="D13538" s="734">
        <v>146.67703530045463</v>
      </c>
      <c r="E13538" s="733"/>
    </row>
    <row r="13539" spans="2:5">
      <c r="B13539" s="121">
        <v>1154</v>
      </c>
      <c r="C13539" s="121">
        <v>12</v>
      </c>
      <c r="D13539" s="734">
        <v>146.2289312127192</v>
      </c>
      <c r="E13539" s="733"/>
    </row>
    <row r="13540" spans="2:5">
      <c r="B13540" s="121">
        <v>1154</v>
      </c>
      <c r="C13540" s="121">
        <v>13</v>
      </c>
      <c r="D13540" s="734">
        <v>134.90923270138478</v>
      </c>
      <c r="E13540" s="733"/>
    </row>
    <row r="13541" spans="2:5">
      <c r="B13541" s="121">
        <v>1154</v>
      </c>
      <c r="C13541" s="121">
        <v>14</v>
      </c>
      <c r="D13541" s="734">
        <v>143.74361930954464</v>
      </c>
      <c r="E13541" s="733"/>
    </row>
    <row r="13542" spans="2:5">
      <c r="B13542" s="121">
        <v>1154</v>
      </c>
      <c r="C13542" s="121">
        <v>15</v>
      </c>
      <c r="D13542" s="734">
        <v>144.81008073041613</v>
      </c>
      <c r="E13542" s="733"/>
    </row>
    <row r="13543" spans="2:5">
      <c r="B13543" s="121">
        <v>1154</v>
      </c>
      <c r="C13543" s="121">
        <v>16</v>
      </c>
      <c r="D13543" s="734">
        <v>138.71291291024767</v>
      </c>
      <c r="E13543" s="733"/>
    </row>
    <row r="13544" spans="2:5">
      <c r="B13544" s="121">
        <v>1154</v>
      </c>
      <c r="C13544" s="121">
        <v>17</v>
      </c>
      <c r="D13544" s="734">
        <v>140.46637686124171</v>
      </c>
      <c r="E13544" s="733"/>
    </row>
    <row r="13545" spans="2:5">
      <c r="B13545" s="121">
        <v>1154</v>
      </c>
      <c r="C13545" s="121">
        <v>18</v>
      </c>
      <c r="D13545" s="734">
        <v>136.28307564143478</v>
      </c>
      <c r="E13545" s="733"/>
    </row>
    <row r="13546" spans="2:5">
      <c r="B13546" s="121">
        <v>1154</v>
      </c>
      <c r="C13546" s="121">
        <v>19</v>
      </c>
      <c r="D13546" s="734">
        <v>139.31031067717117</v>
      </c>
      <c r="E13546" s="733"/>
    </row>
    <row r="13547" spans="2:5">
      <c r="B13547" s="121">
        <v>1154</v>
      </c>
      <c r="C13547" s="121">
        <v>20</v>
      </c>
      <c r="D13547" s="734">
        <v>144.78409880552454</v>
      </c>
      <c r="E13547" s="733"/>
    </row>
    <row r="13548" spans="2:5">
      <c r="B13548" s="121">
        <v>1154</v>
      </c>
      <c r="C13548" s="121">
        <v>21</v>
      </c>
      <c r="D13548" s="734">
        <v>138.72297066148454</v>
      </c>
      <c r="E13548" s="733"/>
    </row>
    <row r="13549" spans="2:5">
      <c r="B13549" s="121">
        <v>1154</v>
      </c>
      <c r="C13549" s="121">
        <v>22</v>
      </c>
      <c r="D13549" s="734">
        <v>136.61722155544143</v>
      </c>
      <c r="E13549" s="733"/>
    </row>
    <row r="13550" spans="2:5">
      <c r="B13550" s="121">
        <v>1154</v>
      </c>
      <c r="C13550" s="121">
        <v>23</v>
      </c>
      <c r="D13550" s="734">
        <v>137.72684346178443</v>
      </c>
      <c r="E13550" s="733"/>
    </row>
    <row r="13551" spans="2:5">
      <c r="B13551" s="121">
        <v>1154</v>
      </c>
      <c r="C13551" s="121">
        <v>24</v>
      </c>
      <c r="D13551" s="734">
        <v>140.74871981593495</v>
      </c>
      <c r="E13551" s="733"/>
    </row>
    <row r="13552" spans="2:5">
      <c r="B13552" s="121">
        <v>1154</v>
      </c>
      <c r="C13552" s="121">
        <v>25</v>
      </c>
      <c r="D13552" s="734">
        <v>145.34547401821729</v>
      </c>
      <c r="E13552" s="733"/>
    </row>
    <row r="13553" spans="2:5">
      <c r="B13553" s="121">
        <v>1154</v>
      </c>
      <c r="C13553" s="121">
        <v>26</v>
      </c>
      <c r="D13553" s="734">
        <v>139.62414006717205</v>
      </c>
      <c r="E13553" s="733"/>
    </row>
    <row r="13554" spans="2:5">
      <c r="B13554" s="121">
        <v>1154</v>
      </c>
      <c r="C13554" s="121">
        <v>27</v>
      </c>
      <c r="D13554" s="734">
        <v>138.48016018250541</v>
      </c>
      <c r="E13554" s="733"/>
    </row>
    <row r="13555" spans="2:5">
      <c r="B13555" s="121">
        <v>1154</v>
      </c>
      <c r="C13555" s="121">
        <v>28</v>
      </c>
      <c r="D13555" s="734">
        <v>145.61249075766676</v>
      </c>
      <c r="E13555" s="733"/>
    </row>
    <row r="13556" spans="2:5">
      <c r="B13556" s="121">
        <v>1154</v>
      </c>
      <c r="C13556" s="121">
        <v>29</v>
      </c>
      <c r="D13556" s="734">
        <v>143.57510443776533</v>
      </c>
      <c r="E13556" s="733"/>
    </row>
    <row r="13557" spans="2:5">
      <c r="B13557" s="121">
        <v>1154</v>
      </c>
      <c r="C13557" s="121">
        <v>30</v>
      </c>
      <c r="D13557" s="734">
        <v>135.68730605999431</v>
      </c>
      <c r="E13557" s="733"/>
    </row>
    <row r="13558" spans="2:5">
      <c r="B13558" s="121">
        <v>1154</v>
      </c>
      <c r="C13558" s="121">
        <v>31</v>
      </c>
      <c r="D13558" s="734">
        <v>135.83727910240981</v>
      </c>
      <c r="E13558" s="733"/>
    </row>
    <row r="13559" spans="2:5">
      <c r="B13559" s="121">
        <v>1154</v>
      </c>
      <c r="C13559" s="121">
        <v>32</v>
      </c>
      <c r="D13559" s="734">
        <v>137.73211422732953</v>
      </c>
      <c r="E13559" s="733"/>
    </row>
    <row r="13560" spans="2:5">
      <c r="B13560" s="121">
        <v>1154</v>
      </c>
      <c r="C13560" s="121">
        <v>33</v>
      </c>
      <c r="D13560" s="734">
        <v>138.76777533331679</v>
      </c>
      <c r="E13560" s="733"/>
    </row>
    <row r="13561" spans="2:5">
      <c r="B13561" s="121">
        <v>1154</v>
      </c>
      <c r="C13561" s="121">
        <v>34</v>
      </c>
      <c r="D13561" s="734">
        <v>141.6843391750763</v>
      </c>
      <c r="E13561" s="733"/>
    </row>
    <row r="13562" spans="2:5">
      <c r="B13562" s="121">
        <v>1154</v>
      </c>
      <c r="C13562" s="121">
        <v>35</v>
      </c>
      <c r="D13562" s="734">
        <v>142.93838798218417</v>
      </c>
      <c r="E13562" s="733"/>
    </row>
    <row r="13563" spans="2:5">
      <c r="B13563" s="121">
        <v>1154</v>
      </c>
      <c r="C13563" s="121">
        <v>36</v>
      </c>
      <c r="D13563" s="734">
        <v>136.92581292888789</v>
      </c>
      <c r="E13563" s="733"/>
    </row>
    <row r="13564" spans="2:5">
      <c r="B13564" s="121">
        <v>1155</v>
      </c>
      <c r="C13564" s="121">
        <v>1</v>
      </c>
      <c r="D13564" s="734">
        <v>5</v>
      </c>
      <c r="E13564" s="733"/>
    </row>
    <row r="13565" spans="2:5">
      <c r="B13565" s="121">
        <v>1156</v>
      </c>
      <c r="C13565" s="121">
        <v>1</v>
      </c>
      <c r="D13565" s="734">
        <v>5</v>
      </c>
      <c r="E13565" s="733"/>
    </row>
    <row r="13566" spans="2:5">
      <c r="B13566" s="121">
        <v>1156</v>
      </c>
      <c r="C13566" s="121">
        <v>2</v>
      </c>
      <c r="D13566" s="734">
        <v>100.1303491710306</v>
      </c>
      <c r="E13566" s="733"/>
    </row>
    <row r="13567" spans="2:5">
      <c r="B13567" s="121">
        <v>1156</v>
      </c>
      <c r="C13567" s="121">
        <v>3</v>
      </c>
      <c r="D13567" s="734">
        <v>123.8763196944751</v>
      </c>
      <c r="E13567" s="733"/>
    </row>
    <row r="13568" spans="2:5">
      <c r="B13568" s="121">
        <v>1156</v>
      </c>
      <c r="C13568" s="121">
        <v>4</v>
      </c>
      <c r="D13568" s="734">
        <v>139.89700861073794</v>
      </c>
      <c r="E13568" s="733"/>
    </row>
    <row r="13569" spans="2:5">
      <c r="B13569" s="121">
        <v>1156</v>
      </c>
      <c r="C13569" s="121">
        <v>5</v>
      </c>
      <c r="D13569" s="734">
        <v>134.04319596919322</v>
      </c>
      <c r="E13569" s="733"/>
    </row>
    <row r="13570" spans="2:5">
      <c r="B13570" s="121">
        <v>1156</v>
      </c>
      <c r="C13570" s="121">
        <v>6</v>
      </c>
      <c r="D13570" s="734">
        <v>136.66973344986621</v>
      </c>
      <c r="E13570" s="733"/>
    </row>
    <row r="13571" spans="2:5">
      <c r="B13571" s="121">
        <v>1156</v>
      </c>
      <c r="C13571" s="121">
        <v>7</v>
      </c>
      <c r="D13571" s="734">
        <v>145.35881315823124</v>
      </c>
      <c r="E13571" s="733"/>
    </row>
    <row r="13572" spans="2:5">
      <c r="B13572" s="121">
        <v>1156</v>
      </c>
      <c r="C13572" s="121">
        <v>8</v>
      </c>
      <c r="D13572" s="734">
        <v>139.37797377247364</v>
      </c>
      <c r="E13572" s="733"/>
    </row>
    <row r="13573" spans="2:5">
      <c r="B13573" s="121">
        <v>1156</v>
      </c>
      <c r="C13573" s="121">
        <v>9</v>
      </c>
      <c r="D13573" s="734">
        <v>134.7912850033872</v>
      </c>
      <c r="E13573" s="733"/>
    </row>
    <row r="13574" spans="2:5">
      <c r="B13574" s="121">
        <v>1156</v>
      </c>
      <c r="C13574" s="121">
        <v>10</v>
      </c>
      <c r="D13574" s="734">
        <v>137.77941333348571</v>
      </c>
      <c r="E13574" s="733"/>
    </row>
    <row r="13575" spans="2:5">
      <c r="B13575" s="121">
        <v>1156</v>
      </c>
      <c r="C13575" s="121">
        <v>11</v>
      </c>
      <c r="D13575" s="734">
        <v>136.73319275466142</v>
      </c>
      <c r="E13575" s="733"/>
    </row>
    <row r="13576" spans="2:5">
      <c r="B13576" s="121">
        <v>1156</v>
      </c>
      <c r="C13576" s="121">
        <v>12</v>
      </c>
      <c r="D13576" s="734">
        <v>134.68627478530496</v>
      </c>
      <c r="E13576" s="733"/>
    </row>
    <row r="13577" spans="2:5">
      <c r="B13577" s="121">
        <v>1156</v>
      </c>
      <c r="C13577" s="121">
        <v>13</v>
      </c>
      <c r="D13577" s="734">
        <v>137.36604262972139</v>
      </c>
      <c r="E13577" s="733"/>
    </row>
    <row r="13578" spans="2:5">
      <c r="B13578" s="121">
        <v>1156</v>
      </c>
      <c r="C13578" s="121">
        <v>14</v>
      </c>
      <c r="D13578" s="734">
        <v>140.04544348626774</v>
      </c>
      <c r="E13578" s="733"/>
    </row>
    <row r="13579" spans="2:5">
      <c r="B13579" s="121">
        <v>1156</v>
      </c>
      <c r="C13579" s="121">
        <v>15</v>
      </c>
      <c r="D13579" s="734">
        <v>144.81180242498621</v>
      </c>
      <c r="E13579" s="733"/>
    </row>
    <row r="13580" spans="2:5">
      <c r="B13580" s="121">
        <v>1156</v>
      </c>
      <c r="C13580" s="121">
        <v>16</v>
      </c>
      <c r="D13580" s="734">
        <v>134.05518412710978</v>
      </c>
      <c r="E13580" s="733"/>
    </row>
    <row r="13581" spans="2:5">
      <c r="B13581" s="121">
        <v>1157</v>
      </c>
      <c r="C13581" s="121">
        <v>1</v>
      </c>
      <c r="D13581" s="734">
        <v>5</v>
      </c>
      <c r="E13581" s="733"/>
    </row>
    <row r="13582" spans="2:5">
      <c r="B13582" s="121">
        <v>1157</v>
      </c>
      <c r="C13582" s="121">
        <v>2</v>
      </c>
      <c r="D13582" s="734">
        <v>94.735624129805814</v>
      </c>
      <c r="E13582" s="733"/>
    </row>
    <row r="13583" spans="2:5">
      <c r="B13583" s="121">
        <v>1157</v>
      </c>
      <c r="C13583" s="121">
        <v>3</v>
      </c>
      <c r="D13583" s="734">
        <v>121.06771306899962</v>
      </c>
      <c r="E13583" s="733"/>
    </row>
    <row r="13584" spans="2:5">
      <c r="B13584" s="121">
        <v>1157</v>
      </c>
      <c r="C13584" s="121">
        <v>4</v>
      </c>
      <c r="D13584" s="734">
        <v>141.750418385877</v>
      </c>
      <c r="E13584" s="733"/>
    </row>
    <row r="13585" spans="2:5">
      <c r="B13585" s="121">
        <v>1157</v>
      </c>
      <c r="C13585" s="121">
        <v>5</v>
      </c>
      <c r="D13585" s="734">
        <v>141.90734150960475</v>
      </c>
      <c r="E13585" s="733"/>
    </row>
    <row r="13586" spans="2:5">
      <c r="B13586" s="121">
        <v>1157</v>
      </c>
      <c r="C13586" s="121">
        <v>6</v>
      </c>
      <c r="D13586" s="734">
        <v>137.96807656259278</v>
      </c>
      <c r="E13586" s="733"/>
    </row>
    <row r="13587" spans="2:5">
      <c r="B13587" s="121">
        <v>1157</v>
      </c>
      <c r="C13587" s="121">
        <v>7</v>
      </c>
      <c r="D13587" s="734">
        <v>145.94302173804488</v>
      </c>
      <c r="E13587" s="733"/>
    </row>
    <row r="13588" spans="2:5">
      <c r="B13588" s="121">
        <v>1157</v>
      </c>
      <c r="C13588" s="121">
        <v>8</v>
      </c>
      <c r="D13588" s="734">
        <v>139.50998026060046</v>
      </c>
      <c r="E13588" s="733"/>
    </row>
    <row r="13589" spans="2:5">
      <c r="B13589" s="121">
        <v>1157</v>
      </c>
      <c r="C13589" s="121">
        <v>9</v>
      </c>
      <c r="D13589" s="734">
        <v>143.38494475509415</v>
      </c>
      <c r="E13589" s="733"/>
    </row>
    <row r="13590" spans="2:5">
      <c r="B13590" s="121">
        <v>1158</v>
      </c>
      <c r="C13590" s="121">
        <v>1</v>
      </c>
      <c r="D13590" s="734">
        <v>5</v>
      </c>
      <c r="E13590" s="733"/>
    </row>
    <row r="13591" spans="2:5">
      <c r="B13591" s="121">
        <v>1158</v>
      </c>
      <c r="C13591" s="121">
        <v>2</v>
      </c>
      <c r="D13591" s="734">
        <v>95.99735613160702</v>
      </c>
      <c r="E13591" s="733"/>
    </row>
    <row r="13592" spans="2:5">
      <c r="B13592" s="121">
        <v>1158</v>
      </c>
      <c r="C13592" s="121">
        <v>3</v>
      </c>
      <c r="D13592" s="734">
        <v>121.24280866547234</v>
      </c>
      <c r="E13592" s="733"/>
    </row>
    <row r="13593" spans="2:5">
      <c r="B13593" s="121">
        <v>1158</v>
      </c>
      <c r="C13593" s="121">
        <v>4</v>
      </c>
      <c r="D13593" s="734">
        <v>137.19968083330323</v>
      </c>
      <c r="E13593" s="733"/>
    </row>
    <row r="13594" spans="2:5">
      <c r="B13594" s="121">
        <v>1158</v>
      </c>
      <c r="C13594" s="121">
        <v>5</v>
      </c>
      <c r="D13594" s="734">
        <v>144.98593974102235</v>
      </c>
      <c r="E13594" s="733"/>
    </row>
    <row r="13595" spans="2:5">
      <c r="B13595" s="121">
        <v>1158</v>
      </c>
      <c r="C13595" s="121">
        <v>6</v>
      </c>
      <c r="D13595" s="734">
        <v>137.33361409256392</v>
      </c>
      <c r="E13595" s="733"/>
    </row>
    <row r="13596" spans="2:5">
      <c r="B13596" s="121">
        <v>1159</v>
      </c>
      <c r="C13596" s="121">
        <v>1</v>
      </c>
      <c r="D13596" s="734">
        <v>5</v>
      </c>
      <c r="E13596" s="733"/>
    </row>
    <row r="13597" spans="2:5">
      <c r="B13597" s="121">
        <v>1159</v>
      </c>
      <c r="C13597" s="121">
        <v>2</v>
      </c>
      <c r="D13597" s="734">
        <v>97.035335599193957</v>
      </c>
      <c r="E13597" s="733"/>
    </row>
    <row r="13598" spans="2:5">
      <c r="B13598" s="121">
        <v>1159</v>
      </c>
      <c r="C13598" s="121">
        <v>3</v>
      </c>
      <c r="D13598" s="734">
        <v>118.32137364175775</v>
      </c>
      <c r="E13598" s="733"/>
    </row>
    <row r="13599" spans="2:5">
      <c r="B13599" s="121">
        <v>1159</v>
      </c>
      <c r="C13599" s="121">
        <v>4</v>
      </c>
      <c r="D13599" s="734">
        <v>142.88879022729878</v>
      </c>
      <c r="E13599" s="733"/>
    </row>
    <row r="13600" spans="2:5">
      <c r="B13600" s="121">
        <v>1159</v>
      </c>
      <c r="C13600" s="121">
        <v>5</v>
      </c>
      <c r="D13600" s="734">
        <v>143.09414525497687</v>
      </c>
      <c r="E13600" s="733"/>
    </row>
    <row r="13601" spans="2:5">
      <c r="B13601" s="121">
        <v>1159</v>
      </c>
      <c r="C13601" s="121">
        <v>6</v>
      </c>
      <c r="D13601" s="734">
        <v>143.08751140764795</v>
      </c>
      <c r="E13601" s="733"/>
    </row>
    <row r="13602" spans="2:5">
      <c r="B13602" s="121">
        <v>1159</v>
      </c>
      <c r="C13602" s="121">
        <v>7</v>
      </c>
      <c r="D13602" s="734">
        <v>146.68573984059913</v>
      </c>
      <c r="E13602" s="733"/>
    </row>
    <row r="13603" spans="2:5">
      <c r="B13603" s="121">
        <v>1159</v>
      </c>
      <c r="C13603" s="121">
        <v>8</v>
      </c>
      <c r="D13603" s="734">
        <v>137.76610299548761</v>
      </c>
      <c r="E13603" s="733"/>
    </row>
    <row r="13604" spans="2:5">
      <c r="B13604" s="121">
        <v>1159</v>
      </c>
      <c r="C13604" s="121">
        <v>9</v>
      </c>
      <c r="D13604" s="734">
        <v>135.57279842852279</v>
      </c>
      <c r="E13604" s="733"/>
    </row>
    <row r="13605" spans="2:5">
      <c r="B13605" s="121">
        <v>1159</v>
      </c>
      <c r="C13605" s="121">
        <v>10</v>
      </c>
      <c r="D13605" s="734">
        <v>139.45185360136841</v>
      </c>
      <c r="E13605" s="733"/>
    </row>
    <row r="13606" spans="2:5">
      <c r="B13606" s="121">
        <v>1159</v>
      </c>
      <c r="C13606" s="121">
        <v>11</v>
      </c>
      <c r="D13606" s="734">
        <v>142.51374961515847</v>
      </c>
      <c r="E13606" s="733"/>
    </row>
    <row r="13607" spans="2:5">
      <c r="B13607" s="121">
        <v>1159</v>
      </c>
      <c r="C13607" s="121">
        <v>12</v>
      </c>
      <c r="D13607" s="734">
        <v>133.99324454729577</v>
      </c>
      <c r="E13607" s="733"/>
    </row>
    <row r="13608" spans="2:5">
      <c r="B13608" s="121">
        <v>1159</v>
      </c>
      <c r="C13608" s="121">
        <v>13</v>
      </c>
      <c r="D13608" s="734">
        <v>134.66784902273182</v>
      </c>
      <c r="E13608" s="733"/>
    </row>
    <row r="13609" spans="2:5">
      <c r="B13609" s="121">
        <v>1159</v>
      </c>
      <c r="C13609" s="121">
        <v>14</v>
      </c>
      <c r="D13609" s="734">
        <v>145.24779712106238</v>
      </c>
      <c r="E13609" s="733"/>
    </row>
    <row r="13610" spans="2:5">
      <c r="B13610" s="121">
        <v>1159</v>
      </c>
      <c r="C13610" s="121">
        <v>15</v>
      </c>
      <c r="D13610" s="734">
        <v>147.23707681506119</v>
      </c>
      <c r="E13610" s="733"/>
    </row>
    <row r="13611" spans="2:5">
      <c r="B13611" s="121">
        <v>1159</v>
      </c>
      <c r="C13611" s="121">
        <v>16</v>
      </c>
      <c r="D13611" s="734">
        <v>141.71261526448799</v>
      </c>
      <c r="E13611" s="733"/>
    </row>
    <row r="13612" spans="2:5">
      <c r="B13612" s="121">
        <v>1159</v>
      </c>
      <c r="C13612" s="121">
        <v>17</v>
      </c>
      <c r="D13612" s="734">
        <v>142.04479904523259</v>
      </c>
      <c r="E13612" s="733"/>
    </row>
    <row r="13613" spans="2:5">
      <c r="B13613" s="121">
        <v>1159</v>
      </c>
      <c r="C13613" s="121">
        <v>18</v>
      </c>
      <c r="D13613" s="734">
        <v>139.700695016315</v>
      </c>
      <c r="E13613" s="733"/>
    </row>
    <row r="13614" spans="2:5">
      <c r="B13614" s="121">
        <v>1159</v>
      </c>
      <c r="C13614" s="121">
        <v>19</v>
      </c>
      <c r="D13614" s="734">
        <v>143.34079570763186</v>
      </c>
      <c r="E13614" s="733"/>
    </row>
    <row r="13615" spans="2:5">
      <c r="B13615" s="121">
        <v>1159</v>
      </c>
      <c r="C13615" s="121">
        <v>20</v>
      </c>
      <c r="D13615" s="734">
        <v>134.7234911590655</v>
      </c>
      <c r="E13615" s="733"/>
    </row>
    <row r="13616" spans="2:5">
      <c r="B13616" s="121">
        <v>1159</v>
      </c>
      <c r="C13616" s="121">
        <v>21</v>
      </c>
      <c r="D13616" s="734">
        <v>135.79495729933697</v>
      </c>
      <c r="E13616" s="733"/>
    </row>
    <row r="13617" spans="2:5">
      <c r="B13617" s="121">
        <v>1159</v>
      </c>
      <c r="C13617" s="121">
        <v>22</v>
      </c>
      <c r="D13617" s="734">
        <v>134.94338717891762</v>
      </c>
      <c r="E13617" s="733"/>
    </row>
    <row r="13618" spans="2:5">
      <c r="B13618" s="121">
        <v>1159</v>
      </c>
      <c r="C13618" s="121">
        <v>23</v>
      </c>
      <c r="D13618" s="734">
        <v>143.77283041225434</v>
      </c>
      <c r="E13618" s="733"/>
    </row>
    <row r="13619" spans="2:5">
      <c r="B13619" s="121">
        <v>1159</v>
      </c>
      <c r="C13619" s="121">
        <v>24</v>
      </c>
      <c r="D13619" s="734">
        <v>138.04272031306829</v>
      </c>
      <c r="E13619" s="733"/>
    </row>
    <row r="13620" spans="2:5">
      <c r="B13620" s="121">
        <v>1159</v>
      </c>
      <c r="C13620" s="121">
        <v>25</v>
      </c>
      <c r="D13620" s="734">
        <v>146.31106432333775</v>
      </c>
      <c r="E13620" s="733"/>
    </row>
    <row r="13621" spans="2:5">
      <c r="B13621" s="121">
        <v>1159</v>
      </c>
      <c r="C13621" s="121">
        <v>26</v>
      </c>
      <c r="D13621" s="734">
        <v>136.43888309384016</v>
      </c>
      <c r="E13621" s="733"/>
    </row>
    <row r="13622" spans="2:5">
      <c r="B13622" s="121">
        <v>1160</v>
      </c>
      <c r="C13622" s="121">
        <v>1</v>
      </c>
      <c r="D13622" s="734">
        <v>5</v>
      </c>
      <c r="E13622" s="733"/>
    </row>
    <row r="13623" spans="2:5">
      <c r="B13623" s="121">
        <v>1160</v>
      </c>
      <c r="C13623" s="121">
        <v>2</v>
      </c>
      <c r="D13623" s="734">
        <v>99.535242990054158</v>
      </c>
      <c r="E13623" s="733"/>
    </row>
    <row r="13624" spans="2:5">
      <c r="B13624" s="121">
        <v>1160</v>
      </c>
      <c r="C13624" s="121">
        <v>3</v>
      </c>
      <c r="D13624" s="734">
        <v>123.65707666547395</v>
      </c>
      <c r="E13624" s="733"/>
    </row>
    <row r="13625" spans="2:5">
      <c r="B13625" s="121">
        <v>1160</v>
      </c>
      <c r="C13625" s="121">
        <v>4</v>
      </c>
      <c r="D13625" s="734">
        <v>138.8781741791326</v>
      </c>
      <c r="E13625" s="733"/>
    </row>
    <row r="13626" spans="2:5">
      <c r="B13626" s="121">
        <v>1160</v>
      </c>
      <c r="C13626" s="121">
        <v>5</v>
      </c>
      <c r="D13626" s="734">
        <v>141.59693609676697</v>
      </c>
      <c r="E13626" s="733"/>
    </row>
    <row r="13627" spans="2:5">
      <c r="B13627" s="121">
        <v>1160</v>
      </c>
      <c r="C13627" s="121">
        <v>6</v>
      </c>
      <c r="D13627" s="734">
        <v>137.45852747564035</v>
      </c>
      <c r="E13627" s="733"/>
    </row>
    <row r="13628" spans="2:5">
      <c r="B13628" s="121">
        <v>1160</v>
      </c>
      <c r="C13628" s="121">
        <v>7</v>
      </c>
      <c r="D13628" s="734">
        <v>138.80899380579922</v>
      </c>
      <c r="E13628" s="733"/>
    </row>
    <row r="13629" spans="2:5">
      <c r="B13629" s="121">
        <v>1160</v>
      </c>
      <c r="C13629" s="121">
        <v>8</v>
      </c>
      <c r="D13629" s="734">
        <v>135.86668135747689</v>
      </c>
      <c r="E13629" s="733"/>
    </row>
    <row r="13630" spans="2:5">
      <c r="B13630" s="121">
        <v>1160</v>
      </c>
      <c r="C13630" s="121">
        <v>9</v>
      </c>
      <c r="D13630" s="734">
        <v>140.82883653238309</v>
      </c>
      <c r="E13630" s="733"/>
    </row>
    <row r="13631" spans="2:5">
      <c r="B13631" s="121">
        <v>1160</v>
      </c>
      <c r="C13631" s="121">
        <v>10</v>
      </c>
      <c r="D13631" s="734">
        <v>144.49119951786199</v>
      </c>
      <c r="E13631" s="733"/>
    </row>
    <row r="13632" spans="2:5">
      <c r="B13632" s="121">
        <v>1160</v>
      </c>
      <c r="C13632" s="121">
        <v>11</v>
      </c>
      <c r="D13632" s="734">
        <v>141.08782635204955</v>
      </c>
      <c r="E13632" s="733"/>
    </row>
    <row r="13633" spans="2:5">
      <c r="B13633" s="121">
        <v>1160</v>
      </c>
      <c r="C13633" s="121">
        <v>12</v>
      </c>
      <c r="D13633" s="734">
        <v>136.89932512953558</v>
      </c>
      <c r="E13633" s="733"/>
    </row>
    <row r="13634" spans="2:5">
      <c r="B13634" s="121">
        <v>1160</v>
      </c>
      <c r="C13634" s="121">
        <v>13</v>
      </c>
      <c r="D13634" s="734">
        <v>146.09302917730753</v>
      </c>
      <c r="E13634" s="733"/>
    </row>
    <row r="13635" spans="2:5">
      <c r="B13635" s="121">
        <v>1160</v>
      </c>
      <c r="C13635" s="121">
        <v>14</v>
      </c>
      <c r="D13635" s="734">
        <v>142.97122559373159</v>
      </c>
      <c r="E13635" s="733"/>
    </row>
    <row r="13636" spans="2:5">
      <c r="B13636" s="121">
        <v>1160</v>
      </c>
      <c r="C13636" s="121">
        <v>15</v>
      </c>
      <c r="D13636" s="734">
        <v>135.44443349837633</v>
      </c>
      <c r="E13636" s="733"/>
    </row>
    <row r="13637" spans="2:5">
      <c r="B13637" s="121">
        <v>1160</v>
      </c>
      <c r="C13637" s="121">
        <v>16</v>
      </c>
      <c r="D13637" s="734">
        <v>136.72748442495728</v>
      </c>
      <c r="E13637" s="733"/>
    </row>
    <row r="13638" spans="2:5">
      <c r="B13638" s="121">
        <v>1160</v>
      </c>
      <c r="C13638" s="121">
        <v>17</v>
      </c>
      <c r="D13638" s="734">
        <v>140.76139473571791</v>
      </c>
      <c r="E13638" s="733"/>
    </row>
    <row r="13639" spans="2:5">
      <c r="B13639" s="121">
        <v>1160</v>
      </c>
      <c r="C13639" s="121">
        <v>18</v>
      </c>
      <c r="D13639" s="734">
        <v>135.45266463244124</v>
      </c>
      <c r="E13639" s="733"/>
    </row>
    <row r="13640" spans="2:5">
      <c r="B13640" s="121">
        <v>1160</v>
      </c>
      <c r="C13640" s="121">
        <v>19</v>
      </c>
      <c r="D13640" s="734">
        <v>146.50000080893787</v>
      </c>
      <c r="E13640" s="733"/>
    </row>
    <row r="13641" spans="2:5">
      <c r="B13641" s="121">
        <v>1160</v>
      </c>
      <c r="C13641" s="121">
        <v>20</v>
      </c>
      <c r="D13641" s="734">
        <v>145.09621489469902</v>
      </c>
      <c r="E13641" s="733"/>
    </row>
    <row r="13642" spans="2:5">
      <c r="B13642" s="121">
        <v>1160</v>
      </c>
      <c r="C13642" s="121">
        <v>21</v>
      </c>
      <c r="D13642" s="734">
        <v>146.60513781558961</v>
      </c>
      <c r="E13642" s="733"/>
    </row>
    <row r="13643" spans="2:5">
      <c r="B13643" s="121">
        <v>1160</v>
      </c>
      <c r="C13643" s="121">
        <v>22</v>
      </c>
      <c r="D13643" s="734">
        <v>138.38593732087264</v>
      </c>
      <c r="E13643" s="733"/>
    </row>
    <row r="13644" spans="2:5">
      <c r="B13644" s="121">
        <v>1160</v>
      </c>
      <c r="C13644" s="121">
        <v>23</v>
      </c>
      <c r="D13644" s="734">
        <v>144.30203726753851</v>
      </c>
      <c r="E13644" s="733"/>
    </row>
    <row r="13645" spans="2:5">
      <c r="B13645" s="121">
        <v>1160</v>
      </c>
      <c r="C13645" s="121">
        <v>24</v>
      </c>
      <c r="D13645" s="734">
        <v>142.70142497572931</v>
      </c>
      <c r="E13645" s="733"/>
    </row>
    <row r="13646" spans="2:5">
      <c r="B13646" s="121">
        <v>1160</v>
      </c>
      <c r="C13646" s="121">
        <v>25</v>
      </c>
      <c r="D13646" s="734">
        <v>140.65224712423085</v>
      </c>
      <c r="E13646" s="733"/>
    </row>
    <row r="13647" spans="2:5">
      <c r="B13647" s="121">
        <v>1160</v>
      </c>
      <c r="C13647" s="121">
        <v>26</v>
      </c>
      <c r="D13647" s="734">
        <v>135.72847987501058</v>
      </c>
      <c r="E13647" s="733"/>
    </row>
    <row r="13648" spans="2:5">
      <c r="B13648" s="121">
        <v>1160</v>
      </c>
      <c r="C13648" s="121">
        <v>27</v>
      </c>
      <c r="D13648" s="734">
        <v>145.79432899539316</v>
      </c>
      <c r="E13648" s="733"/>
    </row>
    <row r="13649" spans="2:5">
      <c r="B13649" s="121">
        <v>1160</v>
      </c>
      <c r="C13649" s="121">
        <v>28</v>
      </c>
      <c r="D13649" s="734">
        <v>142.78971131271203</v>
      </c>
      <c r="E13649" s="733"/>
    </row>
    <row r="13650" spans="2:5">
      <c r="B13650" s="121">
        <v>1160</v>
      </c>
      <c r="C13650" s="121">
        <v>29</v>
      </c>
      <c r="D13650" s="734">
        <v>142.99484285470197</v>
      </c>
      <c r="E13650" s="733"/>
    </row>
    <row r="13651" spans="2:5">
      <c r="B13651" s="121">
        <v>1160</v>
      </c>
      <c r="C13651" s="121">
        <v>30</v>
      </c>
      <c r="D13651" s="734">
        <v>136.55966546266669</v>
      </c>
      <c r="E13651" s="733"/>
    </row>
    <row r="13652" spans="2:5">
      <c r="B13652" s="121">
        <v>1160</v>
      </c>
      <c r="C13652" s="121">
        <v>31</v>
      </c>
      <c r="D13652" s="734">
        <v>146.39446447750717</v>
      </c>
      <c r="E13652" s="733"/>
    </row>
    <row r="13653" spans="2:5">
      <c r="B13653" s="121">
        <v>1160</v>
      </c>
      <c r="C13653" s="121">
        <v>32</v>
      </c>
      <c r="D13653" s="734">
        <v>142.52409285459271</v>
      </c>
      <c r="E13653" s="733"/>
    </row>
    <row r="13654" spans="2:5">
      <c r="B13654" s="121">
        <v>1160</v>
      </c>
      <c r="C13654" s="121">
        <v>33</v>
      </c>
      <c r="D13654" s="734">
        <v>134.44788994148087</v>
      </c>
      <c r="E13654" s="733"/>
    </row>
    <row r="13655" spans="2:5">
      <c r="B13655" s="121">
        <v>1160</v>
      </c>
      <c r="C13655" s="121">
        <v>34</v>
      </c>
      <c r="D13655" s="734">
        <v>146.50314524201698</v>
      </c>
      <c r="E13655" s="733"/>
    </row>
    <row r="13656" spans="2:5">
      <c r="B13656" s="121">
        <v>1160</v>
      </c>
      <c r="C13656" s="121">
        <v>35</v>
      </c>
      <c r="D13656" s="734">
        <v>145.48290674844893</v>
      </c>
      <c r="E13656" s="733"/>
    </row>
    <row r="13657" spans="2:5">
      <c r="B13657" s="121">
        <v>1161</v>
      </c>
      <c r="C13657" s="121">
        <v>1</v>
      </c>
      <c r="D13657" s="734">
        <v>5</v>
      </c>
      <c r="E13657" s="733"/>
    </row>
    <row r="13658" spans="2:5">
      <c r="B13658" s="121">
        <v>1162</v>
      </c>
      <c r="C13658" s="121">
        <v>1</v>
      </c>
      <c r="D13658" s="734">
        <v>5</v>
      </c>
      <c r="E13658" s="733"/>
    </row>
    <row r="13659" spans="2:5">
      <c r="B13659" s="121">
        <v>1162</v>
      </c>
      <c r="C13659" s="121">
        <v>2</v>
      </c>
      <c r="D13659" s="734">
        <v>96.876363869096949</v>
      </c>
      <c r="E13659" s="733"/>
    </row>
    <row r="13660" spans="2:5">
      <c r="B13660" s="121">
        <v>1163</v>
      </c>
      <c r="C13660" s="121">
        <v>1</v>
      </c>
      <c r="D13660" s="734">
        <v>5</v>
      </c>
      <c r="E13660" s="733"/>
    </row>
    <row r="13661" spans="2:5">
      <c r="B13661" s="121">
        <v>1164</v>
      </c>
      <c r="C13661" s="121">
        <v>1</v>
      </c>
      <c r="D13661" s="734">
        <v>5</v>
      </c>
      <c r="E13661" s="733"/>
    </row>
    <row r="13662" spans="2:5">
      <c r="B13662" s="121">
        <v>1164</v>
      </c>
      <c r="C13662" s="121">
        <v>2</v>
      </c>
      <c r="D13662" s="734">
        <v>102.58817570066424</v>
      </c>
      <c r="E13662" s="733"/>
    </row>
    <row r="13663" spans="2:5">
      <c r="B13663" s="121">
        <v>1164</v>
      </c>
      <c r="C13663" s="121">
        <v>3</v>
      </c>
      <c r="D13663" s="734">
        <v>120.06166225803157</v>
      </c>
      <c r="E13663" s="733"/>
    </row>
    <row r="13664" spans="2:5">
      <c r="B13664" s="121">
        <v>1164</v>
      </c>
      <c r="C13664" s="121">
        <v>4</v>
      </c>
      <c r="D13664" s="734">
        <v>146.7024858144467</v>
      </c>
      <c r="E13664" s="733"/>
    </row>
    <row r="13665" spans="2:5">
      <c r="B13665" s="121">
        <v>1164</v>
      </c>
      <c r="C13665" s="121">
        <v>5</v>
      </c>
      <c r="D13665" s="734">
        <v>144.80686295074696</v>
      </c>
      <c r="E13665" s="733"/>
    </row>
    <row r="13666" spans="2:5">
      <c r="B13666" s="121">
        <v>1164</v>
      </c>
      <c r="C13666" s="121">
        <v>6</v>
      </c>
      <c r="D13666" s="734">
        <v>135.18394911890965</v>
      </c>
      <c r="E13666" s="733"/>
    </row>
    <row r="13667" spans="2:5">
      <c r="B13667" s="121">
        <v>1164</v>
      </c>
      <c r="C13667" s="121">
        <v>7</v>
      </c>
      <c r="D13667" s="734">
        <v>142.3788004412562</v>
      </c>
      <c r="E13667" s="733"/>
    </row>
    <row r="13668" spans="2:5">
      <c r="B13668" s="121">
        <v>1164</v>
      </c>
      <c r="C13668" s="121">
        <v>8</v>
      </c>
      <c r="D13668" s="734">
        <v>136.82708845367745</v>
      </c>
      <c r="E13668" s="733"/>
    </row>
    <row r="13669" spans="2:5">
      <c r="B13669" s="121">
        <v>1164</v>
      </c>
      <c r="C13669" s="121">
        <v>9</v>
      </c>
      <c r="D13669" s="734">
        <v>144.5036373194134</v>
      </c>
      <c r="E13669" s="733"/>
    </row>
    <row r="13670" spans="2:5">
      <c r="B13670" s="121">
        <v>1164</v>
      </c>
      <c r="C13670" s="121">
        <v>10</v>
      </c>
      <c r="D13670" s="734">
        <v>137.47006120158366</v>
      </c>
      <c r="E13670" s="733"/>
    </row>
    <row r="13671" spans="2:5">
      <c r="B13671" s="121">
        <v>1164</v>
      </c>
      <c r="C13671" s="121">
        <v>11</v>
      </c>
      <c r="D13671" s="734">
        <v>142.81251345742083</v>
      </c>
      <c r="E13671" s="733"/>
    </row>
    <row r="13672" spans="2:5">
      <c r="B13672" s="121">
        <v>1164</v>
      </c>
      <c r="C13672" s="121">
        <v>12</v>
      </c>
      <c r="D13672" s="734">
        <v>134.36234903612646</v>
      </c>
      <c r="E13672" s="733"/>
    </row>
    <row r="13673" spans="2:5">
      <c r="B13673" s="121">
        <v>1164</v>
      </c>
      <c r="C13673" s="121">
        <v>13</v>
      </c>
      <c r="D13673" s="734">
        <v>145.22365086861811</v>
      </c>
      <c r="E13673" s="733"/>
    </row>
    <row r="13674" spans="2:5">
      <c r="B13674" s="121">
        <v>1164</v>
      </c>
      <c r="C13674" s="121">
        <v>14</v>
      </c>
      <c r="D13674" s="734">
        <v>145.6482726295103</v>
      </c>
      <c r="E13674" s="733"/>
    </row>
    <row r="13675" spans="2:5">
      <c r="B13675" s="121">
        <v>1164</v>
      </c>
      <c r="C13675" s="121">
        <v>15</v>
      </c>
      <c r="D13675" s="734">
        <v>140.18687782075315</v>
      </c>
      <c r="E13675" s="733"/>
    </row>
    <row r="13676" spans="2:5">
      <c r="B13676" s="121">
        <v>1164</v>
      </c>
      <c r="C13676" s="121">
        <v>16</v>
      </c>
      <c r="D13676" s="734">
        <v>136.79162810615489</v>
      </c>
      <c r="E13676" s="733"/>
    </row>
    <row r="13677" spans="2:5">
      <c r="B13677" s="121">
        <v>1165</v>
      </c>
      <c r="C13677" s="121">
        <v>1</v>
      </c>
      <c r="D13677" s="734">
        <v>5</v>
      </c>
      <c r="E13677" s="733"/>
    </row>
    <row r="13678" spans="2:5">
      <c r="B13678" s="121">
        <v>1165</v>
      </c>
      <c r="C13678" s="121">
        <v>2</v>
      </c>
      <c r="D13678" s="734">
        <v>102.24708593502925</v>
      </c>
      <c r="E13678" s="733"/>
    </row>
    <row r="13679" spans="2:5">
      <c r="B13679" s="121">
        <v>1165</v>
      </c>
      <c r="C13679" s="121">
        <v>3</v>
      </c>
      <c r="D13679" s="734">
        <v>115.22375828410428</v>
      </c>
      <c r="E13679" s="733"/>
    </row>
    <row r="13680" spans="2:5">
      <c r="B13680" s="121">
        <v>1165</v>
      </c>
      <c r="C13680" s="121">
        <v>4</v>
      </c>
      <c r="D13680" s="734">
        <v>144.73709939057218</v>
      </c>
      <c r="E13680" s="733"/>
    </row>
    <row r="13681" spans="2:5">
      <c r="B13681" s="121">
        <v>1165</v>
      </c>
      <c r="C13681" s="121">
        <v>5</v>
      </c>
      <c r="D13681" s="734">
        <v>145.98535904530428</v>
      </c>
      <c r="E13681" s="733"/>
    </row>
    <row r="13682" spans="2:5">
      <c r="B13682" s="121">
        <v>1165</v>
      </c>
      <c r="C13682" s="121">
        <v>6</v>
      </c>
      <c r="D13682" s="734">
        <v>142.85580192281725</v>
      </c>
      <c r="E13682" s="733"/>
    </row>
    <row r="13683" spans="2:5">
      <c r="B13683" s="121">
        <v>1165</v>
      </c>
      <c r="C13683" s="121">
        <v>7</v>
      </c>
      <c r="D13683" s="734">
        <v>142.67469891143622</v>
      </c>
      <c r="E13683" s="733"/>
    </row>
    <row r="13684" spans="2:5">
      <c r="B13684" s="121">
        <v>1165</v>
      </c>
      <c r="C13684" s="121">
        <v>8</v>
      </c>
      <c r="D13684" s="734">
        <v>135.0066839604666</v>
      </c>
      <c r="E13684" s="733"/>
    </row>
    <row r="13685" spans="2:5">
      <c r="B13685" s="121">
        <v>1165</v>
      </c>
      <c r="C13685" s="121">
        <v>9</v>
      </c>
      <c r="D13685" s="734">
        <v>141.40245326368506</v>
      </c>
      <c r="E13685" s="733"/>
    </row>
    <row r="13686" spans="2:5">
      <c r="B13686" s="121">
        <v>1165</v>
      </c>
      <c r="C13686" s="121">
        <v>10</v>
      </c>
      <c r="D13686" s="734">
        <v>140.76181208872165</v>
      </c>
      <c r="E13686" s="733"/>
    </row>
    <row r="13687" spans="2:5">
      <c r="B13687" s="121">
        <v>1165</v>
      </c>
      <c r="C13687" s="121">
        <v>11</v>
      </c>
      <c r="D13687" s="734">
        <v>146.10420447560418</v>
      </c>
      <c r="E13687" s="733"/>
    </row>
    <row r="13688" spans="2:5">
      <c r="B13688" s="121">
        <v>1165</v>
      </c>
      <c r="C13688" s="121">
        <v>12</v>
      </c>
      <c r="D13688" s="734">
        <v>145.91752349643653</v>
      </c>
      <c r="E13688" s="733"/>
    </row>
    <row r="13689" spans="2:5">
      <c r="B13689" s="121">
        <v>1165</v>
      </c>
      <c r="C13689" s="121">
        <v>13</v>
      </c>
      <c r="D13689" s="734">
        <v>141.35309594946509</v>
      </c>
      <c r="E13689" s="733"/>
    </row>
    <row r="13690" spans="2:5">
      <c r="B13690" s="121">
        <v>1165</v>
      </c>
      <c r="C13690" s="121">
        <v>14</v>
      </c>
      <c r="D13690" s="734">
        <v>146.94979286760756</v>
      </c>
      <c r="E13690" s="733"/>
    </row>
    <row r="13691" spans="2:5">
      <c r="B13691" s="121">
        <v>1165</v>
      </c>
      <c r="C13691" s="121">
        <v>15</v>
      </c>
      <c r="D13691" s="734">
        <v>133.93933468208326</v>
      </c>
      <c r="E13691" s="733"/>
    </row>
    <row r="13692" spans="2:5">
      <c r="B13692" s="121">
        <v>1165</v>
      </c>
      <c r="C13692" s="121">
        <v>16</v>
      </c>
      <c r="D13692" s="734">
        <v>133.96364351787958</v>
      </c>
      <c r="E13692" s="733"/>
    </row>
    <row r="13693" spans="2:5">
      <c r="B13693" s="121">
        <v>1165</v>
      </c>
      <c r="C13693" s="121">
        <v>17</v>
      </c>
      <c r="D13693" s="734">
        <v>140.96666679276942</v>
      </c>
      <c r="E13693" s="733"/>
    </row>
    <row r="13694" spans="2:5">
      <c r="B13694" s="121">
        <v>1165</v>
      </c>
      <c r="C13694" s="121">
        <v>18</v>
      </c>
      <c r="D13694" s="734">
        <v>135.44088280439416</v>
      </c>
      <c r="E13694" s="733"/>
    </row>
    <row r="13695" spans="2:5">
      <c r="B13695" s="121">
        <v>1165</v>
      </c>
      <c r="C13695" s="121">
        <v>19</v>
      </c>
      <c r="D13695" s="734">
        <v>138.28903717891967</v>
      </c>
      <c r="E13695" s="733"/>
    </row>
    <row r="13696" spans="2:5">
      <c r="B13696" s="121">
        <v>1165</v>
      </c>
      <c r="C13696" s="121">
        <v>20</v>
      </c>
      <c r="D13696" s="734">
        <v>135.00471583172026</v>
      </c>
      <c r="E13696" s="733"/>
    </row>
    <row r="13697" spans="2:5">
      <c r="B13697" s="121">
        <v>1165</v>
      </c>
      <c r="C13697" s="121">
        <v>21</v>
      </c>
      <c r="D13697" s="734">
        <v>144.00094960015082</v>
      </c>
      <c r="E13697" s="733"/>
    </row>
    <row r="13698" spans="2:5">
      <c r="B13698" s="121">
        <v>1165</v>
      </c>
      <c r="C13698" s="121">
        <v>22</v>
      </c>
      <c r="D13698" s="734">
        <v>138.64185555060055</v>
      </c>
      <c r="E13698" s="733"/>
    </row>
    <row r="13699" spans="2:5">
      <c r="B13699" s="121">
        <v>1165</v>
      </c>
      <c r="C13699" s="121">
        <v>23</v>
      </c>
      <c r="D13699" s="734">
        <v>141.4364791525324</v>
      </c>
      <c r="E13699" s="733"/>
    </row>
    <row r="13700" spans="2:5">
      <c r="B13700" s="121">
        <v>1165</v>
      </c>
      <c r="C13700" s="121">
        <v>24</v>
      </c>
      <c r="D13700" s="734">
        <v>141.7018904805787</v>
      </c>
      <c r="E13700" s="733"/>
    </row>
    <row r="13701" spans="2:5">
      <c r="B13701" s="121">
        <v>1165</v>
      </c>
      <c r="C13701" s="121">
        <v>25</v>
      </c>
      <c r="D13701" s="734">
        <v>140.72307087237436</v>
      </c>
      <c r="E13701" s="733"/>
    </row>
    <row r="13702" spans="2:5">
      <c r="B13702" s="121">
        <v>1165</v>
      </c>
      <c r="C13702" s="121">
        <v>26</v>
      </c>
      <c r="D13702" s="734">
        <v>140.87110681648608</v>
      </c>
      <c r="E13702" s="733"/>
    </row>
    <row r="13703" spans="2:5">
      <c r="B13703" s="121">
        <v>1165</v>
      </c>
      <c r="C13703" s="121">
        <v>27</v>
      </c>
      <c r="D13703" s="734">
        <v>134.3616543052587</v>
      </c>
      <c r="E13703" s="733"/>
    </row>
    <row r="13704" spans="2:5">
      <c r="B13704" s="121">
        <v>1165</v>
      </c>
      <c r="C13704" s="121">
        <v>28</v>
      </c>
      <c r="D13704" s="734">
        <v>138.06871499182219</v>
      </c>
      <c r="E13704" s="733"/>
    </row>
    <row r="13705" spans="2:5">
      <c r="B13705" s="121">
        <v>1165</v>
      </c>
      <c r="C13705" s="121">
        <v>29</v>
      </c>
      <c r="D13705" s="734">
        <v>143.92355559057916</v>
      </c>
      <c r="E13705" s="733"/>
    </row>
    <row r="13706" spans="2:5">
      <c r="B13706" s="121">
        <v>1165</v>
      </c>
      <c r="C13706" s="121">
        <v>30</v>
      </c>
      <c r="D13706" s="734">
        <v>146.61422985783852</v>
      </c>
      <c r="E13706" s="733"/>
    </row>
    <row r="13707" spans="2:5">
      <c r="B13707" s="121">
        <v>1165</v>
      </c>
      <c r="C13707" s="121">
        <v>31</v>
      </c>
      <c r="D13707" s="734">
        <v>146.10398460537567</v>
      </c>
      <c r="E13707" s="733"/>
    </row>
    <row r="13708" spans="2:5">
      <c r="B13708" s="121">
        <v>1165</v>
      </c>
      <c r="C13708" s="121">
        <v>32</v>
      </c>
      <c r="D13708" s="734">
        <v>137.92354699095802</v>
      </c>
      <c r="E13708" s="733"/>
    </row>
    <row r="13709" spans="2:5">
      <c r="B13709" s="121">
        <v>1165</v>
      </c>
      <c r="C13709" s="121">
        <v>33</v>
      </c>
      <c r="D13709" s="734">
        <v>145.88804234421664</v>
      </c>
      <c r="E13709" s="733"/>
    </row>
    <row r="13710" spans="2:5">
      <c r="B13710" s="121">
        <v>1165</v>
      </c>
      <c r="C13710" s="121">
        <v>34</v>
      </c>
      <c r="D13710" s="734">
        <v>139.83803131994316</v>
      </c>
      <c r="E13710" s="733"/>
    </row>
    <row r="13711" spans="2:5">
      <c r="B13711" s="121">
        <v>1165</v>
      </c>
      <c r="C13711" s="121">
        <v>35</v>
      </c>
      <c r="D13711" s="734">
        <v>135.53456262767131</v>
      </c>
      <c r="E13711" s="733"/>
    </row>
    <row r="13712" spans="2:5">
      <c r="B13712" s="121">
        <v>1165</v>
      </c>
      <c r="C13712" s="121">
        <v>36</v>
      </c>
      <c r="D13712" s="734">
        <v>145.26880808210697</v>
      </c>
      <c r="E13712" s="733"/>
    </row>
    <row r="13713" spans="2:5">
      <c r="B13713" s="121">
        <v>1166</v>
      </c>
      <c r="C13713" s="121">
        <v>1</v>
      </c>
      <c r="D13713" s="734">
        <v>5</v>
      </c>
      <c r="E13713" s="733"/>
    </row>
    <row r="13714" spans="2:5">
      <c r="B13714" s="121">
        <v>1167</v>
      </c>
      <c r="C13714" s="121">
        <v>1</v>
      </c>
      <c r="D13714" s="734">
        <v>5</v>
      </c>
      <c r="E13714" s="733"/>
    </row>
    <row r="13715" spans="2:5">
      <c r="B13715" s="121">
        <v>1168</v>
      </c>
      <c r="C13715" s="121">
        <v>1</v>
      </c>
      <c r="D13715" s="734">
        <v>5</v>
      </c>
      <c r="E13715" s="733"/>
    </row>
    <row r="13716" spans="2:5">
      <c r="B13716" s="121">
        <v>1169</v>
      </c>
      <c r="C13716" s="121">
        <v>1</v>
      </c>
      <c r="D13716" s="734">
        <v>5</v>
      </c>
      <c r="E13716" s="733"/>
    </row>
    <row r="13717" spans="2:5">
      <c r="B13717" s="121">
        <v>1169</v>
      </c>
      <c r="C13717" s="121">
        <v>2</v>
      </c>
      <c r="D13717" s="734">
        <v>94.321504700470854</v>
      </c>
      <c r="E13717" s="733"/>
    </row>
    <row r="13718" spans="2:5">
      <c r="B13718" s="121">
        <v>1169</v>
      </c>
      <c r="C13718" s="121">
        <v>3</v>
      </c>
      <c r="D13718" s="734">
        <v>119.61446630200275</v>
      </c>
      <c r="E13718" s="733"/>
    </row>
    <row r="13719" spans="2:5">
      <c r="B13719" s="121">
        <v>1169</v>
      </c>
      <c r="C13719" s="121">
        <v>4</v>
      </c>
      <c r="D13719" s="734">
        <v>138.31530471286169</v>
      </c>
      <c r="E13719" s="733"/>
    </row>
    <row r="13720" spans="2:5">
      <c r="B13720" s="121">
        <v>1169</v>
      </c>
      <c r="C13720" s="121">
        <v>5</v>
      </c>
      <c r="D13720" s="734">
        <v>135.59145776841424</v>
      </c>
      <c r="E13720" s="733"/>
    </row>
    <row r="13721" spans="2:5">
      <c r="B13721" s="121">
        <v>1169</v>
      </c>
      <c r="C13721" s="121">
        <v>6</v>
      </c>
      <c r="D13721" s="734">
        <v>135.48575956994716</v>
      </c>
      <c r="E13721" s="733"/>
    </row>
    <row r="13722" spans="2:5">
      <c r="B13722" s="121">
        <v>1169</v>
      </c>
      <c r="C13722" s="121">
        <v>7</v>
      </c>
      <c r="D13722" s="734">
        <v>138.76587839464298</v>
      </c>
      <c r="E13722" s="733"/>
    </row>
    <row r="13723" spans="2:5">
      <c r="B13723" s="121">
        <v>1169</v>
      </c>
      <c r="C13723" s="121">
        <v>8</v>
      </c>
      <c r="D13723" s="734">
        <v>135.5503961589377</v>
      </c>
      <c r="E13723" s="733"/>
    </row>
    <row r="13724" spans="2:5">
      <c r="B13724" s="121">
        <v>1169</v>
      </c>
      <c r="C13724" s="121">
        <v>9</v>
      </c>
      <c r="D13724" s="734">
        <v>145.81238068233554</v>
      </c>
      <c r="E13724" s="733"/>
    </row>
    <row r="13725" spans="2:5">
      <c r="B13725" s="121">
        <v>1169</v>
      </c>
      <c r="C13725" s="121">
        <v>10</v>
      </c>
      <c r="D13725" s="734">
        <v>144.06621534180562</v>
      </c>
      <c r="E13725" s="733"/>
    </row>
    <row r="13726" spans="2:5">
      <c r="B13726" s="121">
        <v>1169</v>
      </c>
      <c r="C13726" s="121">
        <v>11</v>
      </c>
      <c r="D13726" s="734">
        <v>133.95526315927776</v>
      </c>
      <c r="E13726" s="733"/>
    </row>
    <row r="13727" spans="2:5">
      <c r="B13727" s="121">
        <v>1169</v>
      </c>
      <c r="C13727" s="121">
        <v>12</v>
      </c>
      <c r="D13727" s="734">
        <v>146.33631667618533</v>
      </c>
      <c r="E13727" s="733"/>
    </row>
    <row r="13728" spans="2:5">
      <c r="B13728" s="121">
        <v>1169</v>
      </c>
      <c r="C13728" s="121">
        <v>13</v>
      </c>
      <c r="D13728" s="734">
        <v>146.87291775139153</v>
      </c>
      <c r="E13728" s="733"/>
    </row>
    <row r="13729" spans="2:5">
      <c r="B13729" s="121">
        <v>1169</v>
      </c>
      <c r="C13729" s="121">
        <v>14</v>
      </c>
      <c r="D13729" s="734">
        <v>137.56049244970833</v>
      </c>
      <c r="E13729" s="733"/>
    </row>
    <row r="13730" spans="2:5">
      <c r="B13730" s="121">
        <v>1170</v>
      </c>
      <c r="C13730" s="121">
        <v>1</v>
      </c>
      <c r="D13730" s="734">
        <v>5</v>
      </c>
      <c r="E13730" s="733"/>
    </row>
    <row r="13731" spans="2:5">
      <c r="B13731" s="121">
        <v>1170</v>
      </c>
      <c r="C13731" s="121">
        <v>2</v>
      </c>
      <c r="D13731" s="734">
        <v>98.179372241887165</v>
      </c>
      <c r="E13731" s="733"/>
    </row>
    <row r="13732" spans="2:5">
      <c r="B13732" s="121">
        <v>1170</v>
      </c>
      <c r="C13732" s="121">
        <v>3</v>
      </c>
      <c r="D13732" s="734">
        <v>120.43511803563973</v>
      </c>
      <c r="E13732" s="733"/>
    </row>
    <row r="13733" spans="2:5">
      <c r="B13733" s="121">
        <v>1170</v>
      </c>
      <c r="C13733" s="121">
        <v>4</v>
      </c>
      <c r="D13733" s="734">
        <v>141.77798435992744</v>
      </c>
      <c r="E13733" s="733"/>
    </row>
    <row r="13734" spans="2:5">
      <c r="B13734" s="121">
        <v>1170</v>
      </c>
      <c r="C13734" s="121">
        <v>5</v>
      </c>
      <c r="D13734" s="734">
        <v>138.28849061927147</v>
      </c>
      <c r="E13734" s="733"/>
    </row>
    <row r="13735" spans="2:5">
      <c r="B13735" s="121">
        <v>1170</v>
      </c>
      <c r="C13735" s="121">
        <v>6</v>
      </c>
      <c r="D13735" s="734">
        <v>145.70632667015894</v>
      </c>
      <c r="E13735" s="733"/>
    </row>
    <row r="13736" spans="2:5">
      <c r="B13736" s="121">
        <v>1170</v>
      </c>
      <c r="C13736" s="121">
        <v>7</v>
      </c>
      <c r="D13736" s="734">
        <v>145.44023619825785</v>
      </c>
      <c r="E13736" s="733"/>
    </row>
    <row r="13737" spans="2:5">
      <c r="B13737" s="121">
        <v>1170</v>
      </c>
      <c r="C13737" s="121">
        <v>8</v>
      </c>
      <c r="D13737" s="734">
        <v>136.74233903942627</v>
      </c>
      <c r="E13737" s="733"/>
    </row>
    <row r="13738" spans="2:5">
      <c r="B13738" s="121">
        <v>1170</v>
      </c>
      <c r="C13738" s="121">
        <v>9</v>
      </c>
      <c r="D13738" s="734">
        <v>144.07458380429381</v>
      </c>
      <c r="E13738" s="733"/>
    </row>
    <row r="13739" spans="2:5">
      <c r="B13739" s="121">
        <v>1170</v>
      </c>
      <c r="C13739" s="121">
        <v>10</v>
      </c>
      <c r="D13739" s="734">
        <v>140.00541169520554</v>
      </c>
      <c r="E13739" s="733"/>
    </row>
    <row r="13740" spans="2:5">
      <c r="B13740" s="121">
        <v>1170</v>
      </c>
      <c r="C13740" s="121">
        <v>11</v>
      </c>
      <c r="D13740" s="734">
        <v>138.54267198401243</v>
      </c>
      <c r="E13740" s="733"/>
    </row>
    <row r="13741" spans="2:5">
      <c r="B13741" s="121">
        <v>1170</v>
      </c>
      <c r="C13741" s="121">
        <v>12</v>
      </c>
      <c r="D13741" s="734">
        <v>143.66191558556397</v>
      </c>
      <c r="E13741" s="733"/>
    </row>
    <row r="13742" spans="2:5">
      <c r="B13742" s="121">
        <v>1170</v>
      </c>
      <c r="C13742" s="121">
        <v>13</v>
      </c>
      <c r="D13742" s="734">
        <v>142.35199873056521</v>
      </c>
      <c r="E13742" s="733"/>
    </row>
    <row r="13743" spans="2:5">
      <c r="B13743" s="121">
        <v>1170</v>
      </c>
      <c r="C13743" s="121">
        <v>14</v>
      </c>
      <c r="D13743" s="734">
        <v>140.69585383088324</v>
      </c>
      <c r="E13743" s="733"/>
    </row>
    <row r="13744" spans="2:5">
      <c r="B13744" s="121">
        <v>1170</v>
      </c>
      <c r="C13744" s="121">
        <v>15</v>
      </c>
      <c r="D13744" s="734">
        <v>143.71173362998312</v>
      </c>
      <c r="E13744" s="733"/>
    </row>
    <row r="13745" spans="2:5">
      <c r="B13745" s="121">
        <v>1170</v>
      </c>
      <c r="C13745" s="121">
        <v>16</v>
      </c>
      <c r="D13745" s="734">
        <v>140.87659089270397</v>
      </c>
      <c r="E13745" s="733"/>
    </row>
    <row r="13746" spans="2:5">
      <c r="B13746" s="121">
        <v>1170</v>
      </c>
      <c r="C13746" s="121">
        <v>17</v>
      </c>
      <c r="D13746" s="734">
        <v>142.63709988505826</v>
      </c>
      <c r="E13746" s="733"/>
    </row>
    <row r="13747" spans="2:5">
      <c r="B13747" s="121">
        <v>1170</v>
      </c>
      <c r="C13747" s="121">
        <v>18</v>
      </c>
      <c r="D13747" s="734">
        <v>141.03675605691356</v>
      </c>
      <c r="E13747" s="733"/>
    </row>
    <row r="13748" spans="2:5">
      <c r="B13748" s="121">
        <v>1170</v>
      </c>
      <c r="C13748" s="121">
        <v>19</v>
      </c>
      <c r="D13748" s="734">
        <v>144.71087920432646</v>
      </c>
      <c r="E13748" s="733"/>
    </row>
    <row r="13749" spans="2:5">
      <c r="B13749" s="121">
        <v>1170</v>
      </c>
      <c r="C13749" s="121">
        <v>20</v>
      </c>
      <c r="D13749" s="734">
        <v>138.60636837867256</v>
      </c>
      <c r="E13749" s="733"/>
    </row>
    <row r="13750" spans="2:5">
      <c r="B13750" s="121">
        <v>1170</v>
      </c>
      <c r="C13750" s="121">
        <v>21</v>
      </c>
      <c r="D13750" s="734">
        <v>140.65250544553146</v>
      </c>
      <c r="E13750" s="733"/>
    </row>
    <row r="13751" spans="2:5">
      <c r="B13751" s="121">
        <v>1170</v>
      </c>
      <c r="C13751" s="121">
        <v>22</v>
      </c>
      <c r="D13751" s="734">
        <v>137.59823641663272</v>
      </c>
      <c r="E13751" s="733"/>
    </row>
    <row r="13752" spans="2:5">
      <c r="B13752" s="121">
        <v>1170</v>
      </c>
      <c r="C13752" s="121">
        <v>23</v>
      </c>
      <c r="D13752" s="734">
        <v>146.72787197877204</v>
      </c>
      <c r="E13752" s="733"/>
    </row>
    <row r="13753" spans="2:5">
      <c r="B13753" s="121">
        <v>1170</v>
      </c>
      <c r="C13753" s="121">
        <v>24</v>
      </c>
      <c r="D13753" s="734">
        <v>133.73924328941155</v>
      </c>
      <c r="E13753" s="733"/>
    </row>
    <row r="13754" spans="2:5">
      <c r="B13754" s="121">
        <v>1170</v>
      </c>
      <c r="C13754" s="121">
        <v>25</v>
      </c>
      <c r="D13754" s="734">
        <v>136.72424163174938</v>
      </c>
      <c r="E13754" s="733"/>
    </row>
    <row r="13755" spans="2:5">
      <c r="B13755" s="121">
        <v>1170</v>
      </c>
      <c r="C13755" s="121">
        <v>26</v>
      </c>
      <c r="D13755" s="734">
        <v>135.31861407905993</v>
      </c>
      <c r="E13755" s="733"/>
    </row>
    <row r="13756" spans="2:5">
      <c r="B13756" s="121">
        <v>1170</v>
      </c>
      <c r="C13756" s="121">
        <v>27</v>
      </c>
      <c r="D13756" s="734">
        <v>140.77098806961865</v>
      </c>
      <c r="E13756" s="733"/>
    </row>
    <row r="13757" spans="2:5">
      <c r="B13757" s="121">
        <v>1170</v>
      </c>
      <c r="C13757" s="121">
        <v>28</v>
      </c>
      <c r="D13757" s="734">
        <v>145.78673683864224</v>
      </c>
      <c r="E13757" s="733"/>
    </row>
    <row r="13758" spans="2:5">
      <c r="B13758" s="121">
        <v>1170</v>
      </c>
      <c r="C13758" s="121">
        <v>29</v>
      </c>
      <c r="D13758" s="734">
        <v>146.40276475008056</v>
      </c>
      <c r="E13758" s="733"/>
    </row>
    <row r="13759" spans="2:5">
      <c r="B13759" s="121">
        <v>1170</v>
      </c>
      <c r="C13759" s="121">
        <v>30</v>
      </c>
      <c r="D13759" s="734">
        <v>143.2103469038056</v>
      </c>
      <c r="E13759" s="733"/>
    </row>
    <row r="13760" spans="2:5">
      <c r="B13760" s="121">
        <v>1170</v>
      </c>
      <c r="C13760" s="121">
        <v>31</v>
      </c>
      <c r="D13760" s="734">
        <v>142.02299616521555</v>
      </c>
      <c r="E13760" s="733"/>
    </row>
    <row r="13761" spans="2:5">
      <c r="B13761" s="121">
        <v>1170</v>
      </c>
      <c r="C13761" s="121">
        <v>32</v>
      </c>
      <c r="D13761" s="734">
        <v>143.34271975066966</v>
      </c>
      <c r="E13761" s="733"/>
    </row>
    <row r="13762" spans="2:5">
      <c r="B13762" s="121">
        <v>1170</v>
      </c>
      <c r="C13762" s="121">
        <v>33</v>
      </c>
      <c r="D13762" s="734">
        <v>137.71859536829285</v>
      </c>
      <c r="E13762" s="733"/>
    </row>
    <row r="13763" spans="2:5">
      <c r="B13763" s="121">
        <v>1170</v>
      </c>
      <c r="C13763" s="121">
        <v>34</v>
      </c>
      <c r="D13763" s="734">
        <v>145.34598406046857</v>
      </c>
      <c r="E13763" s="733"/>
    </row>
    <row r="13764" spans="2:5">
      <c r="B13764" s="121">
        <v>1170</v>
      </c>
      <c r="C13764" s="121">
        <v>35</v>
      </c>
      <c r="D13764" s="734">
        <v>136.97948300331953</v>
      </c>
      <c r="E13764" s="733"/>
    </row>
    <row r="13765" spans="2:5">
      <c r="B13765" s="121">
        <v>1170</v>
      </c>
      <c r="C13765" s="121">
        <v>36</v>
      </c>
      <c r="D13765" s="734">
        <v>138.31961067656013</v>
      </c>
      <c r="E13765" s="733"/>
    </row>
    <row r="13766" spans="2:5">
      <c r="B13766" s="121">
        <v>1171</v>
      </c>
      <c r="C13766" s="121">
        <v>1</v>
      </c>
      <c r="D13766" s="734">
        <v>5</v>
      </c>
      <c r="E13766" s="733"/>
    </row>
    <row r="13767" spans="2:5">
      <c r="B13767" s="121">
        <v>1171</v>
      </c>
      <c r="C13767" s="121">
        <v>2</v>
      </c>
      <c r="D13767" s="734">
        <v>99.958960239437616</v>
      </c>
      <c r="E13767" s="733"/>
    </row>
    <row r="13768" spans="2:5">
      <c r="B13768" s="121">
        <v>1171</v>
      </c>
      <c r="C13768" s="121">
        <v>3</v>
      </c>
      <c r="D13768" s="734">
        <v>121.86241804596729</v>
      </c>
      <c r="E13768" s="733"/>
    </row>
    <row r="13769" spans="2:5">
      <c r="B13769" s="121">
        <v>1171</v>
      </c>
      <c r="C13769" s="121">
        <v>4</v>
      </c>
      <c r="D13769" s="734">
        <v>143.46996552683106</v>
      </c>
      <c r="E13769" s="733"/>
    </row>
    <row r="13770" spans="2:5">
      <c r="B13770" s="121">
        <v>1171</v>
      </c>
      <c r="C13770" s="121">
        <v>5</v>
      </c>
      <c r="D13770" s="734">
        <v>138.68942008325777</v>
      </c>
      <c r="E13770" s="733"/>
    </row>
    <row r="13771" spans="2:5">
      <c r="B13771" s="121">
        <v>1171</v>
      </c>
      <c r="C13771" s="121">
        <v>6</v>
      </c>
      <c r="D13771" s="734">
        <v>139.87447856909765</v>
      </c>
      <c r="E13771" s="733"/>
    </row>
    <row r="13772" spans="2:5">
      <c r="B13772" s="121">
        <v>1171</v>
      </c>
      <c r="C13772" s="121">
        <v>7</v>
      </c>
      <c r="D13772" s="734">
        <v>139.07255461176473</v>
      </c>
      <c r="E13772" s="733"/>
    </row>
    <row r="13773" spans="2:5">
      <c r="B13773" s="121">
        <v>1171</v>
      </c>
      <c r="C13773" s="121">
        <v>8</v>
      </c>
      <c r="D13773" s="734">
        <v>140.72074048236442</v>
      </c>
      <c r="E13773" s="733"/>
    </row>
    <row r="13774" spans="2:5">
      <c r="B13774" s="121">
        <v>1171</v>
      </c>
      <c r="C13774" s="121">
        <v>9</v>
      </c>
      <c r="D13774" s="734">
        <v>145.68280839266006</v>
      </c>
      <c r="E13774" s="733"/>
    </row>
    <row r="13775" spans="2:5">
      <c r="B13775" s="121">
        <v>1172</v>
      </c>
      <c r="C13775" s="121">
        <v>1</v>
      </c>
      <c r="D13775" s="734">
        <v>5</v>
      </c>
      <c r="E13775" s="733"/>
    </row>
    <row r="13776" spans="2:5">
      <c r="B13776" s="121">
        <v>1172</v>
      </c>
      <c r="C13776" s="121">
        <v>2</v>
      </c>
      <c r="D13776" s="734">
        <v>99.161876452539857</v>
      </c>
      <c r="E13776" s="733"/>
    </row>
    <row r="13777" spans="2:5">
      <c r="B13777" s="121">
        <v>1172</v>
      </c>
      <c r="C13777" s="121">
        <v>3</v>
      </c>
      <c r="D13777" s="734">
        <v>121.57735794837083</v>
      </c>
      <c r="E13777" s="733"/>
    </row>
    <row r="13778" spans="2:5">
      <c r="B13778" s="121">
        <v>1172</v>
      </c>
      <c r="C13778" s="121">
        <v>4</v>
      </c>
      <c r="D13778" s="734">
        <v>142.28291073700328</v>
      </c>
      <c r="E13778" s="733"/>
    </row>
    <row r="13779" spans="2:5">
      <c r="B13779" s="121">
        <v>1172</v>
      </c>
      <c r="C13779" s="121">
        <v>5</v>
      </c>
      <c r="D13779" s="734">
        <v>146.94334736909772</v>
      </c>
      <c r="E13779" s="733"/>
    </row>
    <row r="13780" spans="2:5">
      <c r="B13780" s="121">
        <v>1172</v>
      </c>
      <c r="C13780" s="121">
        <v>6</v>
      </c>
      <c r="D13780" s="734">
        <v>141.33730326671073</v>
      </c>
      <c r="E13780" s="733"/>
    </row>
    <row r="13781" spans="2:5">
      <c r="B13781" s="121">
        <v>1172</v>
      </c>
      <c r="C13781" s="121">
        <v>7</v>
      </c>
      <c r="D13781" s="734">
        <v>145.40329965898647</v>
      </c>
      <c r="E13781" s="733"/>
    </row>
    <row r="13782" spans="2:5">
      <c r="B13782" s="121">
        <v>1172</v>
      </c>
      <c r="C13782" s="121">
        <v>8</v>
      </c>
      <c r="D13782" s="734">
        <v>134.63630140233883</v>
      </c>
      <c r="E13782" s="733"/>
    </row>
    <row r="13783" spans="2:5">
      <c r="B13783" s="121">
        <v>1172</v>
      </c>
      <c r="C13783" s="121">
        <v>9</v>
      </c>
      <c r="D13783" s="734">
        <v>134.36075760039236</v>
      </c>
      <c r="E13783" s="733"/>
    </row>
    <row r="13784" spans="2:5">
      <c r="B13784" s="121">
        <v>1172</v>
      </c>
      <c r="C13784" s="121">
        <v>10</v>
      </c>
      <c r="D13784" s="734">
        <v>138.21034773436079</v>
      </c>
      <c r="E13784" s="733"/>
    </row>
    <row r="13785" spans="2:5">
      <c r="B13785" s="121">
        <v>1172</v>
      </c>
      <c r="C13785" s="121">
        <v>11</v>
      </c>
      <c r="D13785" s="734">
        <v>145.57496298935021</v>
      </c>
      <c r="E13785" s="733"/>
    </row>
    <row r="13786" spans="2:5">
      <c r="B13786" s="121">
        <v>1172</v>
      </c>
      <c r="C13786" s="121">
        <v>12</v>
      </c>
      <c r="D13786" s="734">
        <v>135.33945547379244</v>
      </c>
      <c r="E13786" s="733"/>
    </row>
    <row r="13787" spans="2:5">
      <c r="B13787" s="121">
        <v>1172</v>
      </c>
      <c r="C13787" s="121">
        <v>13</v>
      </c>
      <c r="D13787" s="734">
        <v>144.38953947332081</v>
      </c>
      <c r="E13787" s="733"/>
    </row>
    <row r="13788" spans="2:5">
      <c r="B13788" s="121">
        <v>1172</v>
      </c>
      <c r="C13788" s="121">
        <v>14</v>
      </c>
      <c r="D13788" s="734">
        <v>143.71764991746497</v>
      </c>
      <c r="E13788" s="733"/>
    </row>
    <row r="13789" spans="2:5">
      <c r="B13789" s="121">
        <v>1172</v>
      </c>
      <c r="C13789" s="121">
        <v>15</v>
      </c>
      <c r="D13789" s="734">
        <v>135.93502583431575</v>
      </c>
      <c r="E13789" s="733"/>
    </row>
    <row r="13790" spans="2:5">
      <c r="B13790" s="121">
        <v>1172</v>
      </c>
      <c r="C13790" s="121">
        <v>16</v>
      </c>
      <c r="D13790" s="734">
        <v>136.58704987941456</v>
      </c>
      <c r="E13790" s="733"/>
    </row>
    <row r="13791" spans="2:5">
      <c r="B13791" s="121">
        <v>1173</v>
      </c>
      <c r="C13791" s="121">
        <v>1</v>
      </c>
      <c r="D13791" s="734">
        <v>5</v>
      </c>
      <c r="E13791" s="733"/>
    </row>
    <row r="13792" spans="2:5">
      <c r="B13792" s="121">
        <v>1173</v>
      </c>
      <c r="C13792" s="121">
        <v>2</v>
      </c>
      <c r="D13792" s="734">
        <v>103.0587621625324</v>
      </c>
      <c r="E13792" s="733"/>
    </row>
    <row r="13793" spans="2:5">
      <c r="B13793" s="121">
        <v>1173</v>
      </c>
      <c r="C13793" s="121">
        <v>3</v>
      </c>
      <c r="D13793" s="734">
        <v>119.59317198617656</v>
      </c>
      <c r="E13793" s="733"/>
    </row>
    <row r="13794" spans="2:5">
      <c r="B13794" s="121">
        <v>1173</v>
      </c>
      <c r="C13794" s="121">
        <v>4</v>
      </c>
      <c r="D13794" s="734">
        <v>143.75669673837658</v>
      </c>
      <c r="E13794" s="733"/>
    </row>
    <row r="13795" spans="2:5">
      <c r="B13795" s="121">
        <v>1173</v>
      </c>
      <c r="C13795" s="121">
        <v>5</v>
      </c>
      <c r="D13795" s="734">
        <v>139.35252412984642</v>
      </c>
      <c r="E13795" s="733"/>
    </row>
    <row r="13796" spans="2:5">
      <c r="B13796" s="121">
        <v>1173</v>
      </c>
      <c r="C13796" s="121">
        <v>6</v>
      </c>
      <c r="D13796" s="734">
        <v>142.45948313531312</v>
      </c>
      <c r="E13796" s="733"/>
    </row>
    <row r="13797" spans="2:5">
      <c r="B13797" s="121">
        <v>1174</v>
      </c>
      <c r="C13797" s="121">
        <v>1</v>
      </c>
      <c r="D13797" s="734">
        <v>5</v>
      </c>
      <c r="E13797" s="733"/>
    </row>
    <row r="13798" spans="2:5">
      <c r="B13798" s="121">
        <v>1175</v>
      </c>
      <c r="C13798" s="121">
        <v>1</v>
      </c>
      <c r="D13798" s="734">
        <v>5</v>
      </c>
      <c r="E13798" s="733"/>
    </row>
    <row r="13799" spans="2:5">
      <c r="B13799" s="121">
        <v>1175</v>
      </c>
      <c r="C13799" s="121">
        <v>2</v>
      </c>
      <c r="D13799" s="734">
        <v>95.415445043767591</v>
      </c>
      <c r="E13799" s="733"/>
    </row>
    <row r="13800" spans="2:5">
      <c r="B13800" s="121">
        <v>1175</v>
      </c>
      <c r="C13800" s="121">
        <v>3</v>
      </c>
      <c r="D13800" s="734">
        <v>117.1593852601802</v>
      </c>
      <c r="E13800" s="733"/>
    </row>
    <row r="13801" spans="2:5">
      <c r="B13801" s="121">
        <v>1175</v>
      </c>
      <c r="C13801" s="121">
        <v>4</v>
      </c>
      <c r="D13801" s="734">
        <v>142.23123823288159</v>
      </c>
      <c r="E13801" s="733"/>
    </row>
    <row r="13802" spans="2:5">
      <c r="B13802" s="121">
        <v>1175</v>
      </c>
      <c r="C13802" s="121">
        <v>5</v>
      </c>
      <c r="D13802" s="734">
        <v>137.43108518641267</v>
      </c>
      <c r="E13802" s="733"/>
    </row>
    <row r="13803" spans="2:5">
      <c r="B13803" s="121">
        <v>1175</v>
      </c>
      <c r="C13803" s="121">
        <v>6</v>
      </c>
      <c r="D13803" s="734">
        <v>145.72790296502697</v>
      </c>
      <c r="E13803" s="733"/>
    </row>
    <row r="13804" spans="2:5">
      <c r="B13804" s="121">
        <v>1175</v>
      </c>
      <c r="C13804" s="121">
        <v>7</v>
      </c>
      <c r="D13804" s="734">
        <v>142.77009682022745</v>
      </c>
      <c r="E13804" s="733"/>
    </row>
    <row r="13805" spans="2:5">
      <c r="B13805" s="121">
        <v>1175</v>
      </c>
      <c r="C13805" s="121">
        <v>8</v>
      </c>
      <c r="D13805" s="734">
        <v>137.76947371808171</v>
      </c>
      <c r="E13805" s="733"/>
    </row>
    <row r="13806" spans="2:5">
      <c r="B13806" s="121">
        <v>1175</v>
      </c>
      <c r="C13806" s="121">
        <v>9</v>
      </c>
      <c r="D13806" s="734">
        <v>138.46686799626306</v>
      </c>
      <c r="E13806" s="733"/>
    </row>
    <row r="13807" spans="2:5">
      <c r="B13807" s="121">
        <v>1175</v>
      </c>
      <c r="C13807" s="121">
        <v>10</v>
      </c>
      <c r="D13807" s="734">
        <v>141.93855428953751</v>
      </c>
      <c r="E13807" s="733"/>
    </row>
    <row r="13808" spans="2:5">
      <c r="B13808" s="121">
        <v>1175</v>
      </c>
      <c r="C13808" s="121">
        <v>11</v>
      </c>
      <c r="D13808" s="734">
        <v>137.51703754539722</v>
      </c>
      <c r="E13808" s="733"/>
    </row>
    <row r="13809" spans="2:5">
      <c r="B13809" s="121">
        <v>1175</v>
      </c>
      <c r="C13809" s="121">
        <v>12</v>
      </c>
      <c r="D13809" s="734">
        <v>144.48309803429808</v>
      </c>
      <c r="E13809" s="733"/>
    </row>
    <row r="13810" spans="2:5">
      <c r="B13810" s="121">
        <v>1175</v>
      </c>
      <c r="C13810" s="121">
        <v>13</v>
      </c>
      <c r="D13810" s="734">
        <v>138.79711129011122</v>
      </c>
      <c r="E13810" s="733"/>
    </row>
    <row r="13811" spans="2:5">
      <c r="B13811" s="121">
        <v>1175</v>
      </c>
      <c r="C13811" s="121">
        <v>14</v>
      </c>
      <c r="D13811" s="734">
        <v>137.5997159907532</v>
      </c>
      <c r="E13811" s="733"/>
    </row>
    <row r="13812" spans="2:5">
      <c r="B13812" s="121">
        <v>1175</v>
      </c>
      <c r="C13812" s="121">
        <v>15</v>
      </c>
      <c r="D13812" s="734">
        <v>144.84416769818569</v>
      </c>
      <c r="E13812" s="733"/>
    </row>
    <row r="13813" spans="2:5">
      <c r="B13813" s="121">
        <v>1175</v>
      </c>
      <c r="C13813" s="121">
        <v>16</v>
      </c>
      <c r="D13813" s="734">
        <v>139.82078836344132</v>
      </c>
      <c r="E13813" s="733"/>
    </row>
    <row r="13814" spans="2:5">
      <c r="B13814" s="121">
        <v>1175</v>
      </c>
      <c r="C13814" s="121">
        <v>17</v>
      </c>
      <c r="D13814" s="734">
        <v>142.27983342634451</v>
      </c>
      <c r="E13814" s="733"/>
    </row>
    <row r="13815" spans="2:5">
      <c r="B13815" s="121">
        <v>1175</v>
      </c>
      <c r="C13815" s="121">
        <v>18</v>
      </c>
      <c r="D13815" s="734">
        <v>138.84654483114687</v>
      </c>
      <c r="E13815" s="733"/>
    </row>
    <row r="13816" spans="2:5">
      <c r="B13816" s="121">
        <v>1175</v>
      </c>
      <c r="C13816" s="121">
        <v>19</v>
      </c>
      <c r="D13816" s="734">
        <v>135.24307574783074</v>
      </c>
      <c r="E13816" s="733"/>
    </row>
    <row r="13817" spans="2:5">
      <c r="B13817" s="121">
        <v>1175</v>
      </c>
      <c r="C13817" s="121">
        <v>20</v>
      </c>
      <c r="D13817" s="734">
        <v>143.52199177576469</v>
      </c>
      <c r="E13817" s="733"/>
    </row>
    <row r="13818" spans="2:5">
      <c r="B13818" s="121">
        <v>1175</v>
      </c>
      <c r="C13818" s="121">
        <v>21</v>
      </c>
      <c r="D13818" s="734">
        <v>142.87352032939091</v>
      </c>
      <c r="E13818" s="733"/>
    </row>
    <row r="13819" spans="2:5">
      <c r="B13819" s="121">
        <v>1175</v>
      </c>
      <c r="C13819" s="121">
        <v>22</v>
      </c>
      <c r="D13819" s="734">
        <v>142.8427907570956</v>
      </c>
      <c r="E13819" s="733"/>
    </row>
    <row r="13820" spans="2:5">
      <c r="B13820" s="121">
        <v>1175</v>
      </c>
      <c r="C13820" s="121">
        <v>23</v>
      </c>
      <c r="D13820" s="734">
        <v>136.68987243308081</v>
      </c>
      <c r="E13820" s="733"/>
    </row>
    <row r="13821" spans="2:5">
      <c r="B13821" s="121">
        <v>1175</v>
      </c>
      <c r="C13821" s="121">
        <v>24</v>
      </c>
      <c r="D13821" s="734">
        <v>136.81528603046524</v>
      </c>
      <c r="E13821" s="733"/>
    </row>
    <row r="13822" spans="2:5">
      <c r="B13822" s="121">
        <v>1176</v>
      </c>
      <c r="C13822" s="121">
        <v>1</v>
      </c>
      <c r="D13822" s="734">
        <v>5</v>
      </c>
      <c r="E13822" s="733"/>
    </row>
    <row r="13823" spans="2:5">
      <c r="B13823" s="121">
        <v>1176</v>
      </c>
      <c r="C13823" s="121">
        <v>2</v>
      </c>
      <c r="D13823" s="734">
        <v>95.339380665313001</v>
      </c>
      <c r="E13823" s="733"/>
    </row>
    <row r="13824" spans="2:5">
      <c r="B13824" s="121">
        <v>1176</v>
      </c>
      <c r="C13824" s="121">
        <v>3</v>
      </c>
      <c r="D13824" s="734">
        <v>120.15838572627679</v>
      </c>
      <c r="E13824" s="733"/>
    </row>
    <row r="13825" spans="2:5">
      <c r="B13825" s="121">
        <v>1176</v>
      </c>
      <c r="C13825" s="121">
        <v>4</v>
      </c>
      <c r="D13825" s="734">
        <v>145.08330571188179</v>
      </c>
      <c r="E13825" s="733"/>
    </row>
    <row r="13826" spans="2:5">
      <c r="B13826" s="121">
        <v>1176</v>
      </c>
      <c r="C13826" s="121">
        <v>5</v>
      </c>
      <c r="D13826" s="734">
        <v>141.00509324230805</v>
      </c>
      <c r="E13826" s="733"/>
    </row>
    <row r="13827" spans="2:5">
      <c r="B13827" s="121">
        <v>1176</v>
      </c>
      <c r="C13827" s="121">
        <v>6</v>
      </c>
      <c r="D13827" s="734">
        <v>138.67913268104607</v>
      </c>
      <c r="E13827" s="733"/>
    </row>
    <row r="13828" spans="2:5">
      <c r="B13828" s="121">
        <v>1176</v>
      </c>
      <c r="C13828" s="121">
        <v>7</v>
      </c>
      <c r="D13828" s="734">
        <v>146.49783236933314</v>
      </c>
      <c r="E13828" s="733"/>
    </row>
    <row r="13829" spans="2:5">
      <c r="B13829" s="121">
        <v>1176</v>
      </c>
      <c r="C13829" s="121">
        <v>8</v>
      </c>
      <c r="D13829" s="734">
        <v>137.52693749939044</v>
      </c>
      <c r="E13829" s="733"/>
    </row>
    <row r="13830" spans="2:5">
      <c r="B13830" s="121">
        <v>1176</v>
      </c>
      <c r="C13830" s="121">
        <v>9</v>
      </c>
      <c r="D13830" s="734">
        <v>136.63928920085661</v>
      </c>
      <c r="E13830" s="733"/>
    </row>
    <row r="13831" spans="2:5">
      <c r="B13831" s="121">
        <v>1176</v>
      </c>
      <c r="C13831" s="121">
        <v>10</v>
      </c>
      <c r="D13831" s="734">
        <v>138.87134168122091</v>
      </c>
      <c r="E13831" s="733"/>
    </row>
    <row r="13832" spans="2:5">
      <c r="B13832" s="121">
        <v>1176</v>
      </c>
      <c r="C13832" s="121">
        <v>11</v>
      </c>
      <c r="D13832" s="734">
        <v>141.19629830354958</v>
      </c>
      <c r="E13832" s="733"/>
    </row>
    <row r="13833" spans="2:5">
      <c r="B13833" s="121">
        <v>1177</v>
      </c>
      <c r="C13833" s="121">
        <v>1</v>
      </c>
      <c r="D13833" s="734">
        <v>5</v>
      </c>
      <c r="E13833" s="733"/>
    </row>
    <row r="13834" spans="2:5">
      <c r="B13834" s="121">
        <v>1177</v>
      </c>
      <c r="C13834" s="121">
        <v>2</v>
      </c>
      <c r="D13834" s="734">
        <v>94.973738751727254</v>
      </c>
      <c r="E13834" s="733"/>
    </row>
    <row r="13835" spans="2:5">
      <c r="B13835" s="121">
        <v>1177</v>
      </c>
      <c r="C13835" s="121">
        <v>3</v>
      </c>
      <c r="D13835" s="734">
        <v>123.57415229377007</v>
      </c>
      <c r="E13835" s="733"/>
    </row>
    <row r="13836" spans="2:5">
      <c r="B13836" s="121">
        <v>1177</v>
      </c>
      <c r="C13836" s="121">
        <v>4</v>
      </c>
      <c r="D13836" s="734">
        <v>139.79839006846299</v>
      </c>
      <c r="E13836" s="733"/>
    </row>
    <row r="13837" spans="2:5">
      <c r="B13837" s="121">
        <v>1177</v>
      </c>
      <c r="C13837" s="121">
        <v>5</v>
      </c>
      <c r="D13837" s="734">
        <v>144.34640795016205</v>
      </c>
      <c r="E13837" s="733"/>
    </row>
    <row r="13838" spans="2:5">
      <c r="B13838" s="121">
        <v>1177</v>
      </c>
      <c r="C13838" s="121">
        <v>6</v>
      </c>
      <c r="D13838" s="734">
        <v>138.30897124558871</v>
      </c>
      <c r="E13838" s="733"/>
    </row>
    <row r="13839" spans="2:5">
      <c r="B13839" s="121">
        <v>1177</v>
      </c>
      <c r="C13839" s="121">
        <v>7</v>
      </c>
      <c r="D13839" s="734">
        <v>142.08611292437587</v>
      </c>
      <c r="E13839" s="733"/>
    </row>
    <row r="13840" spans="2:5">
      <c r="B13840" s="121">
        <v>1177</v>
      </c>
      <c r="C13840" s="121">
        <v>8</v>
      </c>
      <c r="D13840" s="734">
        <v>145.51423309984577</v>
      </c>
      <c r="E13840" s="733"/>
    </row>
    <row r="13841" spans="2:5">
      <c r="B13841" s="121">
        <v>1178</v>
      </c>
      <c r="C13841" s="121">
        <v>1</v>
      </c>
      <c r="D13841" s="734">
        <v>5</v>
      </c>
      <c r="E13841" s="733"/>
    </row>
    <row r="13842" spans="2:5">
      <c r="B13842" s="121">
        <v>1178</v>
      </c>
      <c r="C13842" s="121">
        <v>2</v>
      </c>
      <c r="D13842" s="734">
        <v>98.66925473668141</v>
      </c>
      <c r="E13842" s="733"/>
    </row>
    <row r="13843" spans="2:5">
      <c r="B13843" s="121">
        <v>1178</v>
      </c>
      <c r="C13843" s="121">
        <v>3</v>
      </c>
      <c r="D13843" s="734">
        <v>119.01290560338268</v>
      </c>
      <c r="E13843" s="733"/>
    </row>
    <row r="13844" spans="2:5">
      <c r="B13844" s="121">
        <v>1178</v>
      </c>
      <c r="C13844" s="121">
        <v>4</v>
      </c>
      <c r="D13844" s="734">
        <v>141.89687741124948</v>
      </c>
      <c r="E13844" s="733"/>
    </row>
    <row r="13845" spans="2:5">
      <c r="B13845" s="121">
        <v>1178</v>
      </c>
      <c r="C13845" s="121">
        <v>5</v>
      </c>
      <c r="D13845" s="734">
        <v>146.87117083109592</v>
      </c>
      <c r="E13845" s="733"/>
    </row>
    <row r="13846" spans="2:5">
      <c r="B13846" s="121">
        <v>1178</v>
      </c>
      <c r="C13846" s="121">
        <v>6</v>
      </c>
      <c r="D13846" s="734">
        <v>134.83020106897305</v>
      </c>
      <c r="E13846" s="733"/>
    </row>
    <row r="13847" spans="2:5">
      <c r="B13847" s="121">
        <v>1178</v>
      </c>
      <c r="C13847" s="121">
        <v>7</v>
      </c>
      <c r="D13847" s="734">
        <v>146.28008594539705</v>
      </c>
      <c r="E13847" s="733"/>
    </row>
    <row r="13848" spans="2:5">
      <c r="B13848" s="121">
        <v>1178</v>
      </c>
      <c r="C13848" s="121">
        <v>8</v>
      </c>
      <c r="D13848" s="734">
        <v>140.34438982520729</v>
      </c>
      <c r="E13848" s="733"/>
    </row>
    <row r="13849" spans="2:5">
      <c r="B13849" s="121">
        <v>1178</v>
      </c>
      <c r="C13849" s="121">
        <v>9</v>
      </c>
      <c r="D13849" s="734">
        <v>143.37889373364689</v>
      </c>
      <c r="E13849" s="733"/>
    </row>
    <row r="13850" spans="2:5">
      <c r="B13850" s="121">
        <v>1178</v>
      </c>
      <c r="C13850" s="121">
        <v>10</v>
      </c>
      <c r="D13850" s="734">
        <v>146.78098095801823</v>
      </c>
      <c r="E13850" s="733"/>
    </row>
    <row r="13851" spans="2:5">
      <c r="B13851" s="121">
        <v>1178</v>
      </c>
      <c r="C13851" s="121">
        <v>11</v>
      </c>
      <c r="D13851" s="734">
        <v>146.924063938036</v>
      </c>
      <c r="E13851" s="733"/>
    </row>
    <row r="13852" spans="2:5">
      <c r="B13852" s="121">
        <v>1178</v>
      </c>
      <c r="C13852" s="121">
        <v>12</v>
      </c>
      <c r="D13852" s="734">
        <v>145.21380963142892</v>
      </c>
      <c r="E13852" s="733"/>
    </row>
    <row r="13853" spans="2:5">
      <c r="B13853" s="121">
        <v>1178</v>
      </c>
      <c r="C13853" s="121">
        <v>13</v>
      </c>
      <c r="D13853" s="734">
        <v>137.41060639707322</v>
      </c>
      <c r="E13853" s="733"/>
    </row>
    <row r="13854" spans="2:5">
      <c r="B13854" s="121">
        <v>1178</v>
      </c>
      <c r="C13854" s="121">
        <v>14</v>
      </c>
      <c r="D13854" s="734">
        <v>138.73930818199906</v>
      </c>
      <c r="E13854" s="733"/>
    </row>
    <row r="13855" spans="2:5">
      <c r="B13855" s="121">
        <v>1178</v>
      </c>
      <c r="C13855" s="121">
        <v>15</v>
      </c>
      <c r="D13855" s="734">
        <v>133.92354754525022</v>
      </c>
      <c r="E13855" s="733"/>
    </row>
    <row r="13856" spans="2:5">
      <c r="B13856" s="121">
        <v>1178</v>
      </c>
      <c r="C13856" s="121">
        <v>16</v>
      </c>
      <c r="D13856" s="734">
        <v>146.76767221573101</v>
      </c>
      <c r="E13856" s="733"/>
    </row>
    <row r="13857" spans="2:5">
      <c r="B13857" s="121">
        <v>1178</v>
      </c>
      <c r="C13857" s="121">
        <v>17</v>
      </c>
      <c r="D13857" s="734">
        <v>145.24565416253714</v>
      </c>
      <c r="E13857" s="733"/>
    </row>
    <row r="13858" spans="2:5">
      <c r="B13858" s="121">
        <v>1178</v>
      </c>
      <c r="C13858" s="121">
        <v>18</v>
      </c>
      <c r="D13858" s="734">
        <v>140.83709763228251</v>
      </c>
      <c r="E13858" s="733"/>
    </row>
    <row r="13859" spans="2:5">
      <c r="B13859" s="121">
        <v>1178</v>
      </c>
      <c r="C13859" s="121">
        <v>19</v>
      </c>
      <c r="D13859" s="734">
        <v>143.33854741593154</v>
      </c>
      <c r="E13859" s="733"/>
    </row>
    <row r="13860" spans="2:5">
      <c r="B13860" s="121">
        <v>1178</v>
      </c>
      <c r="C13860" s="121">
        <v>20</v>
      </c>
      <c r="D13860" s="734">
        <v>136.0186144785134</v>
      </c>
      <c r="E13860" s="733"/>
    </row>
    <row r="13861" spans="2:5">
      <c r="B13861" s="121">
        <v>1178</v>
      </c>
      <c r="C13861" s="121">
        <v>21</v>
      </c>
      <c r="D13861" s="734">
        <v>136.18133790663688</v>
      </c>
      <c r="E13861" s="733"/>
    </row>
    <row r="13862" spans="2:5">
      <c r="B13862" s="121">
        <v>1178</v>
      </c>
      <c r="C13862" s="121">
        <v>22</v>
      </c>
      <c r="D13862" s="734">
        <v>136.20138142119001</v>
      </c>
      <c r="E13862" s="733"/>
    </row>
    <row r="13863" spans="2:5">
      <c r="B13863" s="121">
        <v>1178</v>
      </c>
      <c r="C13863" s="121">
        <v>23</v>
      </c>
      <c r="D13863" s="734">
        <v>136.96483877582574</v>
      </c>
      <c r="E13863" s="733"/>
    </row>
    <row r="13864" spans="2:5">
      <c r="B13864" s="121">
        <v>1178</v>
      </c>
      <c r="C13864" s="121">
        <v>24</v>
      </c>
      <c r="D13864" s="734">
        <v>138.69325210820426</v>
      </c>
      <c r="E13864" s="733"/>
    </row>
    <row r="13865" spans="2:5">
      <c r="B13865" s="121">
        <v>1178</v>
      </c>
      <c r="C13865" s="121">
        <v>25</v>
      </c>
      <c r="D13865" s="734">
        <v>146.90861300238581</v>
      </c>
      <c r="E13865" s="733"/>
    </row>
    <row r="13866" spans="2:5">
      <c r="B13866" s="121">
        <v>1178</v>
      </c>
      <c r="C13866" s="121">
        <v>26</v>
      </c>
      <c r="D13866" s="734">
        <v>135.19291298803378</v>
      </c>
      <c r="E13866" s="733"/>
    </row>
    <row r="13867" spans="2:5">
      <c r="B13867" s="121">
        <v>1178</v>
      </c>
      <c r="C13867" s="121">
        <v>27</v>
      </c>
      <c r="D13867" s="734">
        <v>135.93254248558611</v>
      </c>
      <c r="E13867" s="733"/>
    </row>
    <row r="13868" spans="2:5">
      <c r="B13868" s="121">
        <v>1178</v>
      </c>
      <c r="C13868" s="121">
        <v>28</v>
      </c>
      <c r="D13868" s="734">
        <v>139.07272729946774</v>
      </c>
      <c r="E13868" s="733"/>
    </row>
    <row r="13869" spans="2:5">
      <c r="B13869" s="121">
        <v>1178</v>
      </c>
      <c r="C13869" s="121">
        <v>29</v>
      </c>
      <c r="D13869" s="734">
        <v>142.19566047801209</v>
      </c>
      <c r="E13869" s="733"/>
    </row>
    <row r="13870" spans="2:5">
      <c r="B13870" s="121">
        <v>1178</v>
      </c>
      <c r="C13870" s="121">
        <v>30</v>
      </c>
      <c r="D13870" s="734">
        <v>134.68872070696534</v>
      </c>
      <c r="E13870" s="733"/>
    </row>
    <row r="13871" spans="2:5">
      <c r="B13871" s="121">
        <v>1178</v>
      </c>
      <c r="C13871" s="121">
        <v>31</v>
      </c>
      <c r="D13871" s="734">
        <v>136.97367547180568</v>
      </c>
      <c r="E13871" s="733"/>
    </row>
    <row r="13872" spans="2:5">
      <c r="B13872" s="121">
        <v>1178</v>
      </c>
      <c r="C13872" s="121">
        <v>32</v>
      </c>
      <c r="D13872" s="734">
        <v>145.35563399530184</v>
      </c>
      <c r="E13872" s="733"/>
    </row>
    <row r="13873" spans="2:5">
      <c r="B13873" s="121">
        <v>1178</v>
      </c>
      <c r="C13873" s="121">
        <v>33</v>
      </c>
      <c r="D13873" s="734">
        <v>140.91633132460103</v>
      </c>
      <c r="E13873" s="733"/>
    </row>
    <row r="13874" spans="2:5">
      <c r="B13874" s="121">
        <v>1178</v>
      </c>
      <c r="C13874" s="121">
        <v>34</v>
      </c>
      <c r="D13874" s="734">
        <v>138.31467035040268</v>
      </c>
      <c r="E13874" s="733"/>
    </row>
    <row r="13875" spans="2:5">
      <c r="B13875" s="121">
        <v>1178</v>
      </c>
      <c r="C13875" s="121">
        <v>35</v>
      </c>
      <c r="D13875" s="734">
        <v>143.51265099207919</v>
      </c>
      <c r="E13875" s="733"/>
    </row>
    <row r="13876" spans="2:5">
      <c r="B13876" s="121">
        <v>1178</v>
      </c>
      <c r="C13876" s="121">
        <v>36</v>
      </c>
      <c r="D13876" s="734">
        <v>139.65092593571714</v>
      </c>
      <c r="E13876" s="733"/>
    </row>
    <row r="13877" spans="2:5">
      <c r="B13877" s="121">
        <v>1179</v>
      </c>
      <c r="C13877" s="121">
        <v>1</v>
      </c>
      <c r="D13877" s="734">
        <v>5</v>
      </c>
      <c r="E13877" s="733"/>
    </row>
    <row r="13878" spans="2:5">
      <c r="B13878" s="121">
        <v>1179</v>
      </c>
      <c r="C13878" s="121">
        <v>2</v>
      </c>
      <c r="D13878" s="734">
        <v>96.831085023880448</v>
      </c>
      <c r="E13878" s="733"/>
    </row>
    <row r="13879" spans="2:5">
      <c r="B13879" s="121">
        <v>1179</v>
      </c>
      <c r="C13879" s="121">
        <v>3</v>
      </c>
      <c r="D13879" s="734">
        <v>116.09932813502701</v>
      </c>
      <c r="E13879" s="733"/>
    </row>
    <row r="13880" spans="2:5">
      <c r="B13880" s="121">
        <v>1179</v>
      </c>
      <c r="C13880" s="121">
        <v>4</v>
      </c>
      <c r="D13880" s="734">
        <v>136.5288413622871</v>
      </c>
      <c r="E13880" s="733"/>
    </row>
    <row r="13881" spans="2:5">
      <c r="B13881" s="121">
        <v>1179</v>
      </c>
      <c r="C13881" s="121">
        <v>5</v>
      </c>
      <c r="D13881" s="734">
        <v>146.36628428018307</v>
      </c>
      <c r="E13881" s="733"/>
    </row>
    <row r="13882" spans="2:5">
      <c r="B13882" s="121">
        <v>1179</v>
      </c>
      <c r="C13882" s="121">
        <v>6</v>
      </c>
      <c r="D13882" s="734">
        <v>143.97998105542965</v>
      </c>
      <c r="E13882" s="733"/>
    </row>
    <row r="13883" spans="2:5">
      <c r="B13883" s="121">
        <v>1179</v>
      </c>
      <c r="C13883" s="121">
        <v>7</v>
      </c>
      <c r="D13883" s="734">
        <v>143.95886017382395</v>
      </c>
      <c r="E13883" s="733"/>
    </row>
    <row r="13884" spans="2:5">
      <c r="B13884" s="121">
        <v>1179</v>
      </c>
      <c r="C13884" s="121">
        <v>8</v>
      </c>
      <c r="D13884" s="734">
        <v>137.26876176527279</v>
      </c>
      <c r="E13884" s="733"/>
    </row>
    <row r="13885" spans="2:5">
      <c r="B13885" s="121">
        <v>1179</v>
      </c>
      <c r="C13885" s="121">
        <v>9</v>
      </c>
      <c r="D13885" s="734">
        <v>144.75535341238088</v>
      </c>
      <c r="E13885" s="733"/>
    </row>
    <row r="13886" spans="2:5">
      <c r="B13886" s="121">
        <v>1179</v>
      </c>
      <c r="C13886" s="121">
        <v>10</v>
      </c>
      <c r="D13886" s="734">
        <v>134.97405093376821</v>
      </c>
      <c r="E13886" s="733"/>
    </row>
    <row r="13887" spans="2:5">
      <c r="B13887" s="121">
        <v>1179</v>
      </c>
      <c r="C13887" s="121">
        <v>11</v>
      </c>
      <c r="D13887" s="734">
        <v>139.29040316012586</v>
      </c>
      <c r="E13887" s="733"/>
    </row>
    <row r="13888" spans="2:5">
      <c r="B13888" s="121">
        <v>1179</v>
      </c>
      <c r="C13888" s="121">
        <v>12</v>
      </c>
      <c r="D13888" s="734">
        <v>134.3441684714447</v>
      </c>
      <c r="E13888" s="733"/>
    </row>
    <row r="13889" spans="2:5">
      <c r="B13889" s="121">
        <v>1179</v>
      </c>
      <c r="C13889" s="121">
        <v>13</v>
      </c>
      <c r="D13889" s="734">
        <v>138.97772046136538</v>
      </c>
      <c r="E13889" s="733"/>
    </row>
    <row r="13890" spans="2:5">
      <c r="B13890" s="121">
        <v>1180</v>
      </c>
      <c r="C13890" s="121">
        <v>1</v>
      </c>
      <c r="D13890" s="734">
        <v>5</v>
      </c>
      <c r="E13890" s="733"/>
    </row>
    <row r="13891" spans="2:5">
      <c r="B13891" s="121">
        <v>1180</v>
      </c>
      <c r="C13891" s="121">
        <v>2</v>
      </c>
      <c r="D13891" s="734">
        <v>100.48869126581896</v>
      </c>
      <c r="E13891" s="733"/>
    </row>
    <row r="13892" spans="2:5">
      <c r="B13892" s="121">
        <v>1180</v>
      </c>
      <c r="C13892" s="121">
        <v>3</v>
      </c>
      <c r="D13892" s="734">
        <v>116.98082847746835</v>
      </c>
      <c r="E13892" s="733"/>
    </row>
    <row r="13893" spans="2:5">
      <c r="B13893" s="121">
        <v>1180</v>
      </c>
      <c r="C13893" s="121">
        <v>4</v>
      </c>
      <c r="D13893" s="734">
        <v>137.73413950958283</v>
      </c>
      <c r="E13893" s="733"/>
    </row>
    <row r="13894" spans="2:5">
      <c r="B13894" s="121">
        <v>1181</v>
      </c>
      <c r="C13894" s="121">
        <v>1</v>
      </c>
      <c r="D13894" s="734">
        <v>5</v>
      </c>
      <c r="E13894" s="733"/>
    </row>
    <row r="13895" spans="2:5">
      <c r="B13895" s="121">
        <v>1181</v>
      </c>
      <c r="C13895" s="121">
        <v>2</v>
      </c>
      <c r="D13895" s="734">
        <v>95.131860062666135</v>
      </c>
      <c r="E13895" s="733"/>
    </row>
    <row r="13896" spans="2:5">
      <c r="B13896" s="121">
        <v>1181</v>
      </c>
      <c r="C13896" s="121">
        <v>3</v>
      </c>
      <c r="D13896" s="734">
        <v>121.89870855760461</v>
      </c>
      <c r="E13896" s="733"/>
    </row>
    <row r="13897" spans="2:5">
      <c r="B13897" s="121">
        <v>1181</v>
      </c>
      <c r="C13897" s="121">
        <v>4</v>
      </c>
      <c r="D13897" s="734">
        <v>143.47753334510946</v>
      </c>
      <c r="E13897" s="733"/>
    </row>
    <row r="13898" spans="2:5">
      <c r="B13898" s="121">
        <v>1181</v>
      </c>
      <c r="C13898" s="121">
        <v>5</v>
      </c>
      <c r="D13898" s="734">
        <v>145.24520457155992</v>
      </c>
      <c r="E13898" s="733"/>
    </row>
    <row r="13899" spans="2:5">
      <c r="B13899" s="121">
        <v>1181</v>
      </c>
      <c r="C13899" s="121">
        <v>6</v>
      </c>
      <c r="D13899" s="734">
        <v>138.21208311517125</v>
      </c>
      <c r="E13899" s="733"/>
    </row>
    <row r="13900" spans="2:5">
      <c r="B13900" s="121">
        <v>1181</v>
      </c>
      <c r="C13900" s="121">
        <v>7</v>
      </c>
      <c r="D13900" s="734">
        <v>140.42610185588183</v>
      </c>
      <c r="E13900" s="733"/>
    </row>
    <row r="13901" spans="2:5">
      <c r="B13901" s="121">
        <v>1181</v>
      </c>
      <c r="C13901" s="121">
        <v>8</v>
      </c>
      <c r="D13901" s="734">
        <v>146.39957451917846</v>
      </c>
      <c r="E13901" s="733"/>
    </row>
    <row r="13902" spans="2:5">
      <c r="B13902" s="121">
        <v>1181</v>
      </c>
      <c r="C13902" s="121">
        <v>9</v>
      </c>
      <c r="D13902" s="734">
        <v>141.78583335330111</v>
      </c>
      <c r="E13902" s="733"/>
    </row>
    <row r="13903" spans="2:5">
      <c r="B13903" s="121">
        <v>1181</v>
      </c>
      <c r="C13903" s="121">
        <v>10</v>
      </c>
      <c r="D13903" s="734">
        <v>146.22641993812479</v>
      </c>
      <c r="E13903" s="733"/>
    </row>
    <row r="13904" spans="2:5">
      <c r="B13904" s="121">
        <v>1181</v>
      </c>
      <c r="C13904" s="121">
        <v>11</v>
      </c>
      <c r="D13904" s="734">
        <v>143.51966917133367</v>
      </c>
      <c r="E13904" s="733"/>
    </row>
    <row r="13905" spans="2:5">
      <c r="B13905" s="121">
        <v>1181</v>
      </c>
      <c r="C13905" s="121">
        <v>12</v>
      </c>
      <c r="D13905" s="734">
        <v>145.21745313548064</v>
      </c>
      <c r="E13905" s="733"/>
    </row>
    <row r="13906" spans="2:5">
      <c r="B13906" s="121">
        <v>1181</v>
      </c>
      <c r="C13906" s="121">
        <v>13</v>
      </c>
      <c r="D13906" s="734">
        <v>146.83486540283286</v>
      </c>
      <c r="E13906" s="733"/>
    </row>
    <row r="13907" spans="2:5">
      <c r="B13907" s="121">
        <v>1181</v>
      </c>
      <c r="C13907" s="121">
        <v>14</v>
      </c>
      <c r="D13907" s="734">
        <v>142.02073248111682</v>
      </c>
      <c r="E13907" s="733"/>
    </row>
    <row r="13908" spans="2:5">
      <c r="B13908" s="121">
        <v>1181</v>
      </c>
      <c r="C13908" s="121">
        <v>15</v>
      </c>
      <c r="D13908" s="734">
        <v>143.29000550772764</v>
      </c>
      <c r="E13908" s="733"/>
    </row>
    <row r="13909" spans="2:5">
      <c r="B13909" s="121">
        <v>1181</v>
      </c>
      <c r="C13909" s="121">
        <v>16</v>
      </c>
      <c r="D13909" s="734">
        <v>137.70559704333704</v>
      </c>
      <c r="E13909" s="733"/>
    </row>
    <row r="13910" spans="2:5">
      <c r="B13910" s="121">
        <v>1181</v>
      </c>
      <c r="C13910" s="121">
        <v>17</v>
      </c>
      <c r="D13910" s="734">
        <v>141.86376704767534</v>
      </c>
      <c r="E13910" s="733"/>
    </row>
    <row r="13911" spans="2:5">
      <c r="B13911" s="121">
        <v>1181</v>
      </c>
      <c r="C13911" s="121">
        <v>18</v>
      </c>
      <c r="D13911" s="734">
        <v>134.70297866005933</v>
      </c>
      <c r="E13911" s="733"/>
    </row>
    <row r="13912" spans="2:5">
      <c r="B13912" s="121">
        <v>1181</v>
      </c>
      <c r="C13912" s="121">
        <v>19</v>
      </c>
      <c r="D13912" s="734">
        <v>146.01721971347715</v>
      </c>
      <c r="E13912" s="733"/>
    </row>
    <row r="13913" spans="2:5">
      <c r="B13913" s="121">
        <v>1181</v>
      </c>
      <c r="C13913" s="121">
        <v>20</v>
      </c>
      <c r="D13913" s="734">
        <v>139.37372353828937</v>
      </c>
      <c r="E13913" s="733"/>
    </row>
    <row r="13914" spans="2:5">
      <c r="B13914" s="121">
        <v>1181</v>
      </c>
      <c r="C13914" s="121">
        <v>21</v>
      </c>
      <c r="D13914" s="734">
        <v>143.43347656154992</v>
      </c>
      <c r="E13914" s="733"/>
    </row>
    <row r="13915" spans="2:5">
      <c r="B13915" s="121">
        <v>1181</v>
      </c>
      <c r="C13915" s="121">
        <v>22</v>
      </c>
      <c r="D13915" s="734">
        <v>144.48963251191952</v>
      </c>
      <c r="E13915" s="733"/>
    </row>
    <row r="13916" spans="2:5">
      <c r="B13916" s="121">
        <v>1181</v>
      </c>
      <c r="C13916" s="121">
        <v>23</v>
      </c>
      <c r="D13916" s="734">
        <v>138.74315971602408</v>
      </c>
      <c r="E13916" s="733"/>
    </row>
    <row r="13917" spans="2:5">
      <c r="B13917" s="121">
        <v>1181</v>
      </c>
      <c r="C13917" s="121">
        <v>24</v>
      </c>
      <c r="D13917" s="734">
        <v>143.80072227931905</v>
      </c>
      <c r="E13917" s="733"/>
    </row>
    <row r="13918" spans="2:5">
      <c r="B13918" s="121">
        <v>1181</v>
      </c>
      <c r="C13918" s="121">
        <v>25</v>
      </c>
      <c r="D13918" s="734">
        <v>138.54122405441129</v>
      </c>
      <c r="E13918" s="733"/>
    </row>
    <row r="13919" spans="2:5">
      <c r="B13919" s="121">
        <v>1181</v>
      </c>
      <c r="C13919" s="121">
        <v>26</v>
      </c>
      <c r="D13919" s="734">
        <v>140.9356254721223</v>
      </c>
      <c r="E13919" s="733"/>
    </row>
    <row r="13920" spans="2:5">
      <c r="B13920" s="121">
        <v>1181</v>
      </c>
      <c r="C13920" s="121">
        <v>27</v>
      </c>
      <c r="D13920" s="734">
        <v>136.70803519506353</v>
      </c>
      <c r="E13920" s="733"/>
    </row>
    <row r="13921" spans="2:5">
      <c r="B13921" s="121">
        <v>1181</v>
      </c>
      <c r="C13921" s="121">
        <v>28</v>
      </c>
      <c r="D13921" s="734">
        <v>134.22840806997863</v>
      </c>
      <c r="E13921" s="733"/>
    </row>
    <row r="13922" spans="2:5">
      <c r="B13922" s="121">
        <v>1181</v>
      </c>
      <c r="C13922" s="121">
        <v>29</v>
      </c>
      <c r="D13922" s="734">
        <v>136.74631132470992</v>
      </c>
      <c r="E13922" s="733"/>
    </row>
    <row r="13923" spans="2:5">
      <c r="B13923" s="121">
        <v>1181</v>
      </c>
      <c r="C13923" s="121">
        <v>30</v>
      </c>
      <c r="D13923" s="734">
        <v>138.55127986343732</v>
      </c>
      <c r="E13923" s="733"/>
    </row>
    <row r="13924" spans="2:5">
      <c r="B13924" s="121">
        <v>1181</v>
      </c>
      <c r="C13924" s="121">
        <v>31</v>
      </c>
      <c r="D13924" s="734">
        <v>140.59728635408106</v>
      </c>
      <c r="E13924" s="733"/>
    </row>
    <row r="13925" spans="2:5">
      <c r="B13925" s="121">
        <v>1181</v>
      </c>
      <c r="C13925" s="121">
        <v>32</v>
      </c>
      <c r="D13925" s="734">
        <v>146.48765824880263</v>
      </c>
      <c r="E13925" s="733"/>
    </row>
    <row r="13926" spans="2:5">
      <c r="B13926" s="121">
        <v>1181</v>
      </c>
      <c r="C13926" s="121">
        <v>33</v>
      </c>
      <c r="D13926" s="734">
        <v>147.22131145553712</v>
      </c>
      <c r="E13926" s="733"/>
    </row>
    <row r="13927" spans="2:5">
      <c r="B13927" s="121">
        <v>1181</v>
      </c>
      <c r="C13927" s="121">
        <v>34</v>
      </c>
      <c r="D13927" s="734">
        <v>135.69074563715029</v>
      </c>
      <c r="E13927" s="733"/>
    </row>
    <row r="13928" spans="2:5">
      <c r="B13928" s="121">
        <v>1181</v>
      </c>
      <c r="C13928" s="121">
        <v>35</v>
      </c>
      <c r="D13928" s="734">
        <v>141.75746037002057</v>
      </c>
      <c r="E13928" s="733"/>
    </row>
    <row r="13929" spans="2:5">
      <c r="B13929" s="121">
        <v>1181</v>
      </c>
      <c r="C13929" s="121">
        <v>36</v>
      </c>
      <c r="D13929" s="734">
        <v>139.49436206321829</v>
      </c>
      <c r="E13929" s="733"/>
    </row>
    <row r="13930" spans="2:5">
      <c r="B13930" s="121">
        <v>1182</v>
      </c>
      <c r="C13930" s="121">
        <v>1</v>
      </c>
      <c r="D13930" s="734">
        <v>5</v>
      </c>
      <c r="E13930" s="733"/>
    </row>
    <row r="13931" spans="2:5">
      <c r="B13931" s="121">
        <v>1182</v>
      </c>
      <c r="C13931" s="121">
        <v>2</v>
      </c>
      <c r="D13931" s="734">
        <v>98.241680940919025</v>
      </c>
      <c r="E13931" s="733"/>
    </row>
    <row r="13932" spans="2:5">
      <c r="B13932" s="121">
        <v>1182</v>
      </c>
      <c r="C13932" s="121">
        <v>3</v>
      </c>
      <c r="D13932" s="734">
        <v>118.4386795215714</v>
      </c>
      <c r="E13932" s="733"/>
    </row>
    <row r="13933" spans="2:5">
      <c r="B13933" s="121">
        <v>1182</v>
      </c>
      <c r="C13933" s="121">
        <v>4</v>
      </c>
      <c r="D13933" s="734">
        <v>145.70915147563682</v>
      </c>
      <c r="E13933" s="733"/>
    </row>
    <row r="13934" spans="2:5">
      <c r="B13934" s="121">
        <v>1182</v>
      </c>
      <c r="C13934" s="121">
        <v>5</v>
      </c>
      <c r="D13934" s="734">
        <v>143.07452982675622</v>
      </c>
      <c r="E13934" s="733"/>
    </row>
    <row r="13935" spans="2:5">
      <c r="B13935" s="121">
        <v>1182</v>
      </c>
      <c r="C13935" s="121">
        <v>6</v>
      </c>
      <c r="D13935" s="734">
        <v>143.68285183194979</v>
      </c>
      <c r="E13935" s="733"/>
    </row>
    <row r="13936" spans="2:5">
      <c r="B13936" s="121">
        <v>1182</v>
      </c>
      <c r="C13936" s="121">
        <v>7</v>
      </c>
      <c r="D13936" s="734">
        <v>139.02577059370938</v>
      </c>
      <c r="E13936" s="733"/>
    </row>
    <row r="13937" spans="2:5">
      <c r="B13937" s="121">
        <v>1182</v>
      </c>
      <c r="C13937" s="121">
        <v>8</v>
      </c>
      <c r="D13937" s="734">
        <v>136.56086475191734</v>
      </c>
      <c r="E13937" s="733"/>
    </row>
    <row r="13938" spans="2:5">
      <c r="B13938" s="121">
        <v>1182</v>
      </c>
      <c r="C13938" s="121">
        <v>9</v>
      </c>
      <c r="D13938" s="734">
        <v>145.96471551507412</v>
      </c>
      <c r="E13938" s="733"/>
    </row>
    <row r="13939" spans="2:5">
      <c r="B13939" s="121">
        <v>1182</v>
      </c>
      <c r="C13939" s="121">
        <v>10</v>
      </c>
      <c r="D13939" s="734">
        <v>143.66633019951118</v>
      </c>
      <c r="E13939" s="733"/>
    </row>
    <row r="13940" spans="2:5">
      <c r="B13940" s="121">
        <v>1182</v>
      </c>
      <c r="C13940" s="121">
        <v>11</v>
      </c>
      <c r="D13940" s="734">
        <v>144.21318181239008</v>
      </c>
      <c r="E13940" s="733"/>
    </row>
    <row r="13941" spans="2:5">
      <c r="B13941" s="121">
        <v>1182</v>
      </c>
      <c r="C13941" s="121">
        <v>12</v>
      </c>
      <c r="D13941" s="734">
        <v>138.67944469515265</v>
      </c>
      <c r="E13941" s="733"/>
    </row>
    <row r="13942" spans="2:5">
      <c r="B13942" s="121">
        <v>1182</v>
      </c>
      <c r="C13942" s="121">
        <v>13</v>
      </c>
      <c r="D13942" s="734">
        <v>144.61730811722214</v>
      </c>
      <c r="E13942" s="733"/>
    </row>
    <row r="13943" spans="2:5">
      <c r="B13943" s="121">
        <v>1183</v>
      </c>
      <c r="C13943" s="121">
        <v>1</v>
      </c>
      <c r="D13943" s="734">
        <v>5</v>
      </c>
      <c r="E13943" s="733"/>
    </row>
    <row r="13944" spans="2:5">
      <c r="B13944" s="121">
        <v>1183</v>
      </c>
      <c r="C13944" s="121">
        <v>2</v>
      </c>
      <c r="D13944" s="734">
        <v>101.07193111120267</v>
      </c>
      <c r="E13944" s="733"/>
    </row>
    <row r="13945" spans="2:5">
      <c r="B13945" s="121">
        <v>1183</v>
      </c>
      <c r="C13945" s="121">
        <v>3</v>
      </c>
      <c r="D13945" s="734">
        <v>125.09226068587166</v>
      </c>
      <c r="E13945" s="733"/>
    </row>
    <row r="13946" spans="2:5">
      <c r="B13946" s="121">
        <v>1183</v>
      </c>
      <c r="C13946" s="121">
        <v>4</v>
      </c>
      <c r="D13946" s="734">
        <v>134.78067583833476</v>
      </c>
      <c r="E13946" s="733"/>
    </row>
    <row r="13947" spans="2:5">
      <c r="B13947" s="121">
        <v>1183</v>
      </c>
      <c r="C13947" s="121">
        <v>5</v>
      </c>
      <c r="D13947" s="734">
        <v>134.453676092309</v>
      </c>
      <c r="E13947" s="733"/>
    </row>
    <row r="13948" spans="2:5">
      <c r="B13948" s="121">
        <v>1183</v>
      </c>
      <c r="C13948" s="121">
        <v>6</v>
      </c>
      <c r="D13948" s="734">
        <v>137.64558621653549</v>
      </c>
      <c r="E13948" s="733"/>
    </row>
    <row r="13949" spans="2:5">
      <c r="B13949" s="121">
        <v>1183</v>
      </c>
      <c r="C13949" s="121">
        <v>7</v>
      </c>
      <c r="D13949" s="734">
        <v>136.73982390342587</v>
      </c>
      <c r="E13949" s="733"/>
    </row>
    <row r="13950" spans="2:5">
      <c r="B13950" s="121">
        <v>1183</v>
      </c>
      <c r="C13950" s="121">
        <v>8</v>
      </c>
      <c r="D13950" s="734">
        <v>137.7909826335783</v>
      </c>
      <c r="E13950" s="733"/>
    </row>
    <row r="13951" spans="2:5">
      <c r="B13951" s="121">
        <v>1183</v>
      </c>
      <c r="C13951" s="121">
        <v>9</v>
      </c>
      <c r="D13951" s="734">
        <v>147.05043961659021</v>
      </c>
      <c r="E13951" s="733"/>
    </row>
    <row r="13952" spans="2:5">
      <c r="B13952" s="121">
        <v>1183</v>
      </c>
      <c r="C13952" s="121">
        <v>10</v>
      </c>
      <c r="D13952" s="734">
        <v>146.49711737290579</v>
      </c>
      <c r="E13952" s="733"/>
    </row>
    <row r="13953" spans="2:5">
      <c r="B13953" s="121">
        <v>1183</v>
      </c>
      <c r="C13953" s="121">
        <v>11</v>
      </c>
      <c r="D13953" s="734">
        <v>134.82786351543024</v>
      </c>
      <c r="E13953" s="733"/>
    </row>
    <row r="13954" spans="2:5">
      <c r="B13954" s="121">
        <v>1183</v>
      </c>
      <c r="C13954" s="121">
        <v>12</v>
      </c>
      <c r="D13954" s="734">
        <v>143.7258294514096</v>
      </c>
      <c r="E13954" s="733"/>
    </row>
    <row r="13955" spans="2:5">
      <c r="B13955" s="121">
        <v>1183</v>
      </c>
      <c r="C13955" s="121">
        <v>13</v>
      </c>
      <c r="D13955" s="734">
        <v>137.35105258175005</v>
      </c>
      <c r="E13955" s="733"/>
    </row>
    <row r="13956" spans="2:5">
      <c r="B13956" s="121">
        <v>1183</v>
      </c>
      <c r="C13956" s="121">
        <v>14</v>
      </c>
      <c r="D13956" s="734">
        <v>135.99853458122928</v>
      </c>
      <c r="E13956" s="733"/>
    </row>
    <row r="13957" spans="2:5">
      <c r="B13957" s="121">
        <v>1183</v>
      </c>
      <c r="C13957" s="121">
        <v>15</v>
      </c>
      <c r="D13957" s="734">
        <v>135.4216819107848</v>
      </c>
      <c r="E13957" s="733"/>
    </row>
    <row r="13958" spans="2:5">
      <c r="B13958" s="121">
        <v>1183</v>
      </c>
      <c r="C13958" s="121">
        <v>16</v>
      </c>
      <c r="D13958" s="734">
        <v>134.78598243665328</v>
      </c>
      <c r="E13958" s="733"/>
    </row>
    <row r="13959" spans="2:5">
      <c r="B13959" s="121">
        <v>1184</v>
      </c>
      <c r="C13959" s="121">
        <v>1</v>
      </c>
      <c r="D13959" s="734">
        <v>5</v>
      </c>
      <c r="E13959" s="733"/>
    </row>
    <row r="13960" spans="2:5">
      <c r="B13960" s="121">
        <v>1184</v>
      </c>
      <c r="C13960" s="121">
        <v>2</v>
      </c>
      <c r="D13960" s="734">
        <v>95.325070698363874</v>
      </c>
      <c r="E13960" s="733"/>
    </row>
    <row r="13961" spans="2:5">
      <c r="B13961" s="121">
        <v>1184</v>
      </c>
      <c r="C13961" s="121">
        <v>3</v>
      </c>
      <c r="D13961" s="734">
        <v>120.98581911928505</v>
      </c>
      <c r="E13961" s="733"/>
    </row>
    <row r="13962" spans="2:5">
      <c r="B13962" s="121">
        <v>1184</v>
      </c>
      <c r="C13962" s="121">
        <v>4</v>
      </c>
      <c r="D13962" s="734">
        <v>145.68931835927557</v>
      </c>
      <c r="E13962" s="733"/>
    </row>
    <row r="13963" spans="2:5">
      <c r="B13963" s="121">
        <v>1184</v>
      </c>
      <c r="C13963" s="121">
        <v>5</v>
      </c>
      <c r="D13963" s="734">
        <v>141.50589531261988</v>
      </c>
      <c r="E13963" s="733"/>
    </row>
    <row r="13964" spans="2:5">
      <c r="B13964" s="121">
        <v>1184</v>
      </c>
      <c r="C13964" s="121">
        <v>6</v>
      </c>
      <c r="D13964" s="734">
        <v>138.83789766496773</v>
      </c>
      <c r="E13964" s="733"/>
    </row>
    <row r="13965" spans="2:5">
      <c r="B13965" s="121">
        <v>1184</v>
      </c>
      <c r="C13965" s="121">
        <v>7</v>
      </c>
      <c r="D13965" s="734">
        <v>136.75267951983889</v>
      </c>
      <c r="E13965" s="733"/>
    </row>
    <row r="13966" spans="2:5">
      <c r="B13966" s="121">
        <v>1184</v>
      </c>
      <c r="C13966" s="121">
        <v>8</v>
      </c>
      <c r="D13966" s="734">
        <v>142.60781409321527</v>
      </c>
      <c r="E13966" s="733"/>
    </row>
    <row r="13967" spans="2:5">
      <c r="B13967" s="121">
        <v>1184</v>
      </c>
      <c r="C13967" s="121">
        <v>9</v>
      </c>
      <c r="D13967" s="734">
        <v>146.82526734669298</v>
      </c>
      <c r="E13967" s="733"/>
    </row>
    <row r="13968" spans="2:5">
      <c r="B13968" s="121">
        <v>1184</v>
      </c>
      <c r="C13968" s="121">
        <v>10</v>
      </c>
      <c r="D13968" s="734">
        <v>142.71495759372459</v>
      </c>
      <c r="E13968" s="733"/>
    </row>
    <row r="13969" spans="2:5">
      <c r="B13969" s="121">
        <v>1184</v>
      </c>
      <c r="C13969" s="121">
        <v>11</v>
      </c>
      <c r="D13969" s="734">
        <v>143.64443218262164</v>
      </c>
      <c r="E13969" s="733"/>
    </row>
    <row r="13970" spans="2:5">
      <c r="B13970" s="121">
        <v>1184</v>
      </c>
      <c r="C13970" s="121">
        <v>12</v>
      </c>
      <c r="D13970" s="734">
        <v>143.36315021763113</v>
      </c>
      <c r="E13970" s="733"/>
    </row>
    <row r="13971" spans="2:5">
      <c r="B13971" s="121">
        <v>1184</v>
      </c>
      <c r="C13971" s="121">
        <v>13</v>
      </c>
      <c r="D13971" s="734">
        <v>140.82941333523831</v>
      </c>
      <c r="E13971" s="733"/>
    </row>
    <row r="13972" spans="2:5">
      <c r="B13972" s="121">
        <v>1184</v>
      </c>
      <c r="C13972" s="121">
        <v>14</v>
      </c>
      <c r="D13972" s="734">
        <v>142.24293323874221</v>
      </c>
      <c r="E13972" s="733"/>
    </row>
    <row r="13973" spans="2:5">
      <c r="B13973" s="121">
        <v>1184</v>
      </c>
      <c r="C13973" s="121">
        <v>15</v>
      </c>
      <c r="D13973" s="734">
        <v>145.49217855756771</v>
      </c>
      <c r="E13973" s="733"/>
    </row>
    <row r="13974" spans="2:5">
      <c r="B13974" s="121">
        <v>1184</v>
      </c>
      <c r="C13974" s="121">
        <v>16</v>
      </c>
      <c r="D13974" s="734">
        <v>135.20750078889299</v>
      </c>
      <c r="E13974" s="733"/>
    </row>
    <row r="13975" spans="2:5">
      <c r="B13975" s="121">
        <v>1184</v>
      </c>
      <c r="C13975" s="121">
        <v>17</v>
      </c>
      <c r="D13975" s="734">
        <v>142.01830878385476</v>
      </c>
      <c r="E13975" s="733"/>
    </row>
    <row r="13976" spans="2:5">
      <c r="B13976" s="121">
        <v>1184</v>
      </c>
      <c r="C13976" s="121">
        <v>18</v>
      </c>
      <c r="D13976" s="734">
        <v>138.54056557811788</v>
      </c>
      <c r="E13976" s="733"/>
    </row>
    <row r="13977" spans="2:5">
      <c r="B13977" s="121">
        <v>1184</v>
      </c>
      <c r="C13977" s="121">
        <v>19</v>
      </c>
      <c r="D13977" s="734">
        <v>138.83605824409054</v>
      </c>
      <c r="E13977" s="733"/>
    </row>
    <row r="13978" spans="2:5">
      <c r="B13978" s="121">
        <v>1184</v>
      </c>
      <c r="C13978" s="121">
        <v>20</v>
      </c>
      <c r="D13978" s="734">
        <v>143.63753630843129</v>
      </c>
      <c r="E13978" s="733"/>
    </row>
    <row r="13979" spans="2:5">
      <c r="B13979" s="121">
        <v>1184</v>
      </c>
      <c r="C13979" s="121">
        <v>21</v>
      </c>
      <c r="D13979" s="734">
        <v>142.2751937317372</v>
      </c>
      <c r="E13979" s="733"/>
    </row>
    <row r="13980" spans="2:5">
      <c r="B13980" s="121">
        <v>1184</v>
      </c>
      <c r="C13980" s="121">
        <v>22</v>
      </c>
      <c r="D13980" s="734">
        <v>142.99274829309664</v>
      </c>
      <c r="E13980" s="733"/>
    </row>
    <row r="13981" spans="2:5">
      <c r="B13981" s="121">
        <v>1184</v>
      </c>
      <c r="C13981" s="121">
        <v>23</v>
      </c>
      <c r="D13981" s="734">
        <v>140.98851970688605</v>
      </c>
      <c r="E13981" s="733"/>
    </row>
    <row r="13982" spans="2:5">
      <c r="B13982" s="121">
        <v>1184</v>
      </c>
      <c r="C13982" s="121">
        <v>24</v>
      </c>
      <c r="D13982" s="734">
        <v>142.87046927613011</v>
      </c>
      <c r="E13982" s="733"/>
    </row>
    <row r="13983" spans="2:5">
      <c r="B13983" s="121">
        <v>1184</v>
      </c>
      <c r="C13983" s="121">
        <v>25</v>
      </c>
      <c r="D13983" s="734">
        <v>142.54285727272847</v>
      </c>
      <c r="E13983" s="733"/>
    </row>
    <row r="13984" spans="2:5">
      <c r="B13984" s="121">
        <v>1185</v>
      </c>
      <c r="C13984" s="121">
        <v>1</v>
      </c>
      <c r="D13984" s="734">
        <v>5</v>
      </c>
      <c r="E13984" s="733"/>
    </row>
    <row r="13985" spans="2:5">
      <c r="B13985" s="121">
        <v>1186</v>
      </c>
      <c r="C13985" s="121">
        <v>1</v>
      </c>
      <c r="D13985" s="734">
        <v>5</v>
      </c>
      <c r="E13985" s="733"/>
    </row>
    <row r="13986" spans="2:5">
      <c r="B13986" s="121">
        <v>1186</v>
      </c>
      <c r="C13986" s="121">
        <v>2</v>
      </c>
      <c r="D13986" s="734">
        <v>96.539462621518538</v>
      </c>
      <c r="E13986" s="733"/>
    </row>
    <row r="13987" spans="2:5">
      <c r="B13987" s="121">
        <v>1186</v>
      </c>
      <c r="C13987" s="121">
        <v>3</v>
      </c>
      <c r="D13987" s="734">
        <v>119.72034548961476</v>
      </c>
      <c r="E13987" s="733"/>
    </row>
    <row r="13988" spans="2:5">
      <c r="B13988" s="121">
        <v>1186</v>
      </c>
      <c r="C13988" s="121">
        <v>4</v>
      </c>
      <c r="D13988" s="734">
        <v>143.54176427137742</v>
      </c>
      <c r="E13988" s="733"/>
    </row>
    <row r="13989" spans="2:5">
      <c r="B13989" s="121">
        <v>1186</v>
      </c>
      <c r="C13989" s="121">
        <v>5</v>
      </c>
      <c r="D13989" s="734">
        <v>136.03787868243015</v>
      </c>
      <c r="E13989" s="733"/>
    </row>
    <row r="13990" spans="2:5">
      <c r="B13990" s="121">
        <v>1187</v>
      </c>
      <c r="C13990" s="121">
        <v>1</v>
      </c>
      <c r="D13990" s="734">
        <v>5</v>
      </c>
      <c r="E13990" s="733"/>
    </row>
    <row r="13991" spans="2:5">
      <c r="B13991" s="121">
        <v>1187</v>
      </c>
      <c r="C13991" s="121">
        <v>2</v>
      </c>
      <c r="D13991" s="734">
        <v>102.5985506464683</v>
      </c>
      <c r="E13991" s="733"/>
    </row>
    <row r="13992" spans="2:5">
      <c r="B13992" s="121">
        <v>1188</v>
      </c>
      <c r="C13992" s="121">
        <v>1</v>
      </c>
      <c r="D13992" s="734">
        <v>5</v>
      </c>
      <c r="E13992" s="733"/>
    </row>
    <row r="13993" spans="2:5">
      <c r="B13993" s="121">
        <v>1189</v>
      </c>
      <c r="C13993" s="121">
        <v>1</v>
      </c>
      <c r="D13993" s="734">
        <v>5</v>
      </c>
      <c r="E13993" s="733"/>
    </row>
    <row r="13994" spans="2:5">
      <c r="B13994" s="121">
        <v>1189</v>
      </c>
      <c r="C13994" s="121">
        <v>2</v>
      </c>
      <c r="D13994" s="734">
        <v>94.05507115104885</v>
      </c>
      <c r="E13994" s="733"/>
    </row>
    <row r="13995" spans="2:5">
      <c r="B13995" s="121">
        <v>1189</v>
      </c>
      <c r="C13995" s="121">
        <v>3</v>
      </c>
      <c r="D13995" s="734">
        <v>120.96392058150364</v>
      </c>
      <c r="E13995" s="733"/>
    </row>
    <row r="13996" spans="2:5">
      <c r="B13996" s="121">
        <v>1189</v>
      </c>
      <c r="C13996" s="121">
        <v>4</v>
      </c>
      <c r="D13996" s="734">
        <v>139.25144794772191</v>
      </c>
      <c r="E13996" s="733"/>
    </row>
    <row r="13997" spans="2:5">
      <c r="B13997" s="121">
        <v>1189</v>
      </c>
      <c r="C13997" s="121">
        <v>5</v>
      </c>
      <c r="D13997" s="734">
        <v>139.80898810274599</v>
      </c>
      <c r="E13997" s="733"/>
    </row>
    <row r="13998" spans="2:5">
      <c r="B13998" s="121">
        <v>1189</v>
      </c>
      <c r="C13998" s="121">
        <v>6</v>
      </c>
      <c r="D13998" s="734">
        <v>136.73427467259236</v>
      </c>
      <c r="E13998" s="733"/>
    </row>
    <row r="13999" spans="2:5">
      <c r="B13999" s="121">
        <v>1189</v>
      </c>
      <c r="C13999" s="121">
        <v>7</v>
      </c>
      <c r="D13999" s="734">
        <v>139.71867272036525</v>
      </c>
      <c r="E13999" s="733"/>
    </row>
    <row r="14000" spans="2:5">
      <c r="B14000" s="121">
        <v>1189</v>
      </c>
      <c r="C14000" s="121">
        <v>8</v>
      </c>
      <c r="D14000" s="734">
        <v>146.6958967069352</v>
      </c>
      <c r="E14000" s="733"/>
    </row>
    <row r="14001" spans="2:5">
      <c r="B14001" s="121">
        <v>1189</v>
      </c>
      <c r="C14001" s="121">
        <v>9</v>
      </c>
      <c r="D14001" s="734">
        <v>134.69391301639345</v>
      </c>
      <c r="E14001" s="733"/>
    </row>
    <row r="14002" spans="2:5">
      <c r="B14002" s="121">
        <v>1189</v>
      </c>
      <c r="C14002" s="121">
        <v>10</v>
      </c>
      <c r="D14002" s="734">
        <v>136.49930605352338</v>
      </c>
      <c r="E14002" s="733"/>
    </row>
    <row r="14003" spans="2:5">
      <c r="B14003" s="121">
        <v>1189</v>
      </c>
      <c r="C14003" s="121">
        <v>11</v>
      </c>
      <c r="D14003" s="734">
        <v>141.83330400730705</v>
      </c>
      <c r="E14003" s="733"/>
    </row>
    <row r="14004" spans="2:5">
      <c r="B14004" s="121">
        <v>1189</v>
      </c>
      <c r="C14004" s="121">
        <v>12</v>
      </c>
      <c r="D14004" s="734">
        <v>143.71038675032511</v>
      </c>
      <c r="E14004" s="733"/>
    </row>
    <row r="14005" spans="2:5">
      <c r="B14005" s="121">
        <v>1189</v>
      </c>
      <c r="C14005" s="121">
        <v>13</v>
      </c>
      <c r="D14005" s="734">
        <v>139.54027918773164</v>
      </c>
      <c r="E14005" s="733"/>
    </row>
    <row r="14006" spans="2:5">
      <c r="B14006" s="121">
        <v>1189</v>
      </c>
      <c r="C14006" s="121">
        <v>14</v>
      </c>
      <c r="D14006" s="734">
        <v>135.43193464379362</v>
      </c>
      <c r="E14006" s="733"/>
    </row>
    <row r="14007" spans="2:5">
      <c r="B14007" s="121">
        <v>1189</v>
      </c>
      <c r="C14007" s="121">
        <v>15</v>
      </c>
      <c r="D14007" s="734">
        <v>137.9072577636816</v>
      </c>
      <c r="E14007" s="733"/>
    </row>
    <row r="14008" spans="2:5">
      <c r="B14008" s="121">
        <v>1189</v>
      </c>
      <c r="C14008" s="121">
        <v>16</v>
      </c>
      <c r="D14008" s="734">
        <v>137.31308656435365</v>
      </c>
      <c r="E14008" s="733"/>
    </row>
    <row r="14009" spans="2:5">
      <c r="B14009" s="121">
        <v>1189</v>
      </c>
      <c r="C14009" s="121">
        <v>17</v>
      </c>
      <c r="D14009" s="734">
        <v>142.96355667039072</v>
      </c>
      <c r="E14009" s="733"/>
    </row>
    <row r="14010" spans="2:5">
      <c r="B14010" s="121">
        <v>1189</v>
      </c>
      <c r="C14010" s="121">
        <v>18</v>
      </c>
      <c r="D14010" s="734">
        <v>141.96851449980429</v>
      </c>
      <c r="E14010" s="733"/>
    </row>
    <row r="14011" spans="2:5">
      <c r="B14011" s="121">
        <v>1189</v>
      </c>
      <c r="C14011" s="121">
        <v>19</v>
      </c>
      <c r="D14011" s="734">
        <v>137.89141169188059</v>
      </c>
      <c r="E14011" s="733"/>
    </row>
    <row r="14012" spans="2:5">
      <c r="B14012" s="121">
        <v>1190</v>
      </c>
      <c r="C14012" s="121">
        <v>1</v>
      </c>
      <c r="D14012" s="734">
        <v>5</v>
      </c>
      <c r="E14012" s="733"/>
    </row>
    <row r="14013" spans="2:5">
      <c r="B14013" s="121">
        <v>1191</v>
      </c>
      <c r="C14013" s="121">
        <v>1</v>
      </c>
      <c r="D14013" s="734">
        <v>5</v>
      </c>
      <c r="E14013" s="733"/>
    </row>
    <row r="14014" spans="2:5">
      <c r="B14014" s="121">
        <v>1191</v>
      </c>
      <c r="C14014" s="121">
        <v>2</v>
      </c>
      <c r="D14014" s="734">
        <v>98.528521501847194</v>
      </c>
      <c r="E14014" s="733"/>
    </row>
    <row r="14015" spans="2:5">
      <c r="B14015" s="121">
        <v>1191</v>
      </c>
      <c r="C14015" s="121">
        <v>3</v>
      </c>
      <c r="D14015" s="734">
        <v>117.68290536669781</v>
      </c>
      <c r="E14015" s="733"/>
    </row>
    <row r="14016" spans="2:5">
      <c r="B14016" s="121">
        <v>1191</v>
      </c>
      <c r="C14016" s="121">
        <v>4</v>
      </c>
      <c r="D14016" s="734">
        <v>145.70839913244029</v>
      </c>
      <c r="E14016" s="733"/>
    </row>
    <row r="14017" spans="2:5">
      <c r="B14017" s="121">
        <v>1191</v>
      </c>
      <c r="C14017" s="121">
        <v>5</v>
      </c>
      <c r="D14017" s="734">
        <v>141.01948904937001</v>
      </c>
      <c r="E14017" s="733"/>
    </row>
    <row r="14018" spans="2:5">
      <c r="B14018" s="121">
        <v>1191</v>
      </c>
      <c r="C14018" s="121">
        <v>6</v>
      </c>
      <c r="D14018" s="734">
        <v>140.63957321633353</v>
      </c>
      <c r="E14018" s="733"/>
    </row>
    <row r="14019" spans="2:5">
      <c r="B14019" s="121">
        <v>1191</v>
      </c>
      <c r="C14019" s="121">
        <v>7</v>
      </c>
      <c r="D14019" s="734">
        <v>136.80561538698237</v>
      </c>
      <c r="E14019" s="733"/>
    </row>
    <row r="14020" spans="2:5">
      <c r="B14020" s="121">
        <v>1191</v>
      </c>
      <c r="C14020" s="121">
        <v>8</v>
      </c>
      <c r="D14020" s="734">
        <v>141.69871387142123</v>
      </c>
      <c r="E14020" s="733"/>
    </row>
    <row r="14021" spans="2:5">
      <c r="B14021" s="121">
        <v>1192</v>
      </c>
      <c r="C14021" s="121">
        <v>1</v>
      </c>
      <c r="D14021" s="734">
        <v>5</v>
      </c>
      <c r="E14021" s="733"/>
    </row>
    <row r="14022" spans="2:5">
      <c r="B14022" s="121">
        <v>1192</v>
      </c>
      <c r="C14022" s="121">
        <v>2</v>
      </c>
      <c r="D14022" s="734">
        <v>97.913738985232001</v>
      </c>
      <c r="E14022" s="733"/>
    </row>
    <row r="14023" spans="2:5">
      <c r="B14023" s="121">
        <v>1192</v>
      </c>
      <c r="C14023" s="121">
        <v>3</v>
      </c>
      <c r="D14023" s="734">
        <v>123.9655814585243</v>
      </c>
      <c r="E14023" s="733"/>
    </row>
    <row r="14024" spans="2:5">
      <c r="B14024" s="121">
        <v>1192</v>
      </c>
      <c r="C14024" s="121">
        <v>4</v>
      </c>
      <c r="D14024" s="734">
        <v>141.57409755514101</v>
      </c>
      <c r="E14024" s="733"/>
    </row>
    <row r="14025" spans="2:5">
      <c r="B14025" s="121">
        <v>1192</v>
      </c>
      <c r="C14025" s="121">
        <v>5</v>
      </c>
      <c r="D14025" s="734">
        <v>135.33760864704078</v>
      </c>
      <c r="E14025" s="733"/>
    </row>
    <row r="14026" spans="2:5">
      <c r="B14026" s="121">
        <v>1192</v>
      </c>
      <c r="C14026" s="121">
        <v>6</v>
      </c>
      <c r="D14026" s="734">
        <v>137.17814639129014</v>
      </c>
      <c r="E14026" s="733"/>
    </row>
    <row r="14027" spans="2:5">
      <c r="B14027" s="121">
        <v>1192</v>
      </c>
      <c r="C14027" s="121">
        <v>7</v>
      </c>
      <c r="D14027" s="734">
        <v>135.88782925081853</v>
      </c>
      <c r="E14027" s="733"/>
    </row>
    <row r="14028" spans="2:5">
      <c r="B14028" s="121">
        <v>1192</v>
      </c>
      <c r="C14028" s="121">
        <v>8</v>
      </c>
      <c r="D14028" s="734">
        <v>138.42009611434503</v>
      </c>
      <c r="E14028" s="733"/>
    </row>
    <row r="14029" spans="2:5">
      <c r="B14029" s="121">
        <v>1192</v>
      </c>
      <c r="C14029" s="121">
        <v>9</v>
      </c>
      <c r="D14029" s="734">
        <v>145.8737836258895</v>
      </c>
      <c r="E14029" s="733"/>
    </row>
    <row r="14030" spans="2:5">
      <c r="B14030" s="121">
        <v>1192</v>
      </c>
      <c r="C14030" s="121">
        <v>10</v>
      </c>
      <c r="D14030" s="734">
        <v>142.04639930416266</v>
      </c>
      <c r="E14030" s="733"/>
    </row>
    <row r="14031" spans="2:5">
      <c r="B14031" s="121">
        <v>1192</v>
      </c>
      <c r="C14031" s="121">
        <v>11</v>
      </c>
      <c r="D14031" s="734">
        <v>139.57688511907841</v>
      </c>
      <c r="E14031" s="733"/>
    </row>
    <row r="14032" spans="2:5">
      <c r="B14032" s="121">
        <v>1192</v>
      </c>
      <c r="C14032" s="121">
        <v>12</v>
      </c>
      <c r="D14032" s="734">
        <v>147.04275620542035</v>
      </c>
      <c r="E14032" s="733"/>
    </row>
    <row r="14033" spans="2:5">
      <c r="B14033" s="121">
        <v>1192</v>
      </c>
      <c r="C14033" s="121">
        <v>13</v>
      </c>
      <c r="D14033" s="734">
        <v>138.84949636127942</v>
      </c>
      <c r="E14033" s="733"/>
    </row>
    <row r="14034" spans="2:5">
      <c r="B14034" s="121">
        <v>1192</v>
      </c>
      <c r="C14034" s="121">
        <v>14</v>
      </c>
      <c r="D14034" s="734">
        <v>140.79669670881557</v>
      </c>
      <c r="E14034" s="733"/>
    </row>
    <row r="14035" spans="2:5">
      <c r="B14035" s="121">
        <v>1192</v>
      </c>
      <c r="C14035" s="121">
        <v>15</v>
      </c>
      <c r="D14035" s="734">
        <v>136.24090315279739</v>
      </c>
      <c r="E14035" s="733"/>
    </row>
    <row r="14036" spans="2:5">
      <c r="B14036" s="121">
        <v>1192</v>
      </c>
      <c r="C14036" s="121">
        <v>16</v>
      </c>
      <c r="D14036" s="734">
        <v>134.90565825314007</v>
      </c>
      <c r="E14036" s="733"/>
    </row>
    <row r="14037" spans="2:5">
      <c r="B14037" s="121">
        <v>1192</v>
      </c>
      <c r="C14037" s="121">
        <v>17</v>
      </c>
      <c r="D14037" s="734">
        <v>139.59879584637693</v>
      </c>
      <c r="E14037" s="733"/>
    </row>
    <row r="14038" spans="2:5">
      <c r="B14038" s="121">
        <v>1192</v>
      </c>
      <c r="C14038" s="121">
        <v>18</v>
      </c>
      <c r="D14038" s="734">
        <v>145.78498649452146</v>
      </c>
      <c r="E14038" s="733"/>
    </row>
    <row r="14039" spans="2:5">
      <c r="B14039" s="121">
        <v>1192</v>
      </c>
      <c r="C14039" s="121">
        <v>19</v>
      </c>
      <c r="D14039" s="734">
        <v>139.90016490569604</v>
      </c>
      <c r="E14039" s="733"/>
    </row>
    <row r="14040" spans="2:5">
      <c r="B14040" s="121">
        <v>1192</v>
      </c>
      <c r="C14040" s="121">
        <v>20</v>
      </c>
      <c r="D14040" s="734">
        <v>142.37172293641697</v>
      </c>
      <c r="E14040" s="733"/>
    </row>
    <row r="14041" spans="2:5">
      <c r="B14041" s="121">
        <v>1193</v>
      </c>
      <c r="C14041" s="121">
        <v>1</v>
      </c>
      <c r="D14041" s="734">
        <v>5</v>
      </c>
      <c r="E14041" s="733"/>
    </row>
    <row r="14042" spans="2:5">
      <c r="B14042" s="121">
        <v>1193</v>
      </c>
      <c r="C14042" s="121">
        <v>2</v>
      </c>
      <c r="D14042" s="734">
        <v>101.01773848538657</v>
      </c>
      <c r="E14042" s="733"/>
    </row>
    <row r="14043" spans="2:5">
      <c r="B14043" s="121">
        <v>1193</v>
      </c>
      <c r="C14043" s="121">
        <v>3</v>
      </c>
      <c r="D14043" s="734">
        <v>124.81938823964862</v>
      </c>
      <c r="E14043" s="733"/>
    </row>
    <row r="14044" spans="2:5">
      <c r="B14044" s="121">
        <v>1193</v>
      </c>
      <c r="C14044" s="121">
        <v>4</v>
      </c>
      <c r="D14044" s="734">
        <v>146.73403565957852</v>
      </c>
      <c r="E14044" s="733"/>
    </row>
    <row r="14045" spans="2:5">
      <c r="B14045" s="121">
        <v>1193</v>
      </c>
      <c r="C14045" s="121">
        <v>5</v>
      </c>
      <c r="D14045" s="734">
        <v>144.45937751263614</v>
      </c>
      <c r="E14045" s="733"/>
    </row>
    <row r="14046" spans="2:5">
      <c r="B14046" s="121">
        <v>1193</v>
      </c>
      <c r="C14046" s="121">
        <v>6</v>
      </c>
      <c r="D14046" s="734">
        <v>142.4244464193381</v>
      </c>
      <c r="E14046" s="733"/>
    </row>
    <row r="14047" spans="2:5">
      <c r="B14047" s="121">
        <v>1193</v>
      </c>
      <c r="C14047" s="121">
        <v>7</v>
      </c>
      <c r="D14047" s="734">
        <v>138.7130726101685</v>
      </c>
      <c r="E14047" s="733"/>
    </row>
    <row r="14048" spans="2:5">
      <c r="B14048" s="121">
        <v>1193</v>
      </c>
      <c r="C14048" s="121">
        <v>8</v>
      </c>
      <c r="D14048" s="734">
        <v>139.19009608063902</v>
      </c>
      <c r="E14048" s="733"/>
    </row>
    <row r="14049" spans="2:5">
      <c r="B14049" s="121">
        <v>1193</v>
      </c>
      <c r="C14049" s="121">
        <v>9</v>
      </c>
      <c r="D14049" s="734">
        <v>135.00805618257286</v>
      </c>
      <c r="E14049" s="733"/>
    </row>
    <row r="14050" spans="2:5">
      <c r="B14050" s="121">
        <v>1193</v>
      </c>
      <c r="C14050" s="121">
        <v>10</v>
      </c>
      <c r="D14050" s="734">
        <v>142.04861691836516</v>
      </c>
      <c r="E14050" s="733"/>
    </row>
    <row r="14051" spans="2:5">
      <c r="B14051" s="121">
        <v>1193</v>
      </c>
      <c r="C14051" s="121">
        <v>11</v>
      </c>
      <c r="D14051" s="734">
        <v>136.57520521271647</v>
      </c>
      <c r="E14051" s="733"/>
    </row>
    <row r="14052" spans="2:5">
      <c r="B14052" s="121">
        <v>1193</v>
      </c>
      <c r="C14052" s="121">
        <v>12</v>
      </c>
      <c r="D14052" s="734">
        <v>134.41869912146328</v>
      </c>
      <c r="E14052" s="733"/>
    </row>
    <row r="14053" spans="2:5">
      <c r="B14053" s="121">
        <v>1193</v>
      </c>
      <c r="C14053" s="121">
        <v>13</v>
      </c>
      <c r="D14053" s="734">
        <v>144.25232802258887</v>
      </c>
      <c r="E14053" s="733"/>
    </row>
    <row r="14054" spans="2:5">
      <c r="B14054" s="121">
        <v>1193</v>
      </c>
      <c r="C14054" s="121">
        <v>14</v>
      </c>
      <c r="D14054" s="734">
        <v>136.76076931132798</v>
      </c>
      <c r="E14054" s="733"/>
    </row>
    <row r="14055" spans="2:5">
      <c r="B14055" s="121">
        <v>1193</v>
      </c>
      <c r="C14055" s="121">
        <v>15</v>
      </c>
      <c r="D14055" s="734">
        <v>145.49090344493084</v>
      </c>
      <c r="E14055" s="733"/>
    </row>
    <row r="14056" spans="2:5">
      <c r="B14056" s="121">
        <v>1193</v>
      </c>
      <c r="C14056" s="121">
        <v>16</v>
      </c>
      <c r="D14056" s="734">
        <v>139.04996147275915</v>
      </c>
      <c r="E14056" s="733"/>
    </row>
    <row r="14057" spans="2:5">
      <c r="B14057" s="121">
        <v>1193</v>
      </c>
      <c r="C14057" s="121">
        <v>17</v>
      </c>
      <c r="D14057" s="734">
        <v>136.75794939896574</v>
      </c>
      <c r="E14057" s="733"/>
    </row>
    <row r="14058" spans="2:5">
      <c r="B14058" s="121">
        <v>1193</v>
      </c>
      <c r="C14058" s="121">
        <v>18</v>
      </c>
      <c r="D14058" s="734">
        <v>147.0782507411451</v>
      </c>
      <c r="E14058" s="733"/>
    </row>
    <row r="14059" spans="2:5">
      <c r="B14059" s="121">
        <v>1193</v>
      </c>
      <c r="C14059" s="121">
        <v>19</v>
      </c>
      <c r="D14059" s="734">
        <v>146.59888441984938</v>
      </c>
      <c r="E14059" s="733"/>
    </row>
    <row r="14060" spans="2:5">
      <c r="B14060" s="121">
        <v>1193</v>
      </c>
      <c r="C14060" s="121">
        <v>20</v>
      </c>
      <c r="D14060" s="734">
        <v>135.93102886719402</v>
      </c>
      <c r="E14060" s="733"/>
    </row>
    <row r="14061" spans="2:5">
      <c r="B14061" s="121">
        <v>1193</v>
      </c>
      <c r="C14061" s="121">
        <v>21</v>
      </c>
      <c r="D14061" s="734">
        <v>144.27702188430686</v>
      </c>
      <c r="E14061" s="733"/>
    </row>
    <row r="14062" spans="2:5">
      <c r="B14062" s="121">
        <v>1193</v>
      </c>
      <c r="C14062" s="121">
        <v>22</v>
      </c>
      <c r="D14062" s="734">
        <v>140.99696658441019</v>
      </c>
      <c r="E14062" s="733"/>
    </row>
    <row r="14063" spans="2:5">
      <c r="B14063" s="121">
        <v>1193</v>
      </c>
      <c r="C14063" s="121">
        <v>23</v>
      </c>
      <c r="D14063" s="734">
        <v>135.8992248551717</v>
      </c>
      <c r="E14063" s="733"/>
    </row>
    <row r="14064" spans="2:5">
      <c r="B14064" s="121">
        <v>1193</v>
      </c>
      <c r="C14064" s="121">
        <v>24</v>
      </c>
      <c r="D14064" s="734">
        <v>138.71951368035525</v>
      </c>
      <c r="E14064" s="733"/>
    </row>
    <row r="14065" spans="2:5">
      <c r="B14065" s="121">
        <v>1193</v>
      </c>
      <c r="C14065" s="121">
        <v>25</v>
      </c>
      <c r="D14065" s="734">
        <v>147.07610169623368</v>
      </c>
      <c r="E14065" s="733"/>
    </row>
    <row r="14066" spans="2:5">
      <c r="B14066" s="121">
        <v>1193</v>
      </c>
      <c r="C14066" s="121">
        <v>26</v>
      </c>
      <c r="D14066" s="734">
        <v>143.69616937251354</v>
      </c>
      <c r="E14066" s="733"/>
    </row>
    <row r="14067" spans="2:5">
      <c r="B14067" s="121">
        <v>1193</v>
      </c>
      <c r="C14067" s="121">
        <v>27</v>
      </c>
      <c r="D14067" s="734">
        <v>142.76137228313917</v>
      </c>
      <c r="E14067" s="733"/>
    </row>
    <row r="14068" spans="2:5">
      <c r="B14068" s="121">
        <v>1194</v>
      </c>
      <c r="C14068" s="121">
        <v>1</v>
      </c>
      <c r="D14068" s="734">
        <v>5</v>
      </c>
      <c r="E14068" s="733"/>
    </row>
    <row r="14069" spans="2:5">
      <c r="B14069" s="121">
        <v>1195</v>
      </c>
      <c r="C14069" s="121">
        <v>1</v>
      </c>
      <c r="D14069" s="734">
        <v>5</v>
      </c>
      <c r="E14069" s="733"/>
    </row>
    <row r="14070" spans="2:5">
      <c r="B14070" s="121">
        <v>1196</v>
      </c>
      <c r="C14070" s="121">
        <v>1</v>
      </c>
      <c r="D14070" s="734">
        <v>5</v>
      </c>
      <c r="E14070" s="733"/>
    </row>
    <row r="14071" spans="2:5">
      <c r="B14071" s="121">
        <v>1196</v>
      </c>
      <c r="C14071" s="121">
        <v>2</v>
      </c>
      <c r="D14071" s="734">
        <v>99.21247076243111</v>
      </c>
      <c r="E14071" s="733"/>
    </row>
    <row r="14072" spans="2:5">
      <c r="B14072" s="121">
        <v>1196</v>
      </c>
      <c r="C14072" s="121">
        <v>3</v>
      </c>
      <c r="D14072" s="734">
        <v>120.23212631348525</v>
      </c>
      <c r="E14072" s="733"/>
    </row>
    <row r="14073" spans="2:5">
      <c r="B14073" s="121">
        <v>1196</v>
      </c>
      <c r="C14073" s="121">
        <v>4</v>
      </c>
      <c r="D14073" s="734">
        <v>143.71066718355823</v>
      </c>
      <c r="E14073" s="733"/>
    </row>
    <row r="14074" spans="2:5">
      <c r="B14074" s="121">
        <v>1196</v>
      </c>
      <c r="C14074" s="121">
        <v>5</v>
      </c>
      <c r="D14074" s="734">
        <v>144.97202203290826</v>
      </c>
      <c r="E14074" s="733"/>
    </row>
    <row r="14075" spans="2:5">
      <c r="B14075" s="121">
        <v>1196</v>
      </c>
      <c r="C14075" s="121">
        <v>6</v>
      </c>
      <c r="D14075" s="734">
        <v>146.34009470768206</v>
      </c>
      <c r="E14075" s="733"/>
    </row>
    <row r="14076" spans="2:5">
      <c r="B14076" s="121">
        <v>1196</v>
      </c>
      <c r="C14076" s="121">
        <v>7</v>
      </c>
      <c r="D14076" s="734">
        <v>143.88082608547785</v>
      </c>
      <c r="E14076" s="733"/>
    </row>
    <row r="14077" spans="2:5">
      <c r="B14077" s="121">
        <v>1196</v>
      </c>
      <c r="C14077" s="121">
        <v>8</v>
      </c>
      <c r="D14077" s="734">
        <v>143.56133741282036</v>
      </c>
      <c r="E14077" s="733"/>
    </row>
    <row r="14078" spans="2:5">
      <c r="B14078" s="121">
        <v>1196</v>
      </c>
      <c r="C14078" s="121">
        <v>9</v>
      </c>
      <c r="D14078" s="734">
        <v>142.02929066526869</v>
      </c>
      <c r="E14078" s="733"/>
    </row>
    <row r="14079" spans="2:5">
      <c r="B14079" s="121">
        <v>1196</v>
      </c>
      <c r="C14079" s="121">
        <v>10</v>
      </c>
      <c r="D14079" s="734">
        <v>142.2524072234298</v>
      </c>
      <c r="E14079" s="733"/>
    </row>
    <row r="14080" spans="2:5">
      <c r="B14080" s="121">
        <v>1197</v>
      </c>
      <c r="C14080" s="121">
        <v>1</v>
      </c>
      <c r="D14080" s="734">
        <v>5</v>
      </c>
      <c r="E14080" s="733"/>
    </row>
    <row r="14081" spans="2:5">
      <c r="B14081" s="121">
        <v>1198</v>
      </c>
      <c r="C14081" s="121">
        <v>1</v>
      </c>
      <c r="D14081" s="734">
        <v>5</v>
      </c>
      <c r="E14081" s="733"/>
    </row>
    <row r="14082" spans="2:5">
      <c r="B14082" s="121">
        <v>1198</v>
      </c>
      <c r="C14082" s="121">
        <v>2</v>
      </c>
      <c r="D14082" s="734">
        <v>101.1899768840651</v>
      </c>
      <c r="E14082" s="733"/>
    </row>
    <row r="14083" spans="2:5">
      <c r="B14083" s="121">
        <v>1198</v>
      </c>
      <c r="C14083" s="121">
        <v>3</v>
      </c>
      <c r="D14083" s="734">
        <v>118.26698097923301</v>
      </c>
      <c r="E14083" s="733"/>
    </row>
    <row r="14084" spans="2:5">
      <c r="B14084" s="121">
        <v>1198</v>
      </c>
      <c r="C14084" s="121">
        <v>4</v>
      </c>
      <c r="D14084" s="734">
        <v>139.99054699644569</v>
      </c>
      <c r="E14084" s="733"/>
    </row>
    <row r="14085" spans="2:5">
      <c r="B14085" s="121">
        <v>1198</v>
      </c>
      <c r="C14085" s="121">
        <v>5</v>
      </c>
      <c r="D14085" s="734">
        <v>147.09962859085252</v>
      </c>
      <c r="E14085" s="733"/>
    </row>
    <row r="14086" spans="2:5">
      <c r="B14086" s="121">
        <v>1198</v>
      </c>
      <c r="C14086" s="121">
        <v>6</v>
      </c>
      <c r="D14086" s="734">
        <v>146.82165517917653</v>
      </c>
      <c r="E14086" s="733"/>
    </row>
    <row r="14087" spans="2:5">
      <c r="B14087" s="121">
        <v>1198</v>
      </c>
      <c r="C14087" s="121">
        <v>7</v>
      </c>
      <c r="D14087" s="734">
        <v>145.8503399335807</v>
      </c>
      <c r="E14087" s="733"/>
    </row>
    <row r="14088" spans="2:5">
      <c r="B14088" s="121">
        <v>1198</v>
      </c>
      <c r="C14088" s="121">
        <v>8</v>
      </c>
      <c r="D14088" s="734">
        <v>144.65162084275713</v>
      </c>
      <c r="E14088" s="733"/>
    </row>
    <row r="14089" spans="2:5">
      <c r="B14089" s="121">
        <v>1198</v>
      </c>
      <c r="C14089" s="121">
        <v>9</v>
      </c>
      <c r="D14089" s="734">
        <v>145.64110207151694</v>
      </c>
      <c r="E14089" s="733"/>
    </row>
    <row r="14090" spans="2:5">
      <c r="B14090" s="121">
        <v>1198</v>
      </c>
      <c r="C14090" s="121">
        <v>10</v>
      </c>
      <c r="D14090" s="734">
        <v>135.64600888353473</v>
      </c>
      <c r="E14090" s="733"/>
    </row>
    <row r="14091" spans="2:5">
      <c r="B14091" s="121">
        <v>1198</v>
      </c>
      <c r="C14091" s="121">
        <v>11</v>
      </c>
      <c r="D14091" s="734">
        <v>145.74864728161427</v>
      </c>
      <c r="E14091" s="733"/>
    </row>
    <row r="14092" spans="2:5">
      <c r="B14092" s="121">
        <v>1198</v>
      </c>
      <c r="C14092" s="121">
        <v>12</v>
      </c>
      <c r="D14092" s="734">
        <v>146.34521318881806</v>
      </c>
      <c r="E14092" s="733"/>
    </row>
    <row r="14093" spans="2:5">
      <c r="B14093" s="121">
        <v>1198</v>
      </c>
      <c r="C14093" s="121">
        <v>13</v>
      </c>
      <c r="D14093" s="734">
        <v>142.0717371175065</v>
      </c>
      <c r="E14093" s="733"/>
    </row>
    <row r="14094" spans="2:5">
      <c r="B14094" s="121">
        <v>1198</v>
      </c>
      <c r="C14094" s="121">
        <v>14</v>
      </c>
      <c r="D14094" s="734">
        <v>141.21079233742034</v>
      </c>
      <c r="E14094" s="733"/>
    </row>
    <row r="14095" spans="2:5">
      <c r="B14095" s="121">
        <v>1198</v>
      </c>
      <c r="C14095" s="121">
        <v>15</v>
      </c>
      <c r="D14095" s="734">
        <v>139.79582245025236</v>
      </c>
      <c r="E14095" s="733"/>
    </row>
    <row r="14096" spans="2:5">
      <c r="B14096" s="121">
        <v>1198</v>
      </c>
      <c r="C14096" s="121">
        <v>16</v>
      </c>
      <c r="D14096" s="734">
        <v>139.78064845786963</v>
      </c>
      <c r="E14096" s="733"/>
    </row>
    <row r="14097" spans="2:5">
      <c r="B14097" s="121">
        <v>1198</v>
      </c>
      <c r="C14097" s="121">
        <v>17</v>
      </c>
      <c r="D14097" s="734">
        <v>135.94215275886449</v>
      </c>
      <c r="E14097" s="733"/>
    </row>
    <row r="14098" spans="2:5">
      <c r="B14098" s="121">
        <v>1198</v>
      </c>
      <c r="C14098" s="121">
        <v>18</v>
      </c>
      <c r="D14098" s="734">
        <v>135.71684543413059</v>
      </c>
      <c r="E14098" s="733"/>
    </row>
    <row r="14099" spans="2:5">
      <c r="B14099" s="121">
        <v>1198</v>
      </c>
      <c r="C14099" s="121">
        <v>19</v>
      </c>
      <c r="D14099" s="734">
        <v>139.44506933588178</v>
      </c>
      <c r="E14099" s="733"/>
    </row>
    <row r="14100" spans="2:5">
      <c r="B14100" s="121">
        <v>1198</v>
      </c>
      <c r="C14100" s="121">
        <v>20</v>
      </c>
      <c r="D14100" s="734">
        <v>134.27467264438354</v>
      </c>
      <c r="E14100" s="733"/>
    </row>
    <row r="14101" spans="2:5">
      <c r="B14101" s="121">
        <v>1198</v>
      </c>
      <c r="C14101" s="121">
        <v>21</v>
      </c>
      <c r="D14101" s="734">
        <v>137.90853035929402</v>
      </c>
      <c r="E14101" s="733"/>
    </row>
    <row r="14102" spans="2:5">
      <c r="B14102" s="121">
        <v>1198</v>
      </c>
      <c r="C14102" s="121">
        <v>22</v>
      </c>
      <c r="D14102" s="734">
        <v>141.49221526149819</v>
      </c>
      <c r="E14102" s="733"/>
    </row>
    <row r="14103" spans="2:5">
      <c r="B14103" s="121">
        <v>1198</v>
      </c>
      <c r="C14103" s="121">
        <v>23</v>
      </c>
      <c r="D14103" s="734">
        <v>139.71186037410288</v>
      </c>
      <c r="E14103" s="733"/>
    </row>
    <row r="14104" spans="2:5">
      <c r="B14104" s="121">
        <v>1198</v>
      </c>
      <c r="C14104" s="121">
        <v>24</v>
      </c>
      <c r="D14104" s="734">
        <v>141.22398148994648</v>
      </c>
      <c r="E14104" s="733"/>
    </row>
    <row r="14105" spans="2:5">
      <c r="B14105" s="121">
        <v>1198</v>
      </c>
      <c r="C14105" s="121">
        <v>25</v>
      </c>
      <c r="D14105" s="734">
        <v>135.06318338877816</v>
      </c>
      <c r="E14105" s="733"/>
    </row>
    <row r="14106" spans="2:5">
      <c r="B14106" s="121">
        <v>1198</v>
      </c>
      <c r="C14106" s="121">
        <v>26</v>
      </c>
      <c r="D14106" s="734">
        <v>139.74383868515324</v>
      </c>
      <c r="E14106" s="733"/>
    </row>
    <row r="14107" spans="2:5">
      <c r="B14107" s="121">
        <v>1198</v>
      </c>
      <c r="C14107" s="121">
        <v>27</v>
      </c>
      <c r="D14107" s="734">
        <v>136.7159212499661</v>
      </c>
      <c r="E14107" s="733"/>
    </row>
    <row r="14108" spans="2:5">
      <c r="B14108" s="121">
        <v>1198</v>
      </c>
      <c r="C14108" s="121">
        <v>28</v>
      </c>
      <c r="D14108" s="734">
        <v>140.22530882818202</v>
      </c>
      <c r="E14108" s="733"/>
    </row>
    <row r="14109" spans="2:5">
      <c r="B14109" s="121">
        <v>1198</v>
      </c>
      <c r="C14109" s="121">
        <v>29</v>
      </c>
      <c r="D14109" s="734">
        <v>136.74224108005822</v>
      </c>
      <c r="E14109" s="733"/>
    </row>
    <row r="14110" spans="2:5">
      <c r="B14110" s="121">
        <v>1198</v>
      </c>
      <c r="C14110" s="121">
        <v>30</v>
      </c>
      <c r="D14110" s="734">
        <v>139.25333363821738</v>
      </c>
      <c r="E14110" s="733"/>
    </row>
    <row r="14111" spans="2:5">
      <c r="B14111" s="121">
        <v>1198</v>
      </c>
      <c r="C14111" s="121">
        <v>31</v>
      </c>
      <c r="D14111" s="734">
        <v>140.60078284933934</v>
      </c>
      <c r="E14111" s="733"/>
    </row>
    <row r="14112" spans="2:5">
      <c r="B14112" s="121">
        <v>1198</v>
      </c>
      <c r="C14112" s="121">
        <v>32</v>
      </c>
      <c r="D14112" s="734">
        <v>136.19720394043722</v>
      </c>
      <c r="E14112" s="733"/>
    </row>
    <row r="14113" spans="2:5">
      <c r="B14113" s="121">
        <v>1198</v>
      </c>
      <c r="C14113" s="121">
        <v>33</v>
      </c>
      <c r="D14113" s="734">
        <v>138.01942137014979</v>
      </c>
      <c r="E14113" s="733"/>
    </row>
    <row r="14114" spans="2:5">
      <c r="B14114" s="121">
        <v>1198</v>
      </c>
      <c r="C14114" s="121">
        <v>34</v>
      </c>
      <c r="D14114" s="734">
        <v>140.87764277780448</v>
      </c>
      <c r="E14114" s="733"/>
    </row>
    <row r="14115" spans="2:5">
      <c r="B14115" s="121">
        <v>1198</v>
      </c>
      <c r="C14115" s="121">
        <v>35</v>
      </c>
      <c r="D14115" s="734">
        <v>140.55834158574825</v>
      </c>
      <c r="E14115" s="733"/>
    </row>
    <row r="14116" spans="2:5">
      <c r="B14116" s="121">
        <v>1198</v>
      </c>
      <c r="C14116" s="121">
        <v>36</v>
      </c>
      <c r="D14116" s="734">
        <v>133.69476625912657</v>
      </c>
      <c r="E14116" s="733"/>
    </row>
    <row r="14117" spans="2:5">
      <c r="B14117" s="121">
        <v>1199</v>
      </c>
      <c r="C14117" s="121">
        <v>1</v>
      </c>
      <c r="D14117" s="734">
        <v>5</v>
      </c>
      <c r="E14117" s="733"/>
    </row>
    <row r="14118" spans="2:5">
      <c r="B14118" s="121">
        <v>1199</v>
      </c>
      <c r="C14118" s="121">
        <v>2</v>
      </c>
      <c r="D14118" s="734">
        <v>102.19091578374271</v>
      </c>
      <c r="E14118" s="733"/>
    </row>
    <row r="14119" spans="2:5">
      <c r="B14119" s="121">
        <v>1199</v>
      </c>
      <c r="C14119" s="121">
        <v>3</v>
      </c>
      <c r="D14119" s="734">
        <v>120.71966378473849</v>
      </c>
      <c r="E14119" s="733"/>
    </row>
    <row r="14120" spans="2:5">
      <c r="B14120" s="121">
        <v>1199</v>
      </c>
      <c r="C14120" s="121">
        <v>4</v>
      </c>
      <c r="D14120" s="734">
        <v>145.68371374712933</v>
      </c>
      <c r="E14120" s="733"/>
    </row>
    <row r="14121" spans="2:5">
      <c r="B14121" s="121">
        <v>1199</v>
      </c>
      <c r="C14121" s="121">
        <v>5</v>
      </c>
      <c r="D14121" s="734">
        <v>146.03567202393765</v>
      </c>
      <c r="E14121" s="733"/>
    </row>
    <row r="14122" spans="2:5">
      <c r="B14122" s="121">
        <v>1199</v>
      </c>
      <c r="C14122" s="121">
        <v>6</v>
      </c>
      <c r="D14122" s="734">
        <v>137.22864422956516</v>
      </c>
      <c r="E14122" s="733"/>
    </row>
    <row r="14123" spans="2:5">
      <c r="B14123" s="121">
        <v>1199</v>
      </c>
      <c r="C14123" s="121">
        <v>7</v>
      </c>
      <c r="D14123" s="734">
        <v>138.02865906486949</v>
      </c>
      <c r="E14123" s="733"/>
    </row>
    <row r="14124" spans="2:5">
      <c r="B14124" s="121">
        <v>1199</v>
      </c>
      <c r="C14124" s="121">
        <v>8</v>
      </c>
      <c r="D14124" s="734">
        <v>142.433215234301</v>
      </c>
      <c r="E14124" s="733"/>
    </row>
    <row r="14125" spans="2:5">
      <c r="B14125" s="121">
        <v>1199</v>
      </c>
      <c r="C14125" s="121">
        <v>9</v>
      </c>
      <c r="D14125" s="734">
        <v>133.97004546401834</v>
      </c>
      <c r="E14125" s="733"/>
    </row>
    <row r="14126" spans="2:5">
      <c r="B14126" s="121">
        <v>1199</v>
      </c>
      <c r="C14126" s="121">
        <v>10</v>
      </c>
      <c r="D14126" s="734">
        <v>136.88989897710593</v>
      </c>
      <c r="E14126" s="733"/>
    </row>
    <row r="14127" spans="2:5">
      <c r="B14127" s="121">
        <v>1200</v>
      </c>
      <c r="C14127" s="121">
        <v>1</v>
      </c>
      <c r="D14127" s="734">
        <v>5</v>
      </c>
      <c r="E14127" s="733"/>
    </row>
    <row r="14128" spans="2:5">
      <c r="B14128" s="121">
        <v>1200</v>
      </c>
      <c r="C14128" s="121">
        <v>2</v>
      </c>
      <c r="D14128" s="734">
        <v>102.55029851136004</v>
      </c>
      <c r="E14128" s="733"/>
    </row>
    <row r="14129" spans="2:5">
      <c r="B14129" s="121">
        <v>1200</v>
      </c>
      <c r="C14129" s="121">
        <v>3</v>
      </c>
      <c r="D14129" s="734">
        <v>122.94069493539953</v>
      </c>
      <c r="E14129" s="733"/>
    </row>
    <row r="14130" spans="2:5">
      <c r="B14130" s="121">
        <v>1200</v>
      </c>
      <c r="C14130" s="121">
        <v>4</v>
      </c>
      <c r="D14130" s="734">
        <v>145.8683965437028</v>
      </c>
      <c r="E14130" s="733"/>
    </row>
    <row r="14131" spans="2:5">
      <c r="B14131" s="121">
        <v>1200</v>
      </c>
      <c r="C14131" s="121">
        <v>5</v>
      </c>
      <c r="D14131" s="734">
        <v>138.41172987322031</v>
      </c>
      <c r="E14131" s="733"/>
    </row>
    <row r="14132" spans="2:5">
      <c r="B14132" s="121">
        <v>1200</v>
      </c>
      <c r="C14132" s="121">
        <v>6</v>
      </c>
      <c r="D14132" s="734">
        <v>146.82748407301335</v>
      </c>
      <c r="E14132" s="733"/>
    </row>
    <row r="14133" spans="2:5">
      <c r="B14133" s="121">
        <v>1200</v>
      </c>
      <c r="C14133" s="121">
        <v>7</v>
      </c>
      <c r="D14133" s="734">
        <v>140.70147574374198</v>
      </c>
      <c r="E14133" s="733"/>
    </row>
    <row r="14134" spans="2:5">
      <c r="B14134" s="121">
        <v>1200</v>
      </c>
      <c r="C14134" s="121">
        <v>8</v>
      </c>
      <c r="D14134" s="734">
        <v>141.25188012562708</v>
      </c>
      <c r="E14134" s="733"/>
    </row>
    <row r="14135" spans="2:5">
      <c r="B14135" s="121">
        <v>1200</v>
      </c>
      <c r="C14135" s="121">
        <v>9</v>
      </c>
      <c r="D14135" s="734">
        <v>141.45422117756044</v>
      </c>
      <c r="E14135" s="733"/>
    </row>
    <row r="14136" spans="2:5">
      <c r="B14136" s="121">
        <v>1200</v>
      </c>
      <c r="C14136" s="121">
        <v>10</v>
      </c>
      <c r="D14136" s="734">
        <v>136.44429481923245</v>
      </c>
      <c r="E14136" s="733"/>
    </row>
    <row r="14137" spans="2:5">
      <c r="B14137" s="121">
        <v>1200</v>
      </c>
      <c r="C14137" s="121">
        <v>11</v>
      </c>
      <c r="D14137" s="734">
        <v>135.74933339533132</v>
      </c>
      <c r="E14137" s="733"/>
    </row>
    <row r="14138" spans="2:5">
      <c r="B14138" s="121">
        <v>1200</v>
      </c>
      <c r="C14138" s="121">
        <v>12</v>
      </c>
      <c r="D14138" s="734">
        <v>144.53489908176417</v>
      </c>
      <c r="E14138" s="733"/>
    </row>
    <row r="14139" spans="2:5">
      <c r="B14139" s="121">
        <v>1200</v>
      </c>
      <c r="C14139" s="121">
        <v>13</v>
      </c>
      <c r="D14139" s="734">
        <v>146.27719652769079</v>
      </c>
      <c r="E14139" s="733"/>
    </row>
    <row r="14140" spans="2:5">
      <c r="B14140" s="121">
        <v>1200</v>
      </c>
      <c r="C14140" s="121">
        <v>14</v>
      </c>
      <c r="D14140" s="734">
        <v>141.95303494832621</v>
      </c>
      <c r="E14140" s="733"/>
    </row>
    <row r="14141" spans="2:5">
      <c r="B14141" s="121">
        <v>1200</v>
      </c>
      <c r="C14141" s="121">
        <v>15</v>
      </c>
      <c r="D14141" s="734">
        <v>145.78221437926359</v>
      </c>
      <c r="E14141" s="733"/>
    </row>
    <row r="14142" spans="2:5">
      <c r="B14142" s="121">
        <v>1200</v>
      </c>
      <c r="C14142" s="121">
        <v>16</v>
      </c>
      <c r="D14142" s="734">
        <v>135.61451072043857</v>
      </c>
      <c r="E14142" s="733"/>
    </row>
    <row r="14143" spans="2:5">
      <c r="B14143" s="121">
        <v>1200</v>
      </c>
      <c r="C14143" s="121">
        <v>17</v>
      </c>
      <c r="D14143" s="734">
        <v>135.74756933184474</v>
      </c>
      <c r="E14143" s="733"/>
    </row>
    <row r="14144" spans="2:5">
      <c r="B14144" s="121">
        <v>1200</v>
      </c>
      <c r="C14144" s="121">
        <v>18</v>
      </c>
      <c r="D14144" s="734">
        <v>146.36470944680937</v>
      </c>
      <c r="E14144" s="733"/>
    </row>
    <row r="14145" spans="2:5">
      <c r="B14145" s="121">
        <v>1200</v>
      </c>
      <c r="C14145" s="121">
        <v>19</v>
      </c>
      <c r="D14145" s="734">
        <v>144.97828584925995</v>
      </c>
      <c r="E14145" s="733"/>
    </row>
    <row r="14146" spans="2:5">
      <c r="B14146" s="121">
        <v>1200</v>
      </c>
      <c r="C14146" s="121">
        <v>20</v>
      </c>
      <c r="D14146" s="734">
        <v>133.71700096415162</v>
      </c>
      <c r="E14146" s="733"/>
    </row>
    <row r="14147" spans="2:5">
      <c r="B14147" s="121">
        <v>1200</v>
      </c>
      <c r="C14147" s="121">
        <v>21</v>
      </c>
      <c r="D14147" s="734">
        <v>145.23811130334732</v>
      </c>
      <c r="E14147" s="733"/>
    </row>
    <row r="14148" spans="2:5">
      <c r="B14148" s="121">
        <v>1200</v>
      </c>
      <c r="C14148" s="121">
        <v>22</v>
      </c>
      <c r="D14148" s="734">
        <v>146.83939739247413</v>
      </c>
      <c r="E14148" s="733"/>
    </row>
    <row r="14149" spans="2:5">
      <c r="B14149" s="121">
        <v>1200</v>
      </c>
      <c r="C14149" s="121">
        <v>23</v>
      </c>
      <c r="D14149" s="734">
        <v>134.02653827400519</v>
      </c>
      <c r="E14149" s="733"/>
    </row>
    <row r="14150" spans="2:5">
      <c r="B14150" s="121">
        <v>1200</v>
      </c>
      <c r="C14150" s="121">
        <v>24</v>
      </c>
      <c r="D14150" s="734">
        <v>147.23259375840144</v>
      </c>
      <c r="E14150" s="733"/>
    </row>
    <row r="14151" spans="2:5">
      <c r="B14151" s="121">
        <v>1200</v>
      </c>
      <c r="C14151" s="121">
        <v>25</v>
      </c>
      <c r="D14151" s="734">
        <v>143.99147270023786</v>
      </c>
      <c r="E14151" s="733"/>
    </row>
    <row r="14152" spans="2:5">
      <c r="B14152" s="121">
        <v>1200</v>
      </c>
      <c r="C14152" s="121">
        <v>26</v>
      </c>
      <c r="D14152" s="734">
        <v>144.47326925474937</v>
      </c>
      <c r="E14152" s="733"/>
    </row>
    <row r="14153" spans="2:5">
      <c r="B14153" s="121">
        <v>1200</v>
      </c>
      <c r="C14153" s="121">
        <v>27</v>
      </c>
      <c r="D14153" s="734">
        <v>135.46581243966793</v>
      </c>
      <c r="E14153" s="733"/>
    </row>
    <row r="14154" spans="2:5">
      <c r="B14154" s="121">
        <v>1200</v>
      </c>
      <c r="C14154" s="121">
        <v>28</v>
      </c>
      <c r="D14154" s="734">
        <v>142.65652011265072</v>
      </c>
      <c r="E14154" s="733"/>
    </row>
    <row r="14155" spans="2:5">
      <c r="B14155" s="121">
        <v>1200</v>
      </c>
      <c r="C14155" s="121">
        <v>29</v>
      </c>
      <c r="D14155" s="734">
        <v>138.05499209840841</v>
      </c>
      <c r="E14155" s="733"/>
    </row>
    <row r="14156" spans="2:5">
      <c r="B14156" s="121">
        <v>1200</v>
      </c>
      <c r="C14156" s="121">
        <v>30</v>
      </c>
      <c r="D14156" s="734">
        <v>140.27731673430713</v>
      </c>
      <c r="E14156" s="733"/>
    </row>
    <row r="14157" spans="2:5">
      <c r="B14157" s="121">
        <v>1200</v>
      </c>
      <c r="C14157" s="121">
        <v>31</v>
      </c>
      <c r="D14157" s="734">
        <v>135.02375348210447</v>
      </c>
      <c r="E14157" s="733"/>
    </row>
    <row r="14158" spans="2:5">
      <c r="B14158" s="121">
        <v>1200</v>
      </c>
      <c r="C14158" s="121">
        <v>32</v>
      </c>
      <c r="D14158" s="734">
        <v>137.72183888633964</v>
      </c>
      <c r="E14158" s="733"/>
    </row>
    <row r="14159" spans="2:5">
      <c r="B14159" s="121">
        <v>1200</v>
      </c>
      <c r="C14159" s="121">
        <v>33</v>
      </c>
      <c r="D14159" s="734">
        <v>146.86491122923974</v>
      </c>
      <c r="E14159" s="733"/>
    </row>
    <row r="14160" spans="2:5">
      <c r="B14160" s="121">
        <v>1200</v>
      </c>
      <c r="C14160" s="121">
        <v>34</v>
      </c>
      <c r="D14160" s="734">
        <v>140.36274387488518</v>
      </c>
      <c r="E14160" s="733"/>
    </row>
    <row r="14161" spans="2:5">
      <c r="B14161" s="121">
        <v>1200</v>
      </c>
      <c r="C14161" s="121">
        <v>35</v>
      </c>
      <c r="D14161" s="734">
        <v>141.34699912809901</v>
      </c>
      <c r="E14161" s="733"/>
    </row>
    <row r="14162" spans="2:5">
      <c r="B14162" s="121">
        <v>1200</v>
      </c>
      <c r="C14162" s="121">
        <v>36</v>
      </c>
      <c r="D14162" s="734">
        <v>144.89001621838051</v>
      </c>
      <c r="E14162" s="733"/>
    </row>
    <row r="14163" spans="2:5">
      <c r="B14163" s="121">
        <v>1201</v>
      </c>
      <c r="C14163" s="121">
        <v>1</v>
      </c>
      <c r="D14163" s="734">
        <v>5</v>
      </c>
      <c r="E14163" s="733"/>
    </row>
    <row r="14164" spans="2:5">
      <c r="B14164" s="121">
        <v>1201</v>
      </c>
      <c r="C14164" s="121">
        <v>2</v>
      </c>
      <c r="D14164" s="734">
        <v>97.634696218704605</v>
      </c>
      <c r="E14164" s="733"/>
    </row>
    <row r="14165" spans="2:5">
      <c r="B14165" s="121">
        <v>1202</v>
      </c>
      <c r="C14165" s="121">
        <v>1</v>
      </c>
      <c r="D14165" s="734">
        <v>5</v>
      </c>
      <c r="E14165" s="733"/>
    </row>
    <row r="14166" spans="2:5">
      <c r="B14166" s="121">
        <v>1202</v>
      </c>
      <c r="C14166" s="121">
        <v>2</v>
      </c>
      <c r="D14166" s="734">
        <v>100.73855008583344</v>
      </c>
      <c r="E14166" s="733"/>
    </row>
    <row r="14167" spans="2:5">
      <c r="B14167" s="121">
        <v>1202</v>
      </c>
      <c r="C14167" s="121">
        <v>3</v>
      </c>
      <c r="D14167" s="734">
        <v>115.58108403186628</v>
      </c>
      <c r="E14167" s="733"/>
    </row>
    <row r="14168" spans="2:5">
      <c r="B14168" s="121">
        <v>1202</v>
      </c>
      <c r="C14168" s="121">
        <v>4</v>
      </c>
      <c r="D14168" s="734">
        <v>136.45710044460901</v>
      </c>
      <c r="E14168" s="733"/>
    </row>
    <row r="14169" spans="2:5">
      <c r="B14169" s="121">
        <v>1202</v>
      </c>
      <c r="C14169" s="121">
        <v>5</v>
      </c>
      <c r="D14169" s="734">
        <v>135.73900690533395</v>
      </c>
      <c r="E14169" s="733"/>
    </row>
    <row r="14170" spans="2:5">
      <c r="B14170" s="121">
        <v>1202</v>
      </c>
      <c r="C14170" s="121">
        <v>6</v>
      </c>
      <c r="D14170" s="734">
        <v>143.6405913411397</v>
      </c>
      <c r="E14170" s="733"/>
    </row>
    <row r="14171" spans="2:5">
      <c r="B14171" s="121">
        <v>1202</v>
      </c>
      <c r="C14171" s="121">
        <v>7</v>
      </c>
      <c r="D14171" s="734">
        <v>140.22187296505399</v>
      </c>
      <c r="E14171" s="733"/>
    </row>
    <row r="14172" spans="2:5">
      <c r="B14172" s="121">
        <v>1202</v>
      </c>
      <c r="C14172" s="121">
        <v>8</v>
      </c>
      <c r="D14172" s="734">
        <v>139.28404332227188</v>
      </c>
      <c r="E14172" s="733"/>
    </row>
    <row r="14173" spans="2:5">
      <c r="B14173" s="121">
        <v>1202</v>
      </c>
      <c r="C14173" s="121">
        <v>9</v>
      </c>
      <c r="D14173" s="734">
        <v>142.04233131414824</v>
      </c>
      <c r="E14173" s="733"/>
    </row>
    <row r="14174" spans="2:5">
      <c r="B14174" s="121">
        <v>1202</v>
      </c>
      <c r="C14174" s="121">
        <v>10</v>
      </c>
      <c r="D14174" s="734">
        <v>133.91891505874801</v>
      </c>
      <c r="E14174" s="733"/>
    </row>
    <row r="14175" spans="2:5">
      <c r="B14175" s="121">
        <v>1202</v>
      </c>
      <c r="C14175" s="121">
        <v>11</v>
      </c>
      <c r="D14175" s="734">
        <v>144.62732483444518</v>
      </c>
      <c r="E14175" s="733"/>
    </row>
    <row r="14176" spans="2:5">
      <c r="B14176" s="121">
        <v>1202</v>
      </c>
      <c r="C14176" s="121">
        <v>12</v>
      </c>
      <c r="D14176" s="734">
        <v>144.62322841206066</v>
      </c>
      <c r="E14176" s="733"/>
    </row>
    <row r="14177" spans="2:5">
      <c r="B14177" s="121">
        <v>1202</v>
      </c>
      <c r="C14177" s="121">
        <v>13</v>
      </c>
      <c r="D14177" s="734">
        <v>135.67396193004706</v>
      </c>
      <c r="E14177" s="733"/>
    </row>
    <row r="14178" spans="2:5">
      <c r="B14178" s="121">
        <v>1202</v>
      </c>
      <c r="C14178" s="121">
        <v>14</v>
      </c>
      <c r="D14178" s="734">
        <v>140.84706394389087</v>
      </c>
      <c r="E14178" s="733"/>
    </row>
    <row r="14179" spans="2:5">
      <c r="B14179" s="121">
        <v>1202</v>
      </c>
      <c r="C14179" s="121">
        <v>15</v>
      </c>
      <c r="D14179" s="734">
        <v>134.93806448923368</v>
      </c>
      <c r="E14179" s="733"/>
    </row>
    <row r="14180" spans="2:5">
      <c r="B14180" s="121">
        <v>1202</v>
      </c>
      <c r="C14180" s="121">
        <v>16</v>
      </c>
      <c r="D14180" s="734">
        <v>141.43746133439043</v>
      </c>
      <c r="E14180" s="733"/>
    </row>
    <row r="14181" spans="2:5">
      <c r="B14181" s="121">
        <v>1202</v>
      </c>
      <c r="C14181" s="121">
        <v>17</v>
      </c>
      <c r="D14181" s="734">
        <v>138.33280830081475</v>
      </c>
      <c r="E14181" s="733"/>
    </row>
    <row r="14182" spans="2:5">
      <c r="B14182" s="121">
        <v>1202</v>
      </c>
      <c r="C14182" s="121">
        <v>18</v>
      </c>
      <c r="D14182" s="734">
        <v>144.51283494385839</v>
      </c>
      <c r="E14182" s="733"/>
    </row>
    <row r="14183" spans="2:5">
      <c r="B14183" s="121">
        <v>1202</v>
      </c>
      <c r="C14183" s="121">
        <v>19</v>
      </c>
      <c r="D14183" s="734">
        <v>144.73024283562233</v>
      </c>
      <c r="E14183" s="733"/>
    </row>
    <row r="14184" spans="2:5">
      <c r="B14184" s="121">
        <v>1202</v>
      </c>
      <c r="C14184" s="121">
        <v>20</v>
      </c>
      <c r="D14184" s="734">
        <v>146.97739325932505</v>
      </c>
      <c r="E14184" s="733"/>
    </row>
    <row r="14185" spans="2:5">
      <c r="B14185" s="121">
        <v>1202</v>
      </c>
      <c r="C14185" s="121">
        <v>21</v>
      </c>
      <c r="D14185" s="734">
        <v>145.78532072196762</v>
      </c>
      <c r="E14185" s="733"/>
    </row>
    <row r="14186" spans="2:5">
      <c r="B14186" s="121">
        <v>1202</v>
      </c>
      <c r="C14186" s="121">
        <v>22</v>
      </c>
      <c r="D14186" s="734">
        <v>138.71847473146664</v>
      </c>
      <c r="E14186" s="733"/>
    </row>
    <row r="14187" spans="2:5">
      <c r="B14187" s="121">
        <v>1202</v>
      </c>
      <c r="C14187" s="121">
        <v>23</v>
      </c>
      <c r="D14187" s="734">
        <v>135.66963173375009</v>
      </c>
      <c r="E14187" s="733"/>
    </row>
    <row r="14188" spans="2:5">
      <c r="B14188" s="121">
        <v>1203</v>
      </c>
      <c r="C14188" s="121">
        <v>1</v>
      </c>
      <c r="D14188" s="734">
        <v>5</v>
      </c>
      <c r="E14188" s="733"/>
    </row>
    <row r="14189" spans="2:5">
      <c r="B14189" s="121">
        <v>1204</v>
      </c>
      <c r="C14189" s="121">
        <v>1</v>
      </c>
      <c r="D14189" s="734">
        <v>5</v>
      </c>
      <c r="E14189" s="733"/>
    </row>
    <row r="14190" spans="2:5">
      <c r="B14190" s="121">
        <v>1204</v>
      </c>
      <c r="C14190" s="121">
        <v>2</v>
      </c>
      <c r="D14190" s="734">
        <v>95.810617763307192</v>
      </c>
      <c r="E14190" s="733"/>
    </row>
    <row r="14191" spans="2:5">
      <c r="B14191" s="121">
        <v>1204</v>
      </c>
      <c r="C14191" s="121">
        <v>3</v>
      </c>
      <c r="D14191" s="734">
        <v>122.86106644427261</v>
      </c>
      <c r="E14191" s="733"/>
    </row>
    <row r="14192" spans="2:5">
      <c r="B14192" s="121">
        <v>1204</v>
      </c>
      <c r="C14192" s="121">
        <v>4</v>
      </c>
      <c r="D14192" s="734">
        <v>133.98063188688204</v>
      </c>
      <c r="E14192" s="733"/>
    </row>
    <row r="14193" spans="2:5">
      <c r="B14193" s="121">
        <v>1204</v>
      </c>
      <c r="C14193" s="121">
        <v>5</v>
      </c>
      <c r="D14193" s="734">
        <v>136.60441415274585</v>
      </c>
      <c r="E14193" s="733"/>
    </row>
    <row r="14194" spans="2:5">
      <c r="B14194" s="121">
        <v>1204</v>
      </c>
      <c r="C14194" s="121">
        <v>6</v>
      </c>
      <c r="D14194" s="734">
        <v>145.65041527638942</v>
      </c>
      <c r="E14194" s="733"/>
    </row>
    <row r="14195" spans="2:5">
      <c r="B14195" s="121">
        <v>1204</v>
      </c>
      <c r="C14195" s="121">
        <v>7</v>
      </c>
      <c r="D14195" s="734">
        <v>142.06051452477189</v>
      </c>
      <c r="E14195" s="733"/>
    </row>
    <row r="14196" spans="2:5">
      <c r="B14196" s="121">
        <v>1204</v>
      </c>
      <c r="C14196" s="121">
        <v>8</v>
      </c>
      <c r="D14196" s="734">
        <v>135.72546574135433</v>
      </c>
      <c r="E14196" s="733"/>
    </row>
    <row r="14197" spans="2:5">
      <c r="B14197" s="121">
        <v>1204</v>
      </c>
      <c r="C14197" s="121">
        <v>9</v>
      </c>
      <c r="D14197" s="734">
        <v>142.75406810124241</v>
      </c>
      <c r="E14197" s="733"/>
    </row>
    <row r="14198" spans="2:5">
      <c r="B14198" s="121">
        <v>1204</v>
      </c>
      <c r="C14198" s="121">
        <v>10</v>
      </c>
      <c r="D14198" s="734">
        <v>137.37972108485937</v>
      </c>
      <c r="E14198" s="733"/>
    </row>
    <row r="14199" spans="2:5">
      <c r="B14199" s="121">
        <v>1204</v>
      </c>
      <c r="C14199" s="121">
        <v>11</v>
      </c>
      <c r="D14199" s="734">
        <v>143.69195357854491</v>
      </c>
      <c r="E14199" s="733"/>
    </row>
    <row r="14200" spans="2:5">
      <c r="B14200" s="121">
        <v>1204</v>
      </c>
      <c r="C14200" s="121">
        <v>12</v>
      </c>
      <c r="D14200" s="734">
        <v>140.56455991596295</v>
      </c>
      <c r="E14200" s="733"/>
    </row>
    <row r="14201" spans="2:5">
      <c r="B14201" s="121">
        <v>1204</v>
      </c>
      <c r="C14201" s="121">
        <v>13</v>
      </c>
      <c r="D14201" s="734">
        <v>134.33555564799164</v>
      </c>
      <c r="E14201" s="733"/>
    </row>
    <row r="14202" spans="2:5">
      <c r="B14202" s="121">
        <v>1204</v>
      </c>
      <c r="C14202" s="121">
        <v>14</v>
      </c>
      <c r="D14202" s="734">
        <v>135.22922204372173</v>
      </c>
      <c r="E14202" s="733"/>
    </row>
    <row r="14203" spans="2:5">
      <c r="B14203" s="121">
        <v>1204</v>
      </c>
      <c r="C14203" s="121">
        <v>15</v>
      </c>
      <c r="D14203" s="734">
        <v>139.34623828940528</v>
      </c>
      <c r="E14203" s="733"/>
    </row>
    <row r="14204" spans="2:5">
      <c r="B14204" s="121">
        <v>1204</v>
      </c>
      <c r="C14204" s="121">
        <v>16</v>
      </c>
      <c r="D14204" s="734">
        <v>135.92334371691027</v>
      </c>
      <c r="E14204" s="733"/>
    </row>
    <row r="14205" spans="2:5">
      <c r="B14205" s="121">
        <v>1204</v>
      </c>
      <c r="C14205" s="121">
        <v>17</v>
      </c>
      <c r="D14205" s="734">
        <v>144.37321265983212</v>
      </c>
      <c r="E14205" s="733"/>
    </row>
    <row r="14206" spans="2:5">
      <c r="B14206" s="121">
        <v>1204</v>
      </c>
      <c r="C14206" s="121">
        <v>18</v>
      </c>
      <c r="D14206" s="734">
        <v>138.70815957817337</v>
      </c>
      <c r="E14206" s="733"/>
    </row>
    <row r="14207" spans="2:5">
      <c r="B14207" s="121">
        <v>1204</v>
      </c>
      <c r="C14207" s="121">
        <v>19</v>
      </c>
      <c r="D14207" s="734">
        <v>135.74039160917187</v>
      </c>
      <c r="E14207" s="733"/>
    </row>
    <row r="14208" spans="2:5">
      <c r="B14208" s="121">
        <v>1204</v>
      </c>
      <c r="C14208" s="121">
        <v>20</v>
      </c>
      <c r="D14208" s="734">
        <v>139.97651762066582</v>
      </c>
      <c r="E14208" s="733"/>
    </row>
    <row r="14209" spans="2:5">
      <c r="B14209" s="121">
        <v>1204</v>
      </c>
      <c r="C14209" s="121">
        <v>21</v>
      </c>
      <c r="D14209" s="734">
        <v>136.98420797697963</v>
      </c>
      <c r="E14209" s="733"/>
    </row>
    <row r="14210" spans="2:5">
      <c r="B14210" s="121">
        <v>1204</v>
      </c>
      <c r="C14210" s="121">
        <v>22</v>
      </c>
      <c r="D14210" s="734">
        <v>139.36706422408628</v>
      </c>
      <c r="E14210" s="733"/>
    </row>
    <row r="14211" spans="2:5">
      <c r="B14211" s="121">
        <v>1205</v>
      </c>
      <c r="C14211" s="121">
        <v>1</v>
      </c>
      <c r="D14211" s="734">
        <v>5</v>
      </c>
      <c r="E14211" s="733"/>
    </row>
    <row r="14212" spans="2:5">
      <c r="B14212" s="121">
        <v>1205</v>
      </c>
      <c r="C14212" s="121">
        <v>2</v>
      </c>
      <c r="D14212" s="734">
        <v>101.10618758235412</v>
      </c>
      <c r="E14212" s="733"/>
    </row>
    <row r="14213" spans="2:5">
      <c r="B14213" s="121">
        <v>1205</v>
      </c>
      <c r="C14213" s="121">
        <v>3</v>
      </c>
      <c r="D14213" s="734">
        <v>124.57161988196989</v>
      </c>
      <c r="E14213" s="733"/>
    </row>
    <row r="14214" spans="2:5">
      <c r="B14214" s="121">
        <v>1205</v>
      </c>
      <c r="C14214" s="121">
        <v>4</v>
      </c>
      <c r="D14214" s="734">
        <v>142.28924485141278</v>
      </c>
      <c r="E14214" s="733"/>
    </row>
    <row r="14215" spans="2:5">
      <c r="B14215" s="121">
        <v>1205</v>
      </c>
      <c r="C14215" s="121">
        <v>5</v>
      </c>
      <c r="D14215" s="734">
        <v>141.52608709399593</v>
      </c>
      <c r="E14215" s="733"/>
    </row>
    <row r="14216" spans="2:5">
      <c r="B14216" s="121">
        <v>1205</v>
      </c>
      <c r="C14216" s="121">
        <v>6</v>
      </c>
      <c r="D14216" s="734">
        <v>138.49658358275465</v>
      </c>
      <c r="E14216" s="733"/>
    </row>
    <row r="14217" spans="2:5">
      <c r="B14217" s="121">
        <v>1205</v>
      </c>
      <c r="C14217" s="121">
        <v>7</v>
      </c>
      <c r="D14217" s="734">
        <v>145.84352538037675</v>
      </c>
      <c r="E14217" s="733"/>
    </row>
    <row r="14218" spans="2:5">
      <c r="B14218" s="121">
        <v>1205</v>
      </c>
      <c r="C14218" s="121">
        <v>8</v>
      </c>
      <c r="D14218" s="734">
        <v>138.74838385771275</v>
      </c>
      <c r="E14218" s="733"/>
    </row>
    <row r="14219" spans="2:5">
      <c r="B14219" s="121">
        <v>1205</v>
      </c>
      <c r="C14219" s="121">
        <v>9</v>
      </c>
      <c r="D14219" s="734">
        <v>146.47044076632923</v>
      </c>
      <c r="E14219" s="733"/>
    </row>
    <row r="14220" spans="2:5">
      <c r="B14220" s="121">
        <v>1205</v>
      </c>
      <c r="C14220" s="121">
        <v>10</v>
      </c>
      <c r="D14220" s="734">
        <v>139.65852781781135</v>
      </c>
      <c r="E14220" s="733"/>
    </row>
    <row r="14221" spans="2:5">
      <c r="B14221" s="121">
        <v>1205</v>
      </c>
      <c r="C14221" s="121">
        <v>11</v>
      </c>
      <c r="D14221" s="734">
        <v>137.76873782890465</v>
      </c>
      <c r="E14221" s="733"/>
    </row>
    <row r="14222" spans="2:5">
      <c r="B14222" s="121">
        <v>1205</v>
      </c>
      <c r="C14222" s="121">
        <v>12</v>
      </c>
      <c r="D14222" s="734">
        <v>141.28295449461888</v>
      </c>
      <c r="E14222" s="733"/>
    </row>
    <row r="14223" spans="2:5">
      <c r="B14223" s="121">
        <v>1205</v>
      </c>
      <c r="C14223" s="121">
        <v>13</v>
      </c>
      <c r="D14223" s="734">
        <v>146.64876258166103</v>
      </c>
      <c r="E14223" s="733"/>
    </row>
    <row r="14224" spans="2:5">
      <c r="B14224" s="121">
        <v>1205</v>
      </c>
      <c r="C14224" s="121">
        <v>14</v>
      </c>
      <c r="D14224" s="734">
        <v>134.80813720081056</v>
      </c>
      <c r="E14224" s="733"/>
    </row>
    <row r="14225" spans="2:5">
      <c r="B14225" s="121">
        <v>1205</v>
      </c>
      <c r="C14225" s="121">
        <v>15</v>
      </c>
      <c r="D14225" s="734">
        <v>143.85935823983206</v>
      </c>
      <c r="E14225" s="733"/>
    </row>
    <row r="14226" spans="2:5">
      <c r="B14226" s="121">
        <v>1205</v>
      </c>
      <c r="C14226" s="121">
        <v>16</v>
      </c>
      <c r="D14226" s="734">
        <v>138.25897216901657</v>
      </c>
      <c r="E14226" s="733"/>
    </row>
    <row r="14227" spans="2:5">
      <c r="B14227" s="121">
        <v>1205</v>
      </c>
      <c r="C14227" s="121">
        <v>17</v>
      </c>
      <c r="D14227" s="734">
        <v>137.99161279568838</v>
      </c>
      <c r="E14227" s="733"/>
    </row>
    <row r="14228" spans="2:5">
      <c r="B14228" s="121">
        <v>1205</v>
      </c>
      <c r="C14228" s="121">
        <v>18</v>
      </c>
      <c r="D14228" s="734">
        <v>139.48873311171621</v>
      </c>
      <c r="E14228" s="733"/>
    </row>
    <row r="14229" spans="2:5">
      <c r="B14229" s="121">
        <v>1205</v>
      </c>
      <c r="C14229" s="121">
        <v>19</v>
      </c>
      <c r="D14229" s="734">
        <v>134.9772547575441</v>
      </c>
      <c r="E14229" s="733"/>
    </row>
    <row r="14230" spans="2:5">
      <c r="B14230" s="121">
        <v>1205</v>
      </c>
      <c r="C14230" s="121">
        <v>20</v>
      </c>
      <c r="D14230" s="734">
        <v>139.81002910507652</v>
      </c>
      <c r="E14230" s="733"/>
    </row>
    <row r="14231" spans="2:5">
      <c r="B14231" s="121">
        <v>1205</v>
      </c>
      <c r="C14231" s="121">
        <v>21</v>
      </c>
      <c r="D14231" s="734">
        <v>138.82922307371544</v>
      </c>
      <c r="E14231" s="733"/>
    </row>
    <row r="14232" spans="2:5">
      <c r="B14232" s="121">
        <v>1205</v>
      </c>
      <c r="C14232" s="121">
        <v>22</v>
      </c>
      <c r="D14232" s="734">
        <v>136.68718344944858</v>
      </c>
      <c r="E14232" s="733"/>
    </row>
    <row r="14233" spans="2:5">
      <c r="B14233" s="121">
        <v>1205</v>
      </c>
      <c r="C14233" s="121">
        <v>23</v>
      </c>
      <c r="D14233" s="734">
        <v>140.40398026470203</v>
      </c>
      <c r="E14233" s="733"/>
    </row>
    <row r="14234" spans="2:5">
      <c r="B14234" s="121">
        <v>1205</v>
      </c>
      <c r="C14234" s="121">
        <v>24</v>
      </c>
      <c r="D14234" s="734">
        <v>143.78853944581334</v>
      </c>
      <c r="E14234" s="733"/>
    </row>
    <row r="14235" spans="2:5">
      <c r="B14235" s="121">
        <v>1205</v>
      </c>
      <c r="C14235" s="121">
        <v>25</v>
      </c>
      <c r="D14235" s="734">
        <v>138.89640864839598</v>
      </c>
      <c r="E14235" s="733"/>
    </row>
    <row r="14236" spans="2:5">
      <c r="B14236" s="121">
        <v>1205</v>
      </c>
      <c r="C14236" s="121">
        <v>26</v>
      </c>
      <c r="D14236" s="734">
        <v>135.32860797857575</v>
      </c>
      <c r="E14236" s="733"/>
    </row>
    <row r="14237" spans="2:5">
      <c r="B14237" s="121">
        <v>1205</v>
      </c>
      <c r="C14237" s="121">
        <v>27</v>
      </c>
      <c r="D14237" s="734">
        <v>139.68654154711871</v>
      </c>
      <c r="E14237" s="733"/>
    </row>
    <row r="14238" spans="2:5">
      <c r="B14238" s="121">
        <v>1205</v>
      </c>
      <c r="C14238" s="121">
        <v>28</v>
      </c>
      <c r="D14238" s="734">
        <v>135.21521164619671</v>
      </c>
      <c r="E14238" s="733"/>
    </row>
    <row r="14239" spans="2:5">
      <c r="B14239" s="121">
        <v>1205</v>
      </c>
      <c r="C14239" s="121">
        <v>29</v>
      </c>
      <c r="D14239" s="734">
        <v>138.55328805899853</v>
      </c>
      <c r="E14239" s="733"/>
    </row>
    <row r="14240" spans="2:5">
      <c r="B14240" s="121">
        <v>1205</v>
      </c>
      <c r="C14240" s="121">
        <v>30</v>
      </c>
      <c r="D14240" s="734">
        <v>140.96177195105173</v>
      </c>
      <c r="E14240" s="733"/>
    </row>
    <row r="14241" spans="2:5">
      <c r="B14241" s="121">
        <v>1205</v>
      </c>
      <c r="C14241" s="121">
        <v>31</v>
      </c>
      <c r="D14241" s="734">
        <v>135.30345231787413</v>
      </c>
      <c r="E14241" s="733"/>
    </row>
    <row r="14242" spans="2:5">
      <c r="B14242" s="121">
        <v>1205</v>
      </c>
      <c r="C14242" s="121">
        <v>32</v>
      </c>
      <c r="D14242" s="734">
        <v>140.52208467845654</v>
      </c>
      <c r="E14242" s="733"/>
    </row>
    <row r="14243" spans="2:5">
      <c r="B14243" s="121">
        <v>1205</v>
      </c>
      <c r="C14243" s="121">
        <v>33</v>
      </c>
      <c r="D14243" s="734">
        <v>144.61324090604771</v>
      </c>
      <c r="E14243" s="733"/>
    </row>
    <row r="14244" spans="2:5">
      <c r="B14244" s="121">
        <v>1205</v>
      </c>
      <c r="C14244" s="121">
        <v>34</v>
      </c>
      <c r="D14244" s="734">
        <v>134.37264778731779</v>
      </c>
      <c r="E14244" s="733"/>
    </row>
    <row r="14245" spans="2:5">
      <c r="B14245" s="121">
        <v>1205</v>
      </c>
      <c r="C14245" s="121">
        <v>35</v>
      </c>
      <c r="D14245" s="734">
        <v>135.92633449415663</v>
      </c>
      <c r="E14245" s="733"/>
    </row>
    <row r="14246" spans="2:5">
      <c r="B14246" s="121">
        <v>1205</v>
      </c>
      <c r="C14246" s="121">
        <v>36</v>
      </c>
      <c r="D14246" s="734">
        <v>141.78141047825144</v>
      </c>
      <c r="E14246" s="733"/>
    </row>
    <row r="14247" spans="2:5">
      <c r="B14247" s="121">
        <v>1206</v>
      </c>
      <c r="C14247" s="121">
        <v>1</v>
      </c>
      <c r="D14247" s="734">
        <v>5</v>
      </c>
      <c r="E14247" s="733"/>
    </row>
    <row r="14248" spans="2:5">
      <c r="B14248" s="121">
        <v>1206</v>
      </c>
      <c r="C14248" s="121">
        <v>2</v>
      </c>
      <c r="D14248" s="734">
        <v>96.076918848857787</v>
      </c>
      <c r="E14248" s="733"/>
    </row>
    <row r="14249" spans="2:5">
      <c r="B14249" s="121">
        <v>1206</v>
      </c>
      <c r="C14249" s="121">
        <v>3</v>
      </c>
      <c r="D14249" s="734">
        <v>119.44050770853963</v>
      </c>
      <c r="E14249" s="733"/>
    </row>
    <row r="14250" spans="2:5">
      <c r="B14250" s="121">
        <v>1206</v>
      </c>
      <c r="C14250" s="121">
        <v>4</v>
      </c>
      <c r="D14250" s="734">
        <v>138.7574667702392</v>
      </c>
      <c r="E14250" s="733"/>
    </row>
    <row r="14251" spans="2:5">
      <c r="B14251" s="121">
        <v>1207</v>
      </c>
      <c r="C14251" s="121">
        <v>1</v>
      </c>
      <c r="D14251" s="734">
        <v>5</v>
      </c>
      <c r="E14251" s="733"/>
    </row>
    <row r="14252" spans="2:5">
      <c r="B14252" s="121">
        <v>1208</v>
      </c>
      <c r="C14252" s="121">
        <v>1</v>
      </c>
      <c r="D14252" s="734">
        <v>5</v>
      </c>
      <c r="E14252" s="733"/>
    </row>
    <row r="14253" spans="2:5">
      <c r="B14253" s="121">
        <v>1208</v>
      </c>
      <c r="C14253" s="121">
        <v>2</v>
      </c>
      <c r="D14253" s="734">
        <v>99.123677867429578</v>
      </c>
      <c r="E14253" s="733"/>
    </row>
    <row r="14254" spans="2:5">
      <c r="B14254" s="121">
        <v>1208</v>
      </c>
      <c r="C14254" s="121">
        <v>3</v>
      </c>
      <c r="D14254" s="734">
        <v>115.49168261475094</v>
      </c>
      <c r="E14254" s="733"/>
    </row>
    <row r="14255" spans="2:5">
      <c r="B14255" s="121">
        <v>1208</v>
      </c>
      <c r="C14255" s="121">
        <v>4</v>
      </c>
      <c r="D14255" s="734">
        <v>141.74486154638925</v>
      </c>
      <c r="E14255" s="733"/>
    </row>
    <row r="14256" spans="2:5">
      <c r="B14256" s="121">
        <v>1208</v>
      </c>
      <c r="C14256" s="121">
        <v>5</v>
      </c>
      <c r="D14256" s="734">
        <v>145.50181544107136</v>
      </c>
      <c r="E14256" s="733"/>
    </row>
    <row r="14257" spans="2:5">
      <c r="B14257" s="121">
        <v>1208</v>
      </c>
      <c r="C14257" s="121">
        <v>6</v>
      </c>
      <c r="D14257" s="734">
        <v>146.69214092882032</v>
      </c>
      <c r="E14257" s="733"/>
    </row>
    <row r="14258" spans="2:5">
      <c r="B14258" s="121">
        <v>1208</v>
      </c>
      <c r="C14258" s="121">
        <v>7</v>
      </c>
      <c r="D14258" s="734">
        <v>145.78115106976014</v>
      </c>
      <c r="E14258" s="733"/>
    </row>
    <row r="14259" spans="2:5">
      <c r="B14259" s="121">
        <v>1208</v>
      </c>
      <c r="C14259" s="121">
        <v>8</v>
      </c>
      <c r="D14259" s="734">
        <v>141.2697353552301</v>
      </c>
      <c r="E14259" s="733"/>
    </row>
    <row r="14260" spans="2:5">
      <c r="B14260" s="121">
        <v>1208</v>
      </c>
      <c r="C14260" s="121">
        <v>9</v>
      </c>
      <c r="D14260" s="734">
        <v>136.87308906352075</v>
      </c>
      <c r="E14260" s="733"/>
    </row>
    <row r="14261" spans="2:5">
      <c r="B14261" s="121">
        <v>1208</v>
      </c>
      <c r="C14261" s="121">
        <v>10</v>
      </c>
      <c r="D14261" s="734">
        <v>134.03211697208431</v>
      </c>
      <c r="E14261" s="733"/>
    </row>
    <row r="14262" spans="2:5">
      <c r="B14262" s="121">
        <v>1209</v>
      </c>
      <c r="C14262" s="121">
        <v>1</v>
      </c>
      <c r="D14262" s="734">
        <v>5</v>
      </c>
      <c r="E14262" s="733"/>
    </row>
    <row r="14263" spans="2:5">
      <c r="B14263" s="121">
        <v>1209</v>
      </c>
      <c r="C14263" s="121">
        <v>2</v>
      </c>
      <c r="D14263" s="734">
        <v>102.87251404249733</v>
      </c>
      <c r="E14263" s="733"/>
    </row>
    <row r="14264" spans="2:5">
      <c r="B14264" s="121">
        <v>1209</v>
      </c>
      <c r="C14264" s="121">
        <v>3</v>
      </c>
      <c r="D14264" s="734">
        <v>116.84718634612746</v>
      </c>
      <c r="E14264" s="733"/>
    </row>
    <row r="14265" spans="2:5">
      <c r="B14265" s="121">
        <v>1209</v>
      </c>
      <c r="C14265" s="121">
        <v>4</v>
      </c>
      <c r="D14265" s="734">
        <v>135.73237708575766</v>
      </c>
      <c r="E14265" s="733"/>
    </row>
    <row r="14266" spans="2:5">
      <c r="B14266" s="121">
        <v>1209</v>
      </c>
      <c r="C14266" s="121">
        <v>5</v>
      </c>
      <c r="D14266" s="734">
        <v>143.76311765441267</v>
      </c>
      <c r="E14266" s="733"/>
    </row>
    <row r="14267" spans="2:5">
      <c r="B14267" s="121">
        <v>1209</v>
      </c>
      <c r="C14267" s="121">
        <v>6</v>
      </c>
      <c r="D14267" s="734">
        <v>145.6881926149872</v>
      </c>
      <c r="E14267" s="733"/>
    </row>
    <row r="14268" spans="2:5">
      <c r="B14268" s="121">
        <v>1209</v>
      </c>
      <c r="C14268" s="121">
        <v>7</v>
      </c>
      <c r="D14268" s="734">
        <v>146.56867751942525</v>
      </c>
      <c r="E14268" s="733"/>
    </row>
    <row r="14269" spans="2:5">
      <c r="B14269" s="121">
        <v>1209</v>
      </c>
      <c r="C14269" s="121">
        <v>8</v>
      </c>
      <c r="D14269" s="734">
        <v>147.02410250521467</v>
      </c>
      <c r="E14269" s="733"/>
    </row>
    <row r="14270" spans="2:5">
      <c r="B14270" s="121">
        <v>1209</v>
      </c>
      <c r="C14270" s="121">
        <v>9</v>
      </c>
      <c r="D14270" s="734">
        <v>142.52826544161718</v>
      </c>
      <c r="E14270" s="733"/>
    </row>
    <row r="14271" spans="2:5">
      <c r="B14271" s="121">
        <v>1209</v>
      </c>
      <c r="C14271" s="121">
        <v>10</v>
      </c>
      <c r="D14271" s="734">
        <v>145.56515261252227</v>
      </c>
      <c r="E14271" s="733"/>
    </row>
    <row r="14272" spans="2:5">
      <c r="B14272" s="121">
        <v>1209</v>
      </c>
      <c r="C14272" s="121">
        <v>11</v>
      </c>
      <c r="D14272" s="734">
        <v>138.52871120926338</v>
      </c>
      <c r="E14272" s="733"/>
    </row>
    <row r="14273" spans="2:5">
      <c r="B14273" s="121">
        <v>1209</v>
      </c>
      <c r="C14273" s="121">
        <v>12</v>
      </c>
      <c r="D14273" s="734">
        <v>138.2002592006161</v>
      </c>
      <c r="E14273" s="733"/>
    </row>
    <row r="14274" spans="2:5">
      <c r="B14274" s="121">
        <v>1209</v>
      </c>
      <c r="C14274" s="121">
        <v>13</v>
      </c>
      <c r="D14274" s="734">
        <v>139.73983822028268</v>
      </c>
      <c r="E14274" s="733"/>
    </row>
    <row r="14275" spans="2:5">
      <c r="B14275" s="121">
        <v>1209</v>
      </c>
      <c r="C14275" s="121">
        <v>14</v>
      </c>
      <c r="D14275" s="734">
        <v>138.06330420885658</v>
      </c>
      <c r="E14275" s="733"/>
    </row>
    <row r="14276" spans="2:5">
      <c r="B14276" s="121">
        <v>1209</v>
      </c>
      <c r="C14276" s="121">
        <v>15</v>
      </c>
      <c r="D14276" s="734">
        <v>134.34505945628072</v>
      </c>
      <c r="E14276" s="733"/>
    </row>
    <row r="14277" spans="2:5">
      <c r="B14277" s="121">
        <v>1209</v>
      </c>
      <c r="C14277" s="121">
        <v>16</v>
      </c>
      <c r="D14277" s="734">
        <v>134.94396008535111</v>
      </c>
      <c r="E14277" s="733"/>
    </row>
    <row r="14278" spans="2:5">
      <c r="B14278" s="121">
        <v>1209</v>
      </c>
      <c r="C14278" s="121">
        <v>17</v>
      </c>
      <c r="D14278" s="734">
        <v>146.3661867541758</v>
      </c>
      <c r="E14278" s="733"/>
    </row>
    <row r="14279" spans="2:5">
      <c r="B14279" s="121">
        <v>1209</v>
      </c>
      <c r="C14279" s="121">
        <v>18</v>
      </c>
      <c r="D14279" s="734">
        <v>137.73740624394705</v>
      </c>
      <c r="E14279" s="733"/>
    </row>
    <row r="14280" spans="2:5">
      <c r="B14280" s="121">
        <v>1209</v>
      </c>
      <c r="C14280" s="121">
        <v>19</v>
      </c>
      <c r="D14280" s="734">
        <v>134.17449057347429</v>
      </c>
      <c r="E14280" s="733"/>
    </row>
    <row r="14281" spans="2:5">
      <c r="B14281" s="121">
        <v>1209</v>
      </c>
      <c r="C14281" s="121">
        <v>20</v>
      </c>
      <c r="D14281" s="734">
        <v>146.68657326253643</v>
      </c>
      <c r="E14281" s="733"/>
    </row>
    <row r="14282" spans="2:5">
      <c r="B14282" s="121">
        <v>1209</v>
      </c>
      <c r="C14282" s="121">
        <v>21</v>
      </c>
      <c r="D14282" s="734">
        <v>139.88718459106738</v>
      </c>
      <c r="E14282" s="733"/>
    </row>
    <row r="14283" spans="2:5">
      <c r="B14283" s="121">
        <v>1210</v>
      </c>
      <c r="C14283" s="121">
        <v>1</v>
      </c>
      <c r="D14283" s="734">
        <v>5</v>
      </c>
      <c r="E14283" s="733"/>
    </row>
    <row r="14284" spans="2:5">
      <c r="B14284" s="121">
        <v>1211</v>
      </c>
      <c r="C14284" s="121">
        <v>1</v>
      </c>
      <c r="D14284" s="734">
        <v>5</v>
      </c>
      <c r="E14284" s="733"/>
    </row>
    <row r="14285" spans="2:5">
      <c r="B14285" s="121">
        <v>1212</v>
      </c>
      <c r="C14285" s="121">
        <v>1</v>
      </c>
      <c r="D14285" s="734">
        <v>5</v>
      </c>
      <c r="E14285" s="733"/>
    </row>
    <row r="14286" spans="2:5">
      <c r="B14286" s="121">
        <v>1212</v>
      </c>
      <c r="C14286" s="121">
        <v>2</v>
      </c>
      <c r="D14286" s="734">
        <v>101.97852774598792</v>
      </c>
      <c r="E14286" s="733"/>
    </row>
    <row r="14287" spans="2:5">
      <c r="B14287" s="121">
        <v>1212</v>
      </c>
      <c r="C14287" s="121">
        <v>3</v>
      </c>
      <c r="D14287" s="734">
        <v>123.71936244695017</v>
      </c>
      <c r="E14287" s="733"/>
    </row>
    <row r="14288" spans="2:5">
      <c r="B14288" s="121">
        <v>1212</v>
      </c>
      <c r="C14288" s="121">
        <v>4</v>
      </c>
      <c r="D14288" s="734">
        <v>138.87076999910875</v>
      </c>
      <c r="E14288" s="733"/>
    </row>
    <row r="14289" spans="2:5">
      <c r="B14289" s="121">
        <v>1212</v>
      </c>
      <c r="C14289" s="121">
        <v>5</v>
      </c>
      <c r="D14289" s="734">
        <v>138.95491862822252</v>
      </c>
      <c r="E14289" s="733"/>
    </row>
    <row r="14290" spans="2:5">
      <c r="B14290" s="121">
        <v>1212</v>
      </c>
      <c r="C14290" s="121">
        <v>6</v>
      </c>
      <c r="D14290" s="734">
        <v>133.9511407264927</v>
      </c>
      <c r="E14290" s="733"/>
    </row>
    <row r="14291" spans="2:5">
      <c r="B14291" s="121">
        <v>1212</v>
      </c>
      <c r="C14291" s="121">
        <v>7</v>
      </c>
      <c r="D14291" s="734">
        <v>146.59002849622249</v>
      </c>
      <c r="E14291" s="733"/>
    </row>
    <row r="14292" spans="2:5">
      <c r="B14292" s="121">
        <v>1212</v>
      </c>
      <c r="C14292" s="121">
        <v>8</v>
      </c>
      <c r="D14292" s="734">
        <v>137.75298950298551</v>
      </c>
      <c r="E14292" s="733"/>
    </row>
    <row r="14293" spans="2:5">
      <c r="B14293" s="121">
        <v>1212</v>
      </c>
      <c r="C14293" s="121">
        <v>9</v>
      </c>
      <c r="D14293" s="734">
        <v>135.32622554923452</v>
      </c>
      <c r="E14293" s="733"/>
    </row>
    <row r="14294" spans="2:5">
      <c r="B14294" s="121">
        <v>1212</v>
      </c>
      <c r="C14294" s="121">
        <v>10</v>
      </c>
      <c r="D14294" s="734">
        <v>137.21152395984731</v>
      </c>
      <c r="E14294" s="733"/>
    </row>
    <row r="14295" spans="2:5">
      <c r="B14295" s="121">
        <v>1212</v>
      </c>
      <c r="C14295" s="121">
        <v>11</v>
      </c>
      <c r="D14295" s="734">
        <v>139.53375089628122</v>
      </c>
      <c r="E14295" s="733"/>
    </row>
    <row r="14296" spans="2:5">
      <c r="B14296" s="121">
        <v>1212</v>
      </c>
      <c r="C14296" s="121">
        <v>12</v>
      </c>
      <c r="D14296" s="734">
        <v>133.71779836457213</v>
      </c>
      <c r="E14296" s="733"/>
    </row>
    <row r="14297" spans="2:5">
      <c r="B14297" s="121">
        <v>1212</v>
      </c>
      <c r="C14297" s="121">
        <v>13</v>
      </c>
      <c r="D14297" s="734">
        <v>143.73617972184329</v>
      </c>
      <c r="E14297" s="733"/>
    </row>
    <row r="14298" spans="2:5">
      <c r="B14298" s="121">
        <v>1212</v>
      </c>
      <c r="C14298" s="121">
        <v>14</v>
      </c>
      <c r="D14298" s="734">
        <v>138.53795992563181</v>
      </c>
      <c r="E14298" s="733"/>
    </row>
    <row r="14299" spans="2:5">
      <c r="B14299" s="121">
        <v>1212</v>
      </c>
      <c r="C14299" s="121">
        <v>15</v>
      </c>
      <c r="D14299" s="734">
        <v>142.34263722565183</v>
      </c>
      <c r="E14299" s="733"/>
    </row>
    <row r="14300" spans="2:5">
      <c r="B14300" s="121">
        <v>1212</v>
      </c>
      <c r="C14300" s="121">
        <v>16</v>
      </c>
      <c r="D14300" s="734">
        <v>138.05827712617042</v>
      </c>
      <c r="E14300" s="733"/>
    </row>
    <row r="14301" spans="2:5">
      <c r="B14301" s="121">
        <v>1212</v>
      </c>
      <c r="C14301" s="121">
        <v>17</v>
      </c>
      <c r="D14301" s="734">
        <v>136.29831422404962</v>
      </c>
      <c r="E14301" s="733"/>
    </row>
    <row r="14302" spans="2:5">
      <c r="B14302" s="121">
        <v>1212</v>
      </c>
      <c r="C14302" s="121">
        <v>18</v>
      </c>
      <c r="D14302" s="734">
        <v>134.75936952750484</v>
      </c>
      <c r="E14302" s="733"/>
    </row>
    <row r="14303" spans="2:5">
      <c r="B14303" s="121">
        <v>1212</v>
      </c>
      <c r="C14303" s="121">
        <v>19</v>
      </c>
      <c r="D14303" s="734">
        <v>142.247817033025</v>
      </c>
      <c r="E14303" s="733"/>
    </row>
    <row r="14304" spans="2:5">
      <c r="B14304" s="121">
        <v>1212</v>
      </c>
      <c r="C14304" s="121">
        <v>20</v>
      </c>
      <c r="D14304" s="734">
        <v>139.55594888603051</v>
      </c>
      <c r="E14304" s="733"/>
    </row>
    <row r="14305" spans="2:5">
      <c r="B14305" s="121">
        <v>1212</v>
      </c>
      <c r="C14305" s="121">
        <v>21</v>
      </c>
      <c r="D14305" s="734">
        <v>137.21892367033425</v>
      </c>
      <c r="E14305" s="733"/>
    </row>
    <row r="14306" spans="2:5">
      <c r="B14306" s="121">
        <v>1212</v>
      </c>
      <c r="C14306" s="121">
        <v>22</v>
      </c>
      <c r="D14306" s="734">
        <v>144.33146627000303</v>
      </c>
      <c r="E14306" s="733"/>
    </row>
    <row r="14307" spans="2:5">
      <c r="B14307" s="121">
        <v>1212</v>
      </c>
      <c r="C14307" s="121">
        <v>23</v>
      </c>
      <c r="D14307" s="734">
        <v>143.8044756816924</v>
      </c>
      <c r="E14307" s="733"/>
    </row>
    <row r="14308" spans="2:5">
      <c r="B14308" s="121">
        <v>1212</v>
      </c>
      <c r="C14308" s="121">
        <v>24</v>
      </c>
      <c r="D14308" s="734">
        <v>137.95540935203553</v>
      </c>
      <c r="E14308" s="733"/>
    </row>
    <row r="14309" spans="2:5">
      <c r="B14309" s="121">
        <v>1212</v>
      </c>
      <c r="C14309" s="121">
        <v>25</v>
      </c>
      <c r="D14309" s="734">
        <v>141.45929433076765</v>
      </c>
      <c r="E14309" s="733"/>
    </row>
    <row r="14310" spans="2:5">
      <c r="B14310" s="121">
        <v>1212</v>
      </c>
      <c r="C14310" s="121">
        <v>26</v>
      </c>
      <c r="D14310" s="734">
        <v>137.30523610011971</v>
      </c>
      <c r="E14310" s="733"/>
    </row>
    <row r="14311" spans="2:5">
      <c r="B14311" s="121">
        <v>1212</v>
      </c>
      <c r="C14311" s="121">
        <v>27</v>
      </c>
      <c r="D14311" s="734">
        <v>145.93952197169875</v>
      </c>
      <c r="E14311" s="733"/>
    </row>
    <row r="14312" spans="2:5">
      <c r="B14312" s="121">
        <v>1213</v>
      </c>
      <c r="C14312" s="121">
        <v>1</v>
      </c>
      <c r="D14312" s="734">
        <v>5</v>
      </c>
      <c r="E14312" s="733"/>
    </row>
    <row r="14313" spans="2:5">
      <c r="B14313" s="121">
        <v>1213</v>
      </c>
      <c r="C14313" s="121">
        <v>2</v>
      </c>
      <c r="D14313" s="734">
        <v>102.53062819482155</v>
      </c>
      <c r="E14313" s="733"/>
    </row>
    <row r="14314" spans="2:5">
      <c r="B14314" s="121">
        <v>1214</v>
      </c>
      <c r="C14314" s="121">
        <v>1</v>
      </c>
      <c r="D14314" s="734">
        <v>5</v>
      </c>
      <c r="E14314" s="733"/>
    </row>
    <row r="14315" spans="2:5">
      <c r="B14315" s="121">
        <v>1214</v>
      </c>
      <c r="C14315" s="121">
        <v>2</v>
      </c>
      <c r="D14315" s="734">
        <v>95.6099258768146</v>
      </c>
      <c r="E14315" s="733"/>
    </row>
    <row r="14316" spans="2:5">
      <c r="B14316" s="121">
        <v>1214</v>
      </c>
      <c r="C14316" s="121">
        <v>3</v>
      </c>
      <c r="D14316" s="734">
        <v>118.83943086315925</v>
      </c>
      <c r="E14316" s="733"/>
    </row>
    <row r="14317" spans="2:5">
      <c r="B14317" s="121">
        <v>1214</v>
      </c>
      <c r="C14317" s="121">
        <v>4</v>
      </c>
      <c r="D14317" s="734">
        <v>144.92382127443224</v>
      </c>
      <c r="E14317" s="733"/>
    </row>
    <row r="14318" spans="2:5">
      <c r="B14318" s="121">
        <v>1214</v>
      </c>
      <c r="C14318" s="121">
        <v>5</v>
      </c>
      <c r="D14318" s="734">
        <v>137.6837129462705</v>
      </c>
      <c r="E14318" s="733"/>
    </row>
    <row r="14319" spans="2:5">
      <c r="B14319" s="121">
        <v>1214</v>
      </c>
      <c r="C14319" s="121">
        <v>6</v>
      </c>
      <c r="D14319" s="734">
        <v>138.43847698190436</v>
      </c>
      <c r="E14319" s="733"/>
    </row>
    <row r="14320" spans="2:5">
      <c r="B14320" s="121">
        <v>1214</v>
      </c>
      <c r="C14320" s="121">
        <v>7</v>
      </c>
      <c r="D14320" s="734">
        <v>142.35452857108262</v>
      </c>
      <c r="E14320" s="733"/>
    </row>
    <row r="14321" spans="2:5">
      <c r="B14321" s="121">
        <v>1214</v>
      </c>
      <c r="C14321" s="121">
        <v>8</v>
      </c>
      <c r="D14321" s="734">
        <v>146.87665990642975</v>
      </c>
      <c r="E14321" s="733"/>
    </row>
    <row r="14322" spans="2:5">
      <c r="B14322" s="121">
        <v>1214</v>
      </c>
      <c r="C14322" s="121">
        <v>9</v>
      </c>
      <c r="D14322" s="734">
        <v>147.22392888293746</v>
      </c>
      <c r="E14322" s="733"/>
    </row>
    <row r="14323" spans="2:5">
      <c r="B14323" s="121">
        <v>1214</v>
      </c>
      <c r="C14323" s="121">
        <v>10</v>
      </c>
      <c r="D14323" s="734">
        <v>138.68768377523207</v>
      </c>
      <c r="E14323" s="733"/>
    </row>
    <row r="14324" spans="2:5">
      <c r="B14324" s="121">
        <v>1214</v>
      </c>
      <c r="C14324" s="121">
        <v>11</v>
      </c>
      <c r="D14324" s="734">
        <v>140.22566681242313</v>
      </c>
      <c r="E14324" s="733"/>
    </row>
    <row r="14325" spans="2:5">
      <c r="B14325" s="121">
        <v>1214</v>
      </c>
      <c r="C14325" s="121">
        <v>12</v>
      </c>
      <c r="D14325" s="734">
        <v>146.00758766383078</v>
      </c>
      <c r="E14325" s="733"/>
    </row>
    <row r="14326" spans="2:5">
      <c r="B14326" s="121">
        <v>1214</v>
      </c>
      <c r="C14326" s="121">
        <v>13</v>
      </c>
      <c r="D14326" s="734">
        <v>138.0750000372858</v>
      </c>
      <c r="E14326" s="733"/>
    </row>
    <row r="14327" spans="2:5">
      <c r="B14327" s="121">
        <v>1214</v>
      </c>
      <c r="C14327" s="121">
        <v>14</v>
      </c>
      <c r="D14327" s="734">
        <v>145.72045767549884</v>
      </c>
      <c r="E14327" s="733"/>
    </row>
    <row r="14328" spans="2:5">
      <c r="B14328" s="121">
        <v>1214</v>
      </c>
      <c r="C14328" s="121">
        <v>15</v>
      </c>
      <c r="D14328" s="734">
        <v>139.53720154702714</v>
      </c>
      <c r="E14328" s="733"/>
    </row>
    <row r="14329" spans="2:5">
      <c r="B14329" s="121">
        <v>1214</v>
      </c>
      <c r="C14329" s="121">
        <v>16</v>
      </c>
      <c r="D14329" s="734">
        <v>139.6909336780864</v>
      </c>
      <c r="E14329" s="733"/>
    </row>
    <row r="14330" spans="2:5">
      <c r="B14330" s="121">
        <v>1214</v>
      </c>
      <c r="C14330" s="121">
        <v>17</v>
      </c>
      <c r="D14330" s="734">
        <v>135.48166746188207</v>
      </c>
      <c r="E14330" s="733"/>
    </row>
    <row r="14331" spans="2:5">
      <c r="B14331" s="121">
        <v>1214</v>
      </c>
      <c r="C14331" s="121">
        <v>18</v>
      </c>
      <c r="D14331" s="734">
        <v>143.48794791956857</v>
      </c>
      <c r="E14331" s="733"/>
    </row>
    <row r="14332" spans="2:5">
      <c r="B14332" s="121">
        <v>1214</v>
      </c>
      <c r="C14332" s="121">
        <v>19</v>
      </c>
      <c r="D14332" s="734">
        <v>135.00114063598213</v>
      </c>
      <c r="E14332" s="733"/>
    </row>
    <row r="14333" spans="2:5">
      <c r="B14333" s="121">
        <v>1214</v>
      </c>
      <c r="C14333" s="121">
        <v>20</v>
      </c>
      <c r="D14333" s="734">
        <v>140.82653946415383</v>
      </c>
      <c r="E14333" s="733"/>
    </row>
    <row r="14334" spans="2:5">
      <c r="B14334" s="121">
        <v>1214</v>
      </c>
      <c r="C14334" s="121">
        <v>21</v>
      </c>
      <c r="D14334" s="734">
        <v>140.90796982332731</v>
      </c>
      <c r="E14334" s="733"/>
    </row>
    <row r="14335" spans="2:5">
      <c r="B14335" s="121">
        <v>1214</v>
      </c>
      <c r="C14335" s="121">
        <v>22</v>
      </c>
      <c r="D14335" s="734">
        <v>141.49899888544121</v>
      </c>
      <c r="E14335" s="733"/>
    </row>
    <row r="14336" spans="2:5">
      <c r="B14336" s="121">
        <v>1214</v>
      </c>
      <c r="C14336" s="121">
        <v>23</v>
      </c>
      <c r="D14336" s="734">
        <v>141.68573872820045</v>
      </c>
      <c r="E14336" s="733"/>
    </row>
    <row r="14337" spans="2:5">
      <c r="B14337" s="121">
        <v>1215</v>
      </c>
      <c r="C14337" s="121">
        <v>1</v>
      </c>
      <c r="D14337" s="734">
        <v>5</v>
      </c>
      <c r="E14337" s="733"/>
    </row>
    <row r="14338" spans="2:5">
      <c r="B14338" s="121">
        <v>1215</v>
      </c>
      <c r="C14338" s="121">
        <v>2</v>
      </c>
      <c r="D14338" s="734">
        <v>97.86024596910751</v>
      </c>
      <c r="E14338" s="733"/>
    </row>
    <row r="14339" spans="2:5">
      <c r="B14339" s="121">
        <v>1216</v>
      </c>
      <c r="C14339" s="121">
        <v>1</v>
      </c>
      <c r="D14339" s="734">
        <v>5</v>
      </c>
      <c r="E14339" s="733"/>
    </row>
    <row r="14340" spans="2:5">
      <c r="B14340" s="121">
        <v>1216</v>
      </c>
      <c r="C14340" s="121">
        <v>2</v>
      </c>
      <c r="D14340" s="734">
        <v>99.974830745870321</v>
      </c>
      <c r="E14340" s="733"/>
    </row>
    <row r="14341" spans="2:5">
      <c r="B14341" s="121">
        <v>1217</v>
      </c>
      <c r="C14341" s="121">
        <v>1</v>
      </c>
      <c r="D14341" s="734">
        <v>5</v>
      </c>
      <c r="E14341" s="733"/>
    </row>
    <row r="14342" spans="2:5">
      <c r="B14342" s="121">
        <v>1218</v>
      </c>
      <c r="C14342" s="121">
        <v>1</v>
      </c>
      <c r="D14342" s="734">
        <v>5</v>
      </c>
      <c r="E14342" s="733"/>
    </row>
    <row r="14343" spans="2:5">
      <c r="B14343" s="121">
        <v>1219</v>
      </c>
      <c r="C14343" s="121">
        <v>1</v>
      </c>
      <c r="D14343" s="734">
        <v>5</v>
      </c>
      <c r="E14343" s="733"/>
    </row>
    <row r="14344" spans="2:5">
      <c r="B14344" s="121">
        <v>1219</v>
      </c>
      <c r="C14344" s="121">
        <v>2</v>
      </c>
      <c r="D14344" s="734">
        <v>103.01682045195608</v>
      </c>
      <c r="E14344" s="733"/>
    </row>
    <row r="14345" spans="2:5">
      <c r="B14345" s="121">
        <v>1219</v>
      </c>
      <c r="C14345" s="121">
        <v>3</v>
      </c>
      <c r="D14345" s="734">
        <v>119.97944387968235</v>
      </c>
      <c r="E14345" s="733"/>
    </row>
    <row r="14346" spans="2:5">
      <c r="B14346" s="121">
        <v>1219</v>
      </c>
      <c r="C14346" s="121">
        <v>4</v>
      </c>
      <c r="D14346" s="734">
        <v>144.01567518291904</v>
      </c>
      <c r="E14346" s="733"/>
    </row>
    <row r="14347" spans="2:5">
      <c r="B14347" s="121">
        <v>1219</v>
      </c>
      <c r="C14347" s="121">
        <v>5</v>
      </c>
      <c r="D14347" s="734">
        <v>134.64050946304258</v>
      </c>
      <c r="E14347" s="733"/>
    </row>
    <row r="14348" spans="2:5">
      <c r="B14348" s="121">
        <v>1219</v>
      </c>
      <c r="C14348" s="121">
        <v>6</v>
      </c>
      <c r="D14348" s="734">
        <v>138.5258846370786</v>
      </c>
      <c r="E14348" s="733"/>
    </row>
    <row r="14349" spans="2:5">
      <c r="B14349" s="121">
        <v>1219</v>
      </c>
      <c r="C14349" s="121">
        <v>7</v>
      </c>
      <c r="D14349" s="734">
        <v>141.21534567880269</v>
      </c>
      <c r="E14349" s="733"/>
    </row>
    <row r="14350" spans="2:5">
      <c r="B14350" s="121">
        <v>1220</v>
      </c>
      <c r="C14350" s="121">
        <v>1</v>
      </c>
      <c r="D14350" s="734">
        <v>5</v>
      </c>
      <c r="E14350" s="733"/>
    </row>
    <row r="14351" spans="2:5">
      <c r="B14351" s="121">
        <v>1221</v>
      </c>
      <c r="C14351" s="121">
        <v>1</v>
      </c>
      <c r="D14351" s="734">
        <v>5</v>
      </c>
      <c r="E14351" s="733"/>
    </row>
    <row r="14352" spans="2:5">
      <c r="B14352" s="121">
        <v>1222</v>
      </c>
      <c r="C14352" s="121">
        <v>1</v>
      </c>
      <c r="D14352" s="734">
        <v>5</v>
      </c>
      <c r="E14352" s="733"/>
    </row>
    <row r="14353" spans="2:5">
      <c r="B14353" s="121">
        <v>1222</v>
      </c>
      <c r="C14353" s="121">
        <v>2</v>
      </c>
      <c r="D14353" s="734">
        <v>102.33523982525216</v>
      </c>
      <c r="E14353" s="733"/>
    </row>
    <row r="14354" spans="2:5">
      <c r="B14354" s="121">
        <v>1222</v>
      </c>
      <c r="C14354" s="121">
        <v>3</v>
      </c>
      <c r="D14354" s="734">
        <v>117.05017042780378</v>
      </c>
      <c r="E14354" s="733"/>
    </row>
    <row r="14355" spans="2:5">
      <c r="B14355" s="121">
        <v>1222</v>
      </c>
      <c r="C14355" s="121">
        <v>4</v>
      </c>
      <c r="D14355" s="734">
        <v>134.68951844456251</v>
      </c>
      <c r="E14355" s="733"/>
    </row>
    <row r="14356" spans="2:5">
      <c r="B14356" s="121">
        <v>1222</v>
      </c>
      <c r="C14356" s="121">
        <v>5</v>
      </c>
      <c r="D14356" s="734">
        <v>139.56019034400762</v>
      </c>
      <c r="E14356" s="733"/>
    </row>
    <row r="14357" spans="2:5">
      <c r="B14357" s="121">
        <v>1222</v>
      </c>
      <c r="C14357" s="121">
        <v>6</v>
      </c>
      <c r="D14357" s="734">
        <v>145.54023494864623</v>
      </c>
      <c r="E14357" s="733"/>
    </row>
    <row r="14358" spans="2:5">
      <c r="B14358" s="121">
        <v>1222</v>
      </c>
      <c r="C14358" s="121">
        <v>7</v>
      </c>
      <c r="D14358" s="734">
        <v>138.61361091954811</v>
      </c>
      <c r="E14358" s="733"/>
    </row>
    <row r="14359" spans="2:5">
      <c r="B14359" s="121">
        <v>1222</v>
      </c>
      <c r="C14359" s="121">
        <v>8</v>
      </c>
      <c r="D14359" s="734">
        <v>147.02044893712531</v>
      </c>
      <c r="E14359" s="733"/>
    </row>
    <row r="14360" spans="2:5">
      <c r="B14360" s="121">
        <v>1223</v>
      </c>
      <c r="C14360" s="121">
        <v>1</v>
      </c>
      <c r="D14360" s="734">
        <v>5</v>
      </c>
      <c r="E14360" s="733"/>
    </row>
    <row r="14361" spans="2:5">
      <c r="B14361" s="121">
        <v>1223</v>
      </c>
      <c r="C14361" s="121">
        <v>2</v>
      </c>
      <c r="D14361" s="734">
        <v>97.902144171726817</v>
      </c>
      <c r="E14361" s="733"/>
    </row>
    <row r="14362" spans="2:5">
      <c r="B14362" s="121">
        <v>1223</v>
      </c>
      <c r="C14362" s="121">
        <v>3</v>
      </c>
      <c r="D14362" s="734">
        <v>115.53906822028137</v>
      </c>
      <c r="E14362" s="733"/>
    </row>
    <row r="14363" spans="2:5">
      <c r="B14363" s="121">
        <v>1223</v>
      </c>
      <c r="C14363" s="121">
        <v>4</v>
      </c>
      <c r="D14363" s="734">
        <v>145.47510899189712</v>
      </c>
      <c r="E14363" s="733"/>
    </row>
    <row r="14364" spans="2:5">
      <c r="B14364" s="121">
        <v>1223</v>
      </c>
      <c r="C14364" s="121">
        <v>5</v>
      </c>
      <c r="D14364" s="734">
        <v>144.35886087969908</v>
      </c>
      <c r="E14364" s="733"/>
    </row>
    <row r="14365" spans="2:5">
      <c r="B14365" s="121">
        <v>1223</v>
      </c>
      <c r="C14365" s="121">
        <v>6</v>
      </c>
      <c r="D14365" s="734">
        <v>135.61768749587836</v>
      </c>
      <c r="E14365" s="733"/>
    </row>
    <row r="14366" spans="2:5">
      <c r="B14366" s="121">
        <v>1223</v>
      </c>
      <c r="C14366" s="121">
        <v>7</v>
      </c>
      <c r="D14366" s="734">
        <v>142.02391833141971</v>
      </c>
      <c r="E14366" s="733"/>
    </row>
    <row r="14367" spans="2:5">
      <c r="B14367" s="121">
        <v>1223</v>
      </c>
      <c r="C14367" s="121">
        <v>8</v>
      </c>
      <c r="D14367" s="734">
        <v>136.01152498623028</v>
      </c>
      <c r="E14367" s="733"/>
    </row>
    <row r="14368" spans="2:5">
      <c r="B14368" s="121">
        <v>1223</v>
      </c>
      <c r="C14368" s="121">
        <v>9</v>
      </c>
      <c r="D14368" s="734">
        <v>139.73914102639057</v>
      </c>
      <c r="E14368" s="733"/>
    </row>
    <row r="14369" spans="2:5">
      <c r="B14369" s="121">
        <v>1223</v>
      </c>
      <c r="C14369" s="121">
        <v>10</v>
      </c>
      <c r="D14369" s="734">
        <v>135.24913942380499</v>
      </c>
      <c r="E14369" s="733"/>
    </row>
    <row r="14370" spans="2:5">
      <c r="B14370" s="121">
        <v>1223</v>
      </c>
      <c r="C14370" s="121">
        <v>11</v>
      </c>
      <c r="D14370" s="734">
        <v>144.71742224217738</v>
      </c>
      <c r="E14370" s="733"/>
    </row>
    <row r="14371" spans="2:5">
      <c r="B14371" s="121">
        <v>1223</v>
      </c>
      <c r="C14371" s="121">
        <v>12</v>
      </c>
      <c r="D14371" s="734">
        <v>140.5769976537369</v>
      </c>
      <c r="E14371" s="733"/>
    </row>
    <row r="14372" spans="2:5">
      <c r="B14372" s="121">
        <v>1223</v>
      </c>
      <c r="C14372" s="121">
        <v>13</v>
      </c>
      <c r="D14372" s="734">
        <v>142.25185269419018</v>
      </c>
      <c r="E14372" s="733"/>
    </row>
    <row r="14373" spans="2:5">
      <c r="B14373" s="121">
        <v>1223</v>
      </c>
      <c r="C14373" s="121">
        <v>14</v>
      </c>
      <c r="D14373" s="734">
        <v>135.43407921245461</v>
      </c>
      <c r="E14373" s="733"/>
    </row>
    <row r="14374" spans="2:5">
      <c r="B14374" s="121">
        <v>1223</v>
      </c>
      <c r="C14374" s="121">
        <v>15</v>
      </c>
      <c r="D14374" s="734">
        <v>133.97267171080702</v>
      </c>
      <c r="E14374" s="733"/>
    </row>
    <row r="14375" spans="2:5">
      <c r="B14375" s="121">
        <v>1223</v>
      </c>
      <c r="C14375" s="121">
        <v>16</v>
      </c>
      <c r="D14375" s="734">
        <v>138.60417900048913</v>
      </c>
      <c r="E14375" s="733"/>
    </row>
    <row r="14376" spans="2:5">
      <c r="B14376" s="121">
        <v>1223</v>
      </c>
      <c r="C14376" s="121">
        <v>17</v>
      </c>
      <c r="D14376" s="734">
        <v>143.28933351491924</v>
      </c>
      <c r="E14376" s="733"/>
    </row>
    <row r="14377" spans="2:5">
      <c r="B14377" s="121">
        <v>1223</v>
      </c>
      <c r="C14377" s="121">
        <v>18</v>
      </c>
      <c r="D14377" s="734">
        <v>140.55909486879318</v>
      </c>
      <c r="E14377" s="733"/>
    </row>
    <row r="14378" spans="2:5">
      <c r="B14378" s="121">
        <v>1223</v>
      </c>
      <c r="C14378" s="121">
        <v>19</v>
      </c>
      <c r="D14378" s="734">
        <v>135.25152265301043</v>
      </c>
      <c r="E14378" s="733"/>
    </row>
    <row r="14379" spans="2:5">
      <c r="B14379" s="121">
        <v>1223</v>
      </c>
      <c r="C14379" s="121">
        <v>20</v>
      </c>
      <c r="D14379" s="734">
        <v>144.23421516812962</v>
      </c>
      <c r="E14379" s="733"/>
    </row>
    <row r="14380" spans="2:5">
      <c r="B14380" s="121">
        <v>1223</v>
      </c>
      <c r="C14380" s="121">
        <v>21</v>
      </c>
      <c r="D14380" s="734">
        <v>142.04464446602401</v>
      </c>
      <c r="E14380" s="733"/>
    </row>
    <row r="14381" spans="2:5">
      <c r="B14381" s="121">
        <v>1223</v>
      </c>
      <c r="C14381" s="121">
        <v>22</v>
      </c>
      <c r="D14381" s="734">
        <v>135.98059034362456</v>
      </c>
      <c r="E14381" s="733"/>
    </row>
    <row r="14382" spans="2:5">
      <c r="B14382" s="121">
        <v>1223</v>
      </c>
      <c r="C14382" s="121">
        <v>23</v>
      </c>
      <c r="D14382" s="734">
        <v>144.06944993591529</v>
      </c>
      <c r="E14382" s="733"/>
    </row>
    <row r="14383" spans="2:5">
      <c r="B14383" s="121">
        <v>1223</v>
      </c>
      <c r="C14383" s="121">
        <v>24</v>
      </c>
      <c r="D14383" s="734">
        <v>138.62266939483226</v>
      </c>
      <c r="E14383" s="733"/>
    </row>
    <row r="14384" spans="2:5">
      <c r="B14384" s="121">
        <v>1223</v>
      </c>
      <c r="C14384" s="121">
        <v>25</v>
      </c>
      <c r="D14384" s="734">
        <v>134.74608028425723</v>
      </c>
      <c r="E14384" s="733"/>
    </row>
    <row r="14385" spans="2:5">
      <c r="B14385" s="121">
        <v>1223</v>
      </c>
      <c r="C14385" s="121">
        <v>26</v>
      </c>
      <c r="D14385" s="734">
        <v>146.26902187423818</v>
      </c>
      <c r="E14385" s="733"/>
    </row>
    <row r="14386" spans="2:5">
      <c r="B14386" s="121">
        <v>1223</v>
      </c>
      <c r="C14386" s="121">
        <v>27</v>
      </c>
      <c r="D14386" s="734">
        <v>136.40999708640902</v>
      </c>
      <c r="E14386" s="733"/>
    </row>
    <row r="14387" spans="2:5">
      <c r="B14387" s="121">
        <v>1223</v>
      </c>
      <c r="C14387" s="121">
        <v>28</v>
      </c>
      <c r="D14387" s="734">
        <v>145.91552660391943</v>
      </c>
      <c r="E14387" s="733"/>
    </row>
    <row r="14388" spans="2:5">
      <c r="B14388" s="121">
        <v>1223</v>
      </c>
      <c r="C14388" s="121">
        <v>29</v>
      </c>
      <c r="D14388" s="734">
        <v>144.78990995714381</v>
      </c>
      <c r="E14388" s="733"/>
    </row>
    <row r="14389" spans="2:5">
      <c r="B14389" s="121">
        <v>1223</v>
      </c>
      <c r="C14389" s="121">
        <v>30</v>
      </c>
      <c r="D14389" s="734">
        <v>143.51215273974867</v>
      </c>
      <c r="E14389" s="733"/>
    </row>
    <row r="14390" spans="2:5">
      <c r="B14390" s="121">
        <v>1223</v>
      </c>
      <c r="C14390" s="121">
        <v>31</v>
      </c>
      <c r="D14390" s="734">
        <v>139.76755971676246</v>
      </c>
      <c r="E14390" s="733"/>
    </row>
    <row r="14391" spans="2:5">
      <c r="B14391" s="121">
        <v>1223</v>
      </c>
      <c r="C14391" s="121">
        <v>32</v>
      </c>
      <c r="D14391" s="734">
        <v>139.22133750895685</v>
      </c>
      <c r="E14391" s="733"/>
    </row>
    <row r="14392" spans="2:5">
      <c r="B14392" s="121">
        <v>1223</v>
      </c>
      <c r="C14392" s="121">
        <v>33</v>
      </c>
      <c r="D14392" s="734">
        <v>139.85714605939427</v>
      </c>
      <c r="E14392" s="733"/>
    </row>
    <row r="14393" spans="2:5">
      <c r="B14393" s="121">
        <v>1223</v>
      </c>
      <c r="C14393" s="121">
        <v>34</v>
      </c>
      <c r="D14393" s="734">
        <v>146.23540328388864</v>
      </c>
      <c r="E14393" s="733"/>
    </row>
    <row r="14394" spans="2:5">
      <c r="B14394" s="121">
        <v>1223</v>
      </c>
      <c r="C14394" s="121">
        <v>35</v>
      </c>
      <c r="D14394" s="734">
        <v>134.49460766935653</v>
      </c>
      <c r="E14394" s="733"/>
    </row>
    <row r="14395" spans="2:5">
      <c r="B14395" s="121">
        <v>1223</v>
      </c>
      <c r="C14395" s="121">
        <v>36</v>
      </c>
      <c r="D14395" s="734">
        <v>142.83493911497271</v>
      </c>
      <c r="E14395" s="733"/>
    </row>
    <row r="14396" spans="2:5">
      <c r="B14396" s="121">
        <v>1224</v>
      </c>
      <c r="C14396" s="121">
        <v>1</v>
      </c>
      <c r="D14396" s="734">
        <v>5</v>
      </c>
      <c r="E14396" s="733"/>
    </row>
    <row r="14397" spans="2:5">
      <c r="B14397" s="121">
        <v>1224</v>
      </c>
      <c r="C14397" s="121">
        <v>2</v>
      </c>
      <c r="D14397" s="734">
        <v>95.109178278298941</v>
      </c>
      <c r="E14397" s="733"/>
    </row>
    <row r="14398" spans="2:5">
      <c r="B14398" s="121">
        <v>1224</v>
      </c>
      <c r="C14398" s="121">
        <v>3</v>
      </c>
      <c r="D14398" s="734">
        <v>120.91484532072816</v>
      </c>
      <c r="E14398" s="733"/>
    </row>
    <row r="14399" spans="2:5">
      <c r="B14399" s="121">
        <v>1224</v>
      </c>
      <c r="C14399" s="121">
        <v>4</v>
      </c>
      <c r="D14399" s="734">
        <v>135.70787706510072</v>
      </c>
      <c r="E14399" s="733"/>
    </row>
    <row r="14400" spans="2:5">
      <c r="B14400" s="121">
        <v>1224</v>
      </c>
      <c r="C14400" s="121">
        <v>5</v>
      </c>
      <c r="D14400" s="734">
        <v>141.79047722058903</v>
      </c>
      <c r="E14400" s="733"/>
    </row>
    <row r="14401" spans="2:5">
      <c r="B14401" s="121">
        <v>1224</v>
      </c>
      <c r="C14401" s="121">
        <v>6</v>
      </c>
      <c r="D14401" s="734">
        <v>142.32731760281953</v>
      </c>
      <c r="E14401" s="733"/>
    </row>
    <row r="14402" spans="2:5">
      <c r="B14402" s="121">
        <v>1224</v>
      </c>
      <c r="C14402" s="121">
        <v>7</v>
      </c>
      <c r="D14402" s="734">
        <v>143.60534653783839</v>
      </c>
      <c r="E14402" s="733"/>
    </row>
    <row r="14403" spans="2:5">
      <c r="B14403" s="121">
        <v>1224</v>
      </c>
      <c r="C14403" s="121">
        <v>8</v>
      </c>
      <c r="D14403" s="734">
        <v>145.46355694055143</v>
      </c>
      <c r="E14403" s="733"/>
    </row>
    <row r="14404" spans="2:5">
      <c r="B14404" s="121">
        <v>1224</v>
      </c>
      <c r="C14404" s="121">
        <v>9</v>
      </c>
      <c r="D14404" s="734">
        <v>145.23462075432954</v>
      </c>
      <c r="E14404" s="733"/>
    </row>
    <row r="14405" spans="2:5">
      <c r="B14405" s="121">
        <v>1224</v>
      </c>
      <c r="C14405" s="121">
        <v>10</v>
      </c>
      <c r="D14405" s="734">
        <v>141.77240234747637</v>
      </c>
      <c r="E14405" s="733"/>
    </row>
    <row r="14406" spans="2:5">
      <c r="B14406" s="121">
        <v>1224</v>
      </c>
      <c r="C14406" s="121">
        <v>11</v>
      </c>
      <c r="D14406" s="734">
        <v>143.27410799438039</v>
      </c>
      <c r="E14406" s="733"/>
    </row>
    <row r="14407" spans="2:5">
      <c r="B14407" s="121">
        <v>1224</v>
      </c>
      <c r="C14407" s="121">
        <v>12</v>
      </c>
      <c r="D14407" s="734">
        <v>139.06398283504373</v>
      </c>
      <c r="E14407" s="733"/>
    </row>
    <row r="14408" spans="2:5">
      <c r="B14408" s="121">
        <v>1224</v>
      </c>
      <c r="C14408" s="121">
        <v>13</v>
      </c>
      <c r="D14408" s="734">
        <v>145.71679175540655</v>
      </c>
      <c r="E14408" s="733"/>
    </row>
    <row r="14409" spans="2:5">
      <c r="B14409" s="121">
        <v>1224</v>
      </c>
      <c r="C14409" s="121">
        <v>14</v>
      </c>
      <c r="D14409" s="734">
        <v>146.32828241506391</v>
      </c>
      <c r="E14409" s="733"/>
    </row>
    <row r="14410" spans="2:5">
      <c r="B14410" s="121">
        <v>1224</v>
      </c>
      <c r="C14410" s="121">
        <v>15</v>
      </c>
      <c r="D14410" s="734">
        <v>146.71094674843781</v>
      </c>
      <c r="E14410" s="733"/>
    </row>
    <row r="14411" spans="2:5">
      <c r="B14411" s="121">
        <v>1224</v>
      </c>
      <c r="C14411" s="121">
        <v>16</v>
      </c>
      <c r="D14411" s="734">
        <v>138.78483825960643</v>
      </c>
      <c r="E14411" s="733"/>
    </row>
    <row r="14412" spans="2:5">
      <c r="B14412" s="121">
        <v>1224</v>
      </c>
      <c r="C14412" s="121">
        <v>17</v>
      </c>
      <c r="D14412" s="734">
        <v>146.62628187771568</v>
      </c>
      <c r="E14412" s="733"/>
    </row>
    <row r="14413" spans="2:5">
      <c r="B14413" s="121">
        <v>1224</v>
      </c>
      <c r="C14413" s="121">
        <v>18</v>
      </c>
      <c r="D14413" s="734">
        <v>146.97940492454163</v>
      </c>
      <c r="E14413" s="733"/>
    </row>
    <row r="14414" spans="2:5">
      <c r="B14414" s="121">
        <v>1224</v>
      </c>
      <c r="C14414" s="121">
        <v>19</v>
      </c>
      <c r="D14414" s="734">
        <v>137.69649772998079</v>
      </c>
      <c r="E14414" s="733"/>
    </row>
    <row r="14415" spans="2:5">
      <c r="B14415" s="121">
        <v>1224</v>
      </c>
      <c r="C14415" s="121">
        <v>20</v>
      </c>
      <c r="D14415" s="734">
        <v>141.35288117246273</v>
      </c>
      <c r="E14415" s="733"/>
    </row>
    <row r="14416" spans="2:5">
      <c r="B14416" s="121">
        <v>1224</v>
      </c>
      <c r="C14416" s="121">
        <v>21</v>
      </c>
      <c r="D14416" s="734">
        <v>146.68288226667252</v>
      </c>
      <c r="E14416" s="733"/>
    </row>
    <row r="14417" spans="2:5">
      <c r="B14417" s="121">
        <v>1224</v>
      </c>
      <c r="C14417" s="121">
        <v>22</v>
      </c>
      <c r="D14417" s="734">
        <v>135.62625353018188</v>
      </c>
      <c r="E14417" s="733"/>
    </row>
    <row r="14418" spans="2:5">
      <c r="B14418" s="121">
        <v>1224</v>
      </c>
      <c r="C14418" s="121">
        <v>23</v>
      </c>
      <c r="D14418" s="734">
        <v>143.55901294727929</v>
      </c>
      <c r="E14418" s="733"/>
    </row>
    <row r="14419" spans="2:5">
      <c r="B14419" s="121">
        <v>1224</v>
      </c>
      <c r="C14419" s="121">
        <v>24</v>
      </c>
      <c r="D14419" s="734">
        <v>145.74472399808209</v>
      </c>
      <c r="E14419" s="733"/>
    </row>
    <row r="14420" spans="2:5">
      <c r="B14420" s="121">
        <v>1224</v>
      </c>
      <c r="C14420" s="121">
        <v>25</v>
      </c>
      <c r="D14420" s="734">
        <v>142.39883402427955</v>
      </c>
      <c r="E14420" s="733"/>
    </row>
    <row r="14421" spans="2:5">
      <c r="B14421" s="121">
        <v>1224</v>
      </c>
      <c r="C14421" s="121">
        <v>26</v>
      </c>
      <c r="D14421" s="734">
        <v>146.37247704378132</v>
      </c>
      <c r="E14421" s="733"/>
    </row>
    <row r="14422" spans="2:5">
      <c r="B14422" s="121">
        <v>1224</v>
      </c>
      <c r="C14422" s="121">
        <v>27</v>
      </c>
      <c r="D14422" s="734">
        <v>141.52168017714664</v>
      </c>
      <c r="E14422" s="733"/>
    </row>
    <row r="14423" spans="2:5">
      <c r="B14423" s="121">
        <v>1224</v>
      </c>
      <c r="C14423" s="121">
        <v>28</v>
      </c>
      <c r="D14423" s="734">
        <v>141.03240320189485</v>
      </c>
      <c r="E14423" s="733"/>
    </row>
    <row r="14424" spans="2:5">
      <c r="B14424" s="121">
        <v>1224</v>
      </c>
      <c r="C14424" s="121">
        <v>29</v>
      </c>
      <c r="D14424" s="734">
        <v>134.43890784104258</v>
      </c>
      <c r="E14424" s="733"/>
    </row>
    <row r="14425" spans="2:5">
      <c r="B14425" s="121">
        <v>1224</v>
      </c>
      <c r="C14425" s="121">
        <v>30</v>
      </c>
      <c r="D14425" s="734">
        <v>135.68588473260661</v>
      </c>
      <c r="E14425" s="733"/>
    </row>
    <row r="14426" spans="2:5">
      <c r="B14426" s="121">
        <v>1224</v>
      </c>
      <c r="C14426" s="121">
        <v>31</v>
      </c>
      <c r="D14426" s="734">
        <v>136.56034679288848</v>
      </c>
      <c r="E14426" s="733"/>
    </row>
    <row r="14427" spans="2:5">
      <c r="B14427" s="121">
        <v>1224</v>
      </c>
      <c r="C14427" s="121">
        <v>32</v>
      </c>
      <c r="D14427" s="734">
        <v>138.91982656679775</v>
      </c>
      <c r="E14427" s="733"/>
    </row>
    <row r="14428" spans="2:5">
      <c r="B14428" s="121">
        <v>1224</v>
      </c>
      <c r="C14428" s="121">
        <v>33</v>
      </c>
      <c r="D14428" s="734">
        <v>137.38202044927141</v>
      </c>
      <c r="E14428" s="733"/>
    </row>
    <row r="14429" spans="2:5">
      <c r="B14429" s="121">
        <v>1224</v>
      </c>
      <c r="C14429" s="121">
        <v>34</v>
      </c>
      <c r="D14429" s="734">
        <v>134.63010068847657</v>
      </c>
      <c r="E14429" s="733"/>
    </row>
    <row r="14430" spans="2:5">
      <c r="B14430" s="121">
        <v>1224</v>
      </c>
      <c r="C14430" s="121">
        <v>35</v>
      </c>
      <c r="D14430" s="734">
        <v>146.57788208740584</v>
      </c>
      <c r="E14430" s="733"/>
    </row>
    <row r="14431" spans="2:5">
      <c r="B14431" s="121">
        <v>1224</v>
      </c>
      <c r="C14431" s="121">
        <v>36</v>
      </c>
      <c r="D14431" s="734">
        <v>143.93309233269065</v>
      </c>
      <c r="E14431" s="733"/>
    </row>
    <row r="14432" spans="2:5">
      <c r="B14432" s="121">
        <v>1225</v>
      </c>
      <c r="C14432" s="121">
        <v>1</v>
      </c>
      <c r="D14432" s="734">
        <v>5</v>
      </c>
      <c r="E14432" s="733"/>
    </row>
    <row r="14433" spans="2:5">
      <c r="B14433" s="121">
        <v>1225</v>
      </c>
      <c r="C14433" s="121">
        <v>2</v>
      </c>
      <c r="D14433" s="734">
        <v>100.17756888851508</v>
      </c>
      <c r="E14433" s="733"/>
    </row>
    <row r="14434" spans="2:5">
      <c r="B14434" s="121">
        <v>1225</v>
      </c>
      <c r="C14434" s="121">
        <v>3</v>
      </c>
      <c r="D14434" s="734">
        <v>124.69539121089724</v>
      </c>
      <c r="E14434" s="733"/>
    </row>
    <row r="14435" spans="2:5">
      <c r="B14435" s="121">
        <v>1225</v>
      </c>
      <c r="C14435" s="121">
        <v>4</v>
      </c>
      <c r="D14435" s="734">
        <v>143.42889521799665</v>
      </c>
      <c r="E14435" s="733"/>
    </row>
    <row r="14436" spans="2:5">
      <c r="B14436" s="121">
        <v>1225</v>
      </c>
      <c r="C14436" s="121">
        <v>5</v>
      </c>
      <c r="D14436" s="734">
        <v>140.98861345038003</v>
      </c>
      <c r="E14436" s="733"/>
    </row>
    <row r="14437" spans="2:5">
      <c r="B14437" s="121">
        <v>1225</v>
      </c>
      <c r="C14437" s="121">
        <v>6</v>
      </c>
      <c r="D14437" s="734">
        <v>142.26647562759598</v>
      </c>
      <c r="E14437" s="733"/>
    </row>
    <row r="14438" spans="2:5">
      <c r="B14438" s="121">
        <v>1226</v>
      </c>
      <c r="C14438" s="121">
        <v>1</v>
      </c>
      <c r="D14438" s="734">
        <v>5</v>
      </c>
      <c r="E14438" s="733"/>
    </row>
    <row r="14439" spans="2:5">
      <c r="B14439" s="121">
        <v>1227</v>
      </c>
      <c r="C14439" s="121">
        <v>1</v>
      </c>
      <c r="D14439" s="734">
        <v>5</v>
      </c>
      <c r="E14439" s="733"/>
    </row>
    <row r="14440" spans="2:5">
      <c r="B14440" s="121">
        <v>1227</v>
      </c>
      <c r="C14440" s="121">
        <v>2</v>
      </c>
      <c r="D14440" s="734">
        <v>97.588655333756535</v>
      </c>
      <c r="E14440" s="733"/>
    </row>
    <row r="14441" spans="2:5">
      <c r="B14441" s="121">
        <v>1227</v>
      </c>
      <c r="C14441" s="121">
        <v>3</v>
      </c>
      <c r="D14441" s="734">
        <v>122.85073143465304</v>
      </c>
      <c r="E14441" s="733"/>
    </row>
    <row r="14442" spans="2:5">
      <c r="B14442" s="121">
        <v>1227</v>
      </c>
      <c r="C14442" s="121">
        <v>4</v>
      </c>
      <c r="D14442" s="734">
        <v>138.18314433054741</v>
      </c>
      <c r="E14442" s="733"/>
    </row>
    <row r="14443" spans="2:5">
      <c r="B14443" s="121">
        <v>1227</v>
      </c>
      <c r="C14443" s="121">
        <v>5</v>
      </c>
      <c r="D14443" s="734">
        <v>135.60351001756936</v>
      </c>
      <c r="E14443" s="733"/>
    </row>
    <row r="14444" spans="2:5">
      <c r="B14444" s="121">
        <v>1227</v>
      </c>
      <c r="C14444" s="121">
        <v>6</v>
      </c>
      <c r="D14444" s="734">
        <v>139.66357378647075</v>
      </c>
      <c r="E14444" s="733"/>
    </row>
    <row r="14445" spans="2:5">
      <c r="B14445" s="121">
        <v>1227</v>
      </c>
      <c r="C14445" s="121">
        <v>7</v>
      </c>
      <c r="D14445" s="734">
        <v>134.85002920483632</v>
      </c>
      <c r="E14445" s="733"/>
    </row>
    <row r="14446" spans="2:5">
      <c r="B14446" s="121">
        <v>1227</v>
      </c>
      <c r="C14446" s="121">
        <v>8</v>
      </c>
      <c r="D14446" s="734">
        <v>143.3610879459456</v>
      </c>
      <c r="E14446" s="733"/>
    </row>
    <row r="14447" spans="2:5">
      <c r="B14447" s="121">
        <v>1227</v>
      </c>
      <c r="C14447" s="121">
        <v>9</v>
      </c>
      <c r="D14447" s="734">
        <v>138.34402348140009</v>
      </c>
      <c r="E14447" s="733"/>
    </row>
    <row r="14448" spans="2:5">
      <c r="B14448" s="121">
        <v>1227</v>
      </c>
      <c r="C14448" s="121">
        <v>10</v>
      </c>
      <c r="D14448" s="734">
        <v>134.70177972622466</v>
      </c>
      <c r="E14448" s="733"/>
    </row>
    <row r="14449" spans="2:5">
      <c r="B14449" s="121">
        <v>1227</v>
      </c>
      <c r="C14449" s="121">
        <v>11</v>
      </c>
      <c r="D14449" s="734">
        <v>137.73630996570148</v>
      </c>
      <c r="E14449" s="733"/>
    </row>
    <row r="14450" spans="2:5">
      <c r="B14450" s="121">
        <v>1227</v>
      </c>
      <c r="C14450" s="121">
        <v>12</v>
      </c>
      <c r="D14450" s="734">
        <v>142.52318049355694</v>
      </c>
      <c r="E14450" s="733"/>
    </row>
    <row r="14451" spans="2:5">
      <c r="B14451" s="121">
        <v>1227</v>
      </c>
      <c r="C14451" s="121">
        <v>13</v>
      </c>
      <c r="D14451" s="734">
        <v>141.87442280086972</v>
      </c>
      <c r="E14451" s="733"/>
    </row>
    <row r="14452" spans="2:5">
      <c r="B14452" s="121">
        <v>1227</v>
      </c>
      <c r="C14452" s="121">
        <v>14</v>
      </c>
      <c r="D14452" s="734">
        <v>137.24470182699901</v>
      </c>
      <c r="E14452" s="733"/>
    </row>
    <row r="14453" spans="2:5">
      <c r="B14453" s="121">
        <v>1227</v>
      </c>
      <c r="C14453" s="121">
        <v>15</v>
      </c>
      <c r="D14453" s="734">
        <v>137.39095874985503</v>
      </c>
      <c r="E14453" s="733"/>
    </row>
    <row r="14454" spans="2:5">
      <c r="B14454" s="121">
        <v>1227</v>
      </c>
      <c r="C14454" s="121">
        <v>16</v>
      </c>
      <c r="D14454" s="734">
        <v>136.35681902999872</v>
      </c>
      <c r="E14454" s="733"/>
    </row>
    <row r="14455" spans="2:5">
      <c r="B14455" s="121">
        <v>1227</v>
      </c>
      <c r="C14455" s="121">
        <v>17</v>
      </c>
      <c r="D14455" s="734">
        <v>143.81951323105471</v>
      </c>
      <c r="E14455" s="733"/>
    </row>
    <row r="14456" spans="2:5">
      <c r="B14456" s="121">
        <v>1227</v>
      </c>
      <c r="C14456" s="121">
        <v>18</v>
      </c>
      <c r="D14456" s="734">
        <v>138.80531077464727</v>
      </c>
      <c r="E14456" s="733"/>
    </row>
    <row r="14457" spans="2:5">
      <c r="B14457" s="121">
        <v>1227</v>
      </c>
      <c r="C14457" s="121">
        <v>19</v>
      </c>
      <c r="D14457" s="734">
        <v>145.80682681560853</v>
      </c>
      <c r="E14457" s="733"/>
    </row>
    <row r="14458" spans="2:5">
      <c r="B14458" s="121">
        <v>1227</v>
      </c>
      <c r="C14458" s="121">
        <v>20</v>
      </c>
      <c r="D14458" s="734">
        <v>137.54748648574702</v>
      </c>
      <c r="E14458" s="733"/>
    </row>
    <row r="14459" spans="2:5">
      <c r="B14459" s="121">
        <v>1227</v>
      </c>
      <c r="C14459" s="121">
        <v>21</v>
      </c>
      <c r="D14459" s="734">
        <v>133.90973552898646</v>
      </c>
      <c r="E14459" s="733"/>
    </row>
    <row r="14460" spans="2:5">
      <c r="B14460" s="121">
        <v>1227</v>
      </c>
      <c r="C14460" s="121">
        <v>22</v>
      </c>
      <c r="D14460" s="734">
        <v>145.35287464477037</v>
      </c>
      <c r="E14460" s="733"/>
    </row>
    <row r="14461" spans="2:5">
      <c r="B14461" s="121">
        <v>1227</v>
      </c>
      <c r="C14461" s="121">
        <v>23</v>
      </c>
      <c r="D14461" s="734">
        <v>138.00540782164532</v>
      </c>
      <c r="E14461" s="733"/>
    </row>
    <row r="14462" spans="2:5">
      <c r="B14462" s="121">
        <v>1227</v>
      </c>
      <c r="C14462" s="121">
        <v>24</v>
      </c>
      <c r="D14462" s="734">
        <v>140.77181728245461</v>
      </c>
      <c r="E14462" s="733"/>
    </row>
    <row r="14463" spans="2:5">
      <c r="B14463" s="121">
        <v>1227</v>
      </c>
      <c r="C14463" s="121">
        <v>25</v>
      </c>
      <c r="D14463" s="734">
        <v>138.63376499331613</v>
      </c>
      <c r="E14463" s="733"/>
    </row>
    <row r="14464" spans="2:5">
      <c r="B14464" s="121">
        <v>1227</v>
      </c>
      <c r="C14464" s="121">
        <v>26</v>
      </c>
      <c r="D14464" s="734">
        <v>137.30576324543347</v>
      </c>
      <c r="E14464" s="733"/>
    </row>
    <row r="14465" spans="2:5">
      <c r="B14465" s="121">
        <v>1227</v>
      </c>
      <c r="C14465" s="121">
        <v>27</v>
      </c>
      <c r="D14465" s="734">
        <v>135.50812403125607</v>
      </c>
      <c r="E14465" s="733"/>
    </row>
    <row r="14466" spans="2:5">
      <c r="B14466" s="121">
        <v>1227</v>
      </c>
      <c r="C14466" s="121">
        <v>28</v>
      </c>
      <c r="D14466" s="734">
        <v>146.33884381627396</v>
      </c>
      <c r="E14466" s="733"/>
    </row>
    <row r="14467" spans="2:5">
      <c r="B14467" s="121">
        <v>1227</v>
      </c>
      <c r="C14467" s="121">
        <v>29</v>
      </c>
      <c r="D14467" s="734">
        <v>140.43688115110584</v>
      </c>
      <c r="E14467" s="733"/>
    </row>
    <row r="14468" spans="2:5">
      <c r="B14468" s="121">
        <v>1227</v>
      </c>
      <c r="C14468" s="121">
        <v>30</v>
      </c>
      <c r="D14468" s="734">
        <v>134.66649594871274</v>
      </c>
      <c r="E14468" s="733"/>
    </row>
    <row r="14469" spans="2:5">
      <c r="B14469" s="121">
        <v>1227</v>
      </c>
      <c r="C14469" s="121">
        <v>31</v>
      </c>
      <c r="D14469" s="734">
        <v>142.34153398268387</v>
      </c>
      <c r="E14469" s="733"/>
    </row>
    <row r="14470" spans="2:5">
      <c r="B14470" s="121">
        <v>1227</v>
      </c>
      <c r="C14470" s="121">
        <v>32</v>
      </c>
      <c r="D14470" s="734">
        <v>139.57557406003292</v>
      </c>
      <c r="E14470" s="733"/>
    </row>
    <row r="14471" spans="2:5">
      <c r="B14471" s="121">
        <v>1227</v>
      </c>
      <c r="C14471" s="121">
        <v>33</v>
      </c>
      <c r="D14471" s="734">
        <v>145.45869585055146</v>
      </c>
      <c r="E14471" s="733"/>
    </row>
    <row r="14472" spans="2:5">
      <c r="B14472" s="121">
        <v>1227</v>
      </c>
      <c r="C14472" s="121">
        <v>34</v>
      </c>
      <c r="D14472" s="734">
        <v>144.74694215584279</v>
      </c>
      <c r="E14472" s="733"/>
    </row>
    <row r="14473" spans="2:5">
      <c r="B14473" s="121">
        <v>1227</v>
      </c>
      <c r="C14473" s="121">
        <v>35</v>
      </c>
      <c r="D14473" s="734">
        <v>144.80456152758859</v>
      </c>
      <c r="E14473" s="733"/>
    </row>
    <row r="14474" spans="2:5">
      <c r="B14474" s="121">
        <v>1227</v>
      </c>
      <c r="C14474" s="121">
        <v>36</v>
      </c>
      <c r="D14474" s="734">
        <v>138.93859136596996</v>
      </c>
      <c r="E14474" s="733"/>
    </row>
    <row r="14475" spans="2:5">
      <c r="B14475" s="121">
        <v>1228</v>
      </c>
      <c r="C14475" s="121">
        <v>1</v>
      </c>
      <c r="D14475" s="734">
        <v>5</v>
      </c>
      <c r="E14475" s="733"/>
    </row>
    <row r="14476" spans="2:5">
      <c r="B14476" s="121">
        <v>1228</v>
      </c>
      <c r="C14476" s="121">
        <v>2</v>
      </c>
      <c r="D14476" s="734">
        <v>102.75765306986916</v>
      </c>
      <c r="E14476" s="733"/>
    </row>
    <row r="14477" spans="2:5">
      <c r="B14477" s="121">
        <v>1228</v>
      </c>
      <c r="C14477" s="121">
        <v>3</v>
      </c>
      <c r="D14477" s="734">
        <v>115.1641792989587</v>
      </c>
      <c r="E14477" s="733"/>
    </row>
    <row r="14478" spans="2:5">
      <c r="B14478" s="121">
        <v>1228</v>
      </c>
      <c r="C14478" s="121">
        <v>4</v>
      </c>
      <c r="D14478" s="734">
        <v>145.45695816046657</v>
      </c>
      <c r="E14478" s="733"/>
    </row>
    <row r="14479" spans="2:5">
      <c r="B14479" s="121">
        <v>1228</v>
      </c>
      <c r="C14479" s="121">
        <v>5</v>
      </c>
      <c r="D14479" s="734">
        <v>137.30347802861081</v>
      </c>
      <c r="E14479" s="733"/>
    </row>
    <row r="14480" spans="2:5">
      <c r="B14480" s="121">
        <v>1228</v>
      </c>
      <c r="C14480" s="121">
        <v>6</v>
      </c>
      <c r="D14480" s="734">
        <v>133.90951838686453</v>
      </c>
      <c r="E14480" s="733"/>
    </row>
    <row r="14481" spans="2:5">
      <c r="B14481" s="121">
        <v>1228</v>
      </c>
      <c r="C14481" s="121">
        <v>7</v>
      </c>
      <c r="D14481" s="734">
        <v>143.8799203788503</v>
      </c>
      <c r="E14481" s="733"/>
    </row>
    <row r="14482" spans="2:5">
      <c r="B14482" s="121">
        <v>1228</v>
      </c>
      <c r="C14482" s="121">
        <v>8</v>
      </c>
      <c r="D14482" s="734">
        <v>146.38269016680434</v>
      </c>
      <c r="E14482" s="733"/>
    </row>
    <row r="14483" spans="2:5">
      <c r="B14483" s="121">
        <v>1228</v>
      </c>
      <c r="C14483" s="121">
        <v>9</v>
      </c>
      <c r="D14483" s="734">
        <v>139.36563894652261</v>
      </c>
      <c r="E14483" s="733"/>
    </row>
    <row r="14484" spans="2:5">
      <c r="B14484" s="121">
        <v>1228</v>
      </c>
      <c r="C14484" s="121">
        <v>10</v>
      </c>
      <c r="D14484" s="734">
        <v>136.46309054096145</v>
      </c>
      <c r="E14484" s="733"/>
    </row>
    <row r="14485" spans="2:5">
      <c r="B14485" s="121">
        <v>1228</v>
      </c>
      <c r="C14485" s="121">
        <v>11</v>
      </c>
      <c r="D14485" s="734">
        <v>146.81628232555929</v>
      </c>
      <c r="E14485" s="733"/>
    </row>
    <row r="14486" spans="2:5">
      <c r="B14486" s="121">
        <v>1228</v>
      </c>
      <c r="C14486" s="121">
        <v>12</v>
      </c>
      <c r="D14486" s="734">
        <v>139.71498249252832</v>
      </c>
      <c r="E14486" s="733"/>
    </row>
    <row r="14487" spans="2:5">
      <c r="B14487" s="121">
        <v>1228</v>
      </c>
      <c r="C14487" s="121">
        <v>13</v>
      </c>
      <c r="D14487" s="734">
        <v>144.21795367475471</v>
      </c>
      <c r="E14487" s="733"/>
    </row>
    <row r="14488" spans="2:5">
      <c r="B14488" s="121">
        <v>1228</v>
      </c>
      <c r="C14488" s="121">
        <v>14</v>
      </c>
      <c r="D14488" s="734">
        <v>142.63647021941946</v>
      </c>
      <c r="E14488" s="733"/>
    </row>
    <row r="14489" spans="2:5">
      <c r="B14489" s="121">
        <v>1228</v>
      </c>
      <c r="C14489" s="121">
        <v>15</v>
      </c>
      <c r="D14489" s="734">
        <v>141.37842820649664</v>
      </c>
      <c r="E14489" s="733"/>
    </row>
    <row r="14490" spans="2:5">
      <c r="B14490" s="121">
        <v>1228</v>
      </c>
      <c r="C14490" s="121">
        <v>16</v>
      </c>
      <c r="D14490" s="734">
        <v>140.71838995946777</v>
      </c>
      <c r="E14490" s="733"/>
    </row>
    <row r="14491" spans="2:5">
      <c r="B14491" s="121">
        <v>1228</v>
      </c>
      <c r="C14491" s="121">
        <v>17</v>
      </c>
      <c r="D14491" s="734">
        <v>143.83335246310537</v>
      </c>
      <c r="E14491" s="733"/>
    </row>
    <row r="14492" spans="2:5">
      <c r="B14492" s="121">
        <v>1228</v>
      </c>
      <c r="C14492" s="121">
        <v>18</v>
      </c>
      <c r="D14492" s="734">
        <v>136.0243905120266</v>
      </c>
      <c r="E14492" s="733"/>
    </row>
    <row r="14493" spans="2:5">
      <c r="B14493" s="121">
        <v>1228</v>
      </c>
      <c r="C14493" s="121">
        <v>19</v>
      </c>
      <c r="D14493" s="734">
        <v>144.81878732379769</v>
      </c>
      <c r="E14493" s="733"/>
    </row>
    <row r="14494" spans="2:5">
      <c r="B14494" s="121">
        <v>1228</v>
      </c>
      <c r="C14494" s="121">
        <v>20</v>
      </c>
      <c r="D14494" s="734">
        <v>142.63545995381165</v>
      </c>
      <c r="E14494" s="733"/>
    </row>
    <row r="14495" spans="2:5">
      <c r="B14495" s="121">
        <v>1229</v>
      </c>
      <c r="C14495" s="121">
        <v>1</v>
      </c>
      <c r="D14495" s="734">
        <v>5</v>
      </c>
      <c r="E14495" s="733"/>
    </row>
    <row r="14496" spans="2:5">
      <c r="B14496" s="121">
        <v>1229</v>
      </c>
      <c r="C14496" s="121">
        <v>2</v>
      </c>
      <c r="D14496" s="734">
        <v>95.009424790214283</v>
      </c>
      <c r="E14496" s="733"/>
    </row>
    <row r="14497" spans="2:5">
      <c r="B14497" s="121">
        <v>1229</v>
      </c>
      <c r="C14497" s="121">
        <v>3</v>
      </c>
      <c r="D14497" s="734">
        <v>123.02474060044442</v>
      </c>
      <c r="E14497" s="733"/>
    </row>
    <row r="14498" spans="2:5">
      <c r="B14498" s="121">
        <v>1229</v>
      </c>
      <c r="C14498" s="121">
        <v>4</v>
      </c>
      <c r="D14498" s="734">
        <v>139.93352306550355</v>
      </c>
      <c r="E14498" s="733"/>
    </row>
    <row r="14499" spans="2:5">
      <c r="B14499" s="121">
        <v>1229</v>
      </c>
      <c r="C14499" s="121">
        <v>5</v>
      </c>
      <c r="D14499" s="734">
        <v>138.37779251199484</v>
      </c>
      <c r="E14499" s="733"/>
    </row>
    <row r="14500" spans="2:5">
      <c r="B14500" s="121">
        <v>1230</v>
      </c>
      <c r="C14500" s="121">
        <v>1</v>
      </c>
      <c r="D14500" s="734">
        <v>5</v>
      </c>
      <c r="E14500" s="733"/>
    </row>
    <row r="14501" spans="2:5">
      <c r="B14501" s="121">
        <v>1230</v>
      </c>
      <c r="C14501" s="121">
        <v>2</v>
      </c>
      <c r="D14501" s="734">
        <v>99.835980730447289</v>
      </c>
      <c r="E14501" s="733"/>
    </row>
    <row r="14502" spans="2:5">
      <c r="B14502" s="121">
        <v>1230</v>
      </c>
      <c r="C14502" s="121">
        <v>3</v>
      </c>
      <c r="D14502" s="734">
        <v>122.5690199150461</v>
      </c>
      <c r="E14502" s="733"/>
    </row>
    <row r="14503" spans="2:5">
      <c r="B14503" s="121">
        <v>1230</v>
      </c>
      <c r="C14503" s="121">
        <v>4</v>
      </c>
      <c r="D14503" s="734">
        <v>139.18491175765274</v>
      </c>
      <c r="E14503" s="733"/>
    </row>
    <row r="14504" spans="2:5">
      <c r="B14504" s="121">
        <v>1230</v>
      </c>
      <c r="C14504" s="121">
        <v>5</v>
      </c>
      <c r="D14504" s="734">
        <v>143.50300676344946</v>
      </c>
      <c r="E14504" s="733"/>
    </row>
    <row r="14505" spans="2:5">
      <c r="B14505" s="121">
        <v>1230</v>
      </c>
      <c r="C14505" s="121">
        <v>6</v>
      </c>
      <c r="D14505" s="734">
        <v>137.04906757582205</v>
      </c>
      <c r="E14505" s="733"/>
    </row>
    <row r="14506" spans="2:5">
      <c r="B14506" s="121">
        <v>1230</v>
      </c>
      <c r="C14506" s="121">
        <v>7</v>
      </c>
      <c r="D14506" s="734">
        <v>139.46027022570189</v>
      </c>
      <c r="E14506" s="733"/>
    </row>
    <row r="14507" spans="2:5">
      <c r="B14507" s="121">
        <v>1230</v>
      </c>
      <c r="C14507" s="121">
        <v>8</v>
      </c>
      <c r="D14507" s="734">
        <v>144.36724324611598</v>
      </c>
      <c r="E14507" s="733"/>
    </row>
    <row r="14508" spans="2:5">
      <c r="B14508" s="121">
        <v>1230</v>
      </c>
      <c r="C14508" s="121">
        <v>9</v>
      </c>
      <c r="D14508" s="734">
        <v>137.86713380448131</v>
      </c>
      <c r="E14508" s="733"/>
    </row>
    <row r="14509" spans="2:5">
      <c r="B14509" s="121">
        <v>1230</v>
      </c>
      <c r="C14509" s="121">
        <v>10</v>
      </c>
      <c r="D14509" s="734">
        <v>140.59141372401189</v>
      </c>
      <c r="E14509" s="733"/>
    </row>
    <row r="14510" spans="2:5">
      <c r="B14510" s="121">
        <v>1230</v>
      </c>
      <c r="C14510" s="121">
        <v>11</v>
      </c>
      <c r="D14510" s="734">
        <v>146.59021721177689</v>
      </c>
      <c r="E14510" s="733"/>
    </row>
    <row r="14511" spans="2:5">
      <c r="B14511" s="121">
        <v>1230</v>
      </c>
      <c r="C14511" s="121">
        <v>12</v>
      </c>
      <c r="D14511" s="734">
        <v>136.80962523689885</v>
      </c>
      <c r="E14511" s="733"/>
    </row>
    <row r="14512" spans="2:5">
      <c r="B14512" s="121">
        <v>1230</v>
      </c>
      <c r="C14512" s="121">
        <v>13</v>
      </c>
      <c r="D14512" s="734">
        <v>143.38569713256678</v>
      </c>
      <c r="E14512" s="733"/>
    </row>
    <row r="14513" spans="2:5">
      <c r="B14513" s="121">
        <v>1230</v>
      </c>
      <c r="C14513" s="121">
        <v>14</v>
      </c>
      <c r="D14513" s="734">
        <v>141.50217506115186</v>
      </c>
      <c r="E14513" s="733"/>
    </row>
    <row r="14514" spans="2:5">
      <c r="B14514" s="121">
        <v>1230</v>
      </c>
      <c r="C14514" s="121">
        <v>15</v>
      </c>
      <c r="D14514" s="734">
        <v>145.70606287709774</v>
      </c>
      <c r="E14514" s="733"/>
    </row>
    <row r="14515" spans="2:5">
      <c r="B14515" s="121">
        <v>1231</v>
      </c>
      <c r="C14515" s="121">
        <v>1</v>
      </c>
      <c r="D14515" s="734">
        <v>5</v>
      </c>
      <c r="E14515" s="733"/>
    </row>
    <row r="14516" spans="2:5">
      <c r="B14516" s="121">
        <v>1232</v>
      </c>
      <c r="C14516" s="121">
        <v>1</v>
      </c>
      <c r="D14516" s="734">
        <v>5</v>
      </c>
      <c r="E14516" s="733"/>
    </row>
    <row r="14517" spans="2:5">
      <c r="B14517" s="121">
        <v>1232</v>
      </c>
      <c r="C14517" s="121">
        <v>2</v>
      </c>
      <c r="D14517" s="734">
        <v>97.221170890062794</v>
      </c>
      <c r="E14517" s="733"/>
    </row>
    <row r="14518" spans="2:5">
      <c r="B14518" s="121">
        <v>1232</v>
      </c>
      <c r="C14518" s="121">
        <v>3</v>
      </c>
      <c r="D14518" s="734">
        <v>118.55506842887375</v>
      </c>
      <c r="E14518" s="733"/>
    </row>
    <row r="14519" spans="2:5">
      <c r="B14519" s="121">
        <v>1232</v>
      </c>
      <c r="C14519" s="121">
        <v>4</v>
      </c>
      <c r="D14519" s="734">
        <v>143.85854364934661</v>
      </c>
      <c r="E14519" s="733"/>
    </row>
    <row r="14520" spans="2:5">
      <c r="B14520" s="121">
        <v>1232</v>
      </c>
      <c r="C14520" s="121">
        <v>5</v>
      </c>
      <c r="D14520" s="734">
        <v>136.43426344306607</v>
      </c>
      <c r="E14520" s="733"/>
    </row>
    <row r="14521" spans="2:5">
      <c r="B14521" s="121">
        <v>1232</v>
      </c>
      <c r="C14521" s="121">
        <v>6</v>
      </c>
      <c r="D14521" s="734">
        <v>134.94754508319247</v>
      </c>
      <c r="E14521" s="733"/>
    </row>
    <row r="14522" spans="2:5">
      <c r="B14522" s="121">
        <v>1232</v>
      </c>
      <c r="C14522" s="121">
        <v>7</v>
      </c>
      <c r="D14522" s="734">
        <v>141.44746191491561</v>
      </c>
      <c r="E14522" s="733"/>
    </row>
    <row r="14523" spans="2:5">
      <c r="B14523" s="121">
        <v>1232</v>
      </c>
      <c r="C14523" s="121">
        <v>8</v>
      </c>
      <c r="D14523" s="734">
        <v>135.6888232363336</v>
      </c>
      <c r="E14523" s="733"/>
    </row>
    <row r="14524" spans="2:5">
      <c r="B14524" s="121">
        <v>1232</v>
      </c>
      <c r="C14524" s="121">
        <v>9</v>
      </c>
      <c r="D14524" s="734">
        <v>140.8609650805102</v>
      </c>
      <c r="E14524" s="733"/>
    </row>
    <row r="14525" spans="2:5">
      <c r="B14525" s="121">
        <v>1232</v>
      </c>
      <c r="C14525" s="121">
        <v>10</v>
      </c>
      <c r="D14525" s="734">
        <v>145.79691240072597</v>
      </c>
      <c r="E14525" s="733"/>
    </row>
    <row r="14526" spans="2:5">
      <c r="B14526" s="121">
        <v>1232</v>
      </c>
      <c r="C14526" s="121">
        <v>11</v>
      </c>
      <c r="D14526" s="734">
        <v>145.79517355940538</v>
      </c>
      <c r="E14526" s="733"/>
    </row>
    <row r="14527" spans="2:5">
      <c r="B14527" s="121">
        <v>1232</v>
      </c>
      <c r="C14527" s="121">
        <v>12</v>
      </c>
      <c r="D14527" s="734">
        <v>136.26256321600832</v>
      </c>
      <c r="E14527" s="733"/>
    </row>
    <row r="14528" spans="2:5">
      <c r="B14528" s="121">
        <v>1232</v>
      </c>
      <c r="C14528" s="121">
        <v>13</v>
      </c>
      <c r="D14528" s="734">
        <v>136.64691852312703</v>
      </c>
      <c r="E14528" s="733"/>
    </row>
    <row r="14529" spans="2:5">
      <c r="B14529" s="121">
        <v>1232</v>
      </c>
      <c r="C14529" s="121">
        <v>14</v>
      </c>
      <c r="D14529" s="734">
        <v>140.32648739623241</v>
      </c>
      <c r="E14529" s="733"/>
    </row>
    <row r="14530" spans="2:5">
      <c r="B14530" s="121">
        <v>1232</v>
      </c>
      <c r="C14530" s="121">
        <v>15</v>
      </c>
      <c r="D14530" s="734">
        <v>135.73918401304863</v>
      </c>
      <c r="E14530" s="733"/>
    </row>
    <row r="14531" spans="2:5">
      <c r="B14531" s="121">
        <v>1232</v>
      </c>
      <c r="C14531" s="121">
        <v>16</v>
      </c>
      <c r="D14531" s="734">
        <v>133.93425461275936</v>
      </c>
      <c r="E14531" s="733"/>
    </row>
    <row r="14532" spans="2:5">
      <c r="B14532" s="121">
        <v>1232</v>
      </c>
      <c r="C14532" s="121">
        <v>17</v>
      </c>
      <c r="D14532" s="734">
        <v>141.50891115110448</v>
      </c>
      <c r="E14532" s="733"/>
    </row>
    <row r="14533" spans="2:5">
      <c r="B14533" s="121">
        <v>1232</v>
      </c>
      <c r="C14533" s="121">
        <v>18</v>
      </c>
      <c r="D14533" s="734">
        <v>145.39702592500416</v>
      </c>
      <c r="E14533" s="733"/>
    </row>
    <row r="14534" spans="2:5">
      <c r="B14534" s="121">
        <v>1232</v>
      </c>
      <c r="C14534" s="121">
        <v>19</v>
      </c>
      <c r="D14534" s="734">
        <v>143.67907238297741</v>
      </c>
      <c r="E14534" s="733"/>
    </row>
    <row r="14535" spans="2:5">
      <c r="B14535" s="121">
        <v>1233</v>
      </c>
      <c r="C14535" s="121">
        <v>1</v>
      </c>
      <c r="D14535" s="734">
        <v>5</v>
      </c>
      <c r="E14535" s="733"/>
    </row>
    <row r="14536" spans="2:5">
      <c r="B14536" s="121">
        <v>1233</v>
      </c>
      <c r="C14536" s="121">
        <v>2</v>
      </c>
      <c r="D14536" s="734">
        <v>102.29005373285054</v>
      </c>
      <c r="E14536" s="733"/>
    </row>
    <row r="14537" spans="2:5">
      <c r="B14537" s="121">
        <v>1233</v>
      </c>
      <c r="C14537" s="121">
        <v>3</v>
      </c>
      <c r="D14537" s="734">
        <v>115.1255949797431</v>
      </c>
      <c r="E14537" s="733"/>
    </row>
    <row r="14538" spans="2:5">
      <c r="B14538" s="121">
        <v>1234</v>
      </c>
      <c r="C14538" s="121">
        <v>1</v>
      </c>
      <c r="D14538" s="734">
        <v>5</v>
      </c>
      <c r="E14538" s="733"/>
    </row>
    <row r="14539" spans="2:5">
      <c r="B14539" s="121">
        <v>1234</v>
      </c>
      <c r="C14539" s="121">
        <v>2</v>
      </c>
      <c r="D14539" s="734">
        <v>103.48733103084406</v>
      </c>
      <c r="E14539" s="733"/>
    </row>
    <row r="14540" spans="2:5">
      <c r="B14540" s="121">
        <v>1234</v>
      </c>
      <c r="C14540" s="121">
        <v>3</v>
      </c>
      <c r="D14540" s="734">
        <v>121.26925616211918</v>
      </c>
      <c r="E14540" s="733"/>
    </row>
    <row r="14541" spans="2:5">
      <c r="B14541" s="121">
        <v>1234</v>
      </c>
      <c r="C14541" s="121">
        <v>4</v>
      </c>
      <c r="D14541" s="734">
        <v>143.01870435181593</v>
      </c>
      <c r="E14541" s="733"/>
    </row>
    <row r="14542" spans="2:5">
      <c r="B14542" s="121">
        <v>1234</v>
      </c>
      <c r="C14542" s="121">
        <v>5</v>
      </c>
      <c r="D14542" s="734">
        <v>142.74870014961351</v>
      </c>
      <c r="E14542" s="733"/>
    </row>
    <row r="14543" spans="2:5">
      <c r="B14543" s="121">
        <v>1234</v>
      </c>
      <c r="C14543" s="121">
        <v>6</v>
      </c>
      <c r="D14543" s="734">
        <v>141.28920043508595</v>
      </c>
      <c r="E14543" s="733"/>
    </row>
    <row r="14544" spans="2:5">
      <c r="B14544" s="121">
        <v>1234</v>
      </c>
      <c r="C14544" s="121">
        <v>7</v>
      </c>
      <c r="D14544" s="734">
        <v>146.8848673209383</v>
      </c>
      <c r="E14544" s="733"/>
    </row>
    <row r="14545" spans="2:5">
      <c r="B14545" s="121">
        <v>1235</v>
      </c>
      <c r="C14545" s="121">
        <v>1</v>
      </c>
      <c r="D14545" s="734">
        <v>5</v>
      </c>
      <c r="E14545" s="733"/>
    </row>
    <row r="14546" spans="2:5">
      <c r="B14546" s="121">
        <v>1235</v>
      </c>
      <c r="C14546" s="121">
        <v>2</v>
      </c>
      <c r="D14546" s="734">
        <v>99.879628166569532</v>
      </c>
      <c r="E14546" s="733"/>
    </row>
    <row r="14547" spans="2:5">
      <c r="B14547" s="121">
        <v>1235</v>
      </c>
      <c r="C14547" s="121">
        <v>3</v>
      </c>
      <c r="D14547" s="734">
        <v>116.23778357894261</v>
      </c>
      <c r="E14547" s="733"/>
    </row>
    <row r="14548" spans="2:5">
      <c r="B14548" s="121">
        <v>1235</v>
      </c>
      <c r="C14548" s="121">
        <v>4</v>
      </c>
      <c r="D14548" s="734">
        <v>139.85325745292093</v>
      </c>
      <c r="E14548" s="733"/>
    </row>
    <row r="14549" spans="2:5">
      <c r="B14549" s="121">
        <v>1235</v>
      </c>
      <c r="C14549" s="121">
        <v>5</v>
      </c>
      <c r="D14549" s="734">
        <v>143.65725096116358</v>
      </c>
      <c r="E14549" s="733"/>
    </row>
    <row r="14550" spans="2:5">
      <c r="B14550" s="121">
        <v>1235</v>
      </c>
      <c r="C14550" s="121">
        <v>6</v>
      </c>
      <c r="D14550" s="734">
        <v>135.61847050913062</v>
      </c>
      <c r="E14550" s="733"/>
    </row>
    <row r="14551" spans="2:5">
      <c r="B14551" s="121">
        <v>1235</v>
      </c>
      <c r="C14551" s="121">
        <v>7</v>
      </c>
      <c r="D14551" s="734">
        <v>138.77511675106211</v>
      </c>
      <c r="E14551" s="733"/>
    </row>
    <row r="14552" spans="2:5">
      <c r="B14552" s="121">
        <v>1235</v>
      </c>
      <c r="C14552" s="121">
        <v>8</v>
      </c>
      <c r="D14552" s="734">
        <v>141.31063993193987</v>
      </c>
      <c r="E14552" s="733"/>
    </row>
    <row r="14553" spans="2:5">
      <c r="B14553" s="121">
        <v>1235</v>
      </c>
      <c r="C14553" s="121">
        <v>9</v>
      </c>
      <c r="D14553" s="734">
        <v>141.7529803343626</v>
      </c>
      <c r="E14553" s="733"/>
    </row>
    <row r="14554" spans="2:5">
      <c r="B14554" s="121">
        <v>1235</v>
      </c>
      <c r="C14554" s="121">
        <v>10</v>
      </c>
      <c r="D14554" s="734">
        <v>142.36124792398778</v>
      </c>
      <c r="E14554" s="733"/>
    </row>
    <row r="14555" spans="2:5">
      <c r="B14555" s="121">
        <v>1235</v>
      </c>
      <c r="C14555" s="121">
        <v>11</v>
      </c>
      <c r="D14555" s="734">
        <v>136.38675684788493</v>
      </c>
      <c r="E14555" s="733"/>
    </row>
    <row r="14556" spans="2:5">
      <c r="B14556" s="121">
        <v>1235</v>
      </c>
      <c r="C14556" s="121">
        <v>12</v>
      </c>
      <c r="D14556" s="734">
        <v>136.8122284409022</v>
      </c>
      <c r="E14556" s="733"/>
    </row>
    <row r="14557" spans="2:5">
      <c r="B14557" s="121">
        <v>1235</v>
      </c>
      <c r="C14557" s="121">
        <v>13</v>
      </c>
      <c r="D14557" s="734">
        <v>141.80259951340017</v>
      </c>
      <c r="E14557" s="733"/>
    </row>
    <row r="14558" spans="2:5">
      <c r="B14558" s="121">
        <v>1235</v>
      </c>
      <c r="C14558" s="121">
        <v>14</v>
      </c>
      <c r="D14558" s="734">
        <v>143.98706660755306</v>
      </c>
      <c r="E14558" s="733"/>
    </row>
    <row r="14559" spans="2:5">
      <c r="B14559" s="121">
        <v>1235</v>
      </c>
      <c r="C14559" s="121">
        <v>15</v>
      </c>
      <c r="D14559" s="734">
        <v>137.6640010581024</v>
      </c>
      <c r="E14559" s="733"/>
    </row>
    <row r="14560" spans="2:5">
      <c r="B14560" s="121">
        <v>1236</v>
      </c>
      <c r="C14560" s="121">
        <v>1</v>
      </c>
      <c r="D14560" s="734">
        <v>5</v>
      </c>
      <c r="E14560" s="733"/>
    </row>
    <row r="14561" spans="2:5">
      <c r="B14561" s="121">
        <v>1237</v>
      </c>
      <c r="C14561" s="121">
        <v>1</v>
      </c>
      <c r="D14561" s="734">
        <v>5</v>
      </c>
      <c r="E14561" s="733"/>
    </row>
    <row r="14562" spans="2:5">
      <c r="B14562" s="121">
        <v>1237</v>
      </c>
      <c r="C14562" s="121">
        <v>2</v>
      </c>
      <c r="D14562" s="734">
        <v>103.33057136052226</v>
      </c>
      <c r="E14562" s="733"/>
    </row>
    <row r="14563" spans="2:5">
      <c r="B14563" s="121">
        <v>1237</v>
      </c>
      <c r="C14563" s="121">
        <v>3</v>
      </c>
      <c r="D14563" s="734">
        <v>119.95841201526187</v>
      </c>
      <c r="E14563" s="733"/>
    </row>
    <row r="14564" spans="2:5">
      <c r="B14564" s="121">
        <v>1237</v>
      </c>
      <c r="C14564" s="121">
        <v>4</v>
      </c>
      <c r="D14564" s="734">
        <v>140.28687939065648</v>
      </c>
      <c r="E14564" s="733"/>
    </row>
    <row r="14565" spans="2:5">
      <c r="B14565" s="121">
        <v>1237</v>
      </c>
      <c r="C14565" s="121">
        <v>5</v>
      </c>
      <c r="D14565" s="734">
        <v>144.09639024218052</v>
      </c>
      <c r="E14565" s="733"/>
    </row>
    <row r="14566" spans="2:5">
      <c r="B14566" s="121">
        <v>1237</v>
      </c>
      <c r="C14566" s="121">
        <v>6</v>
      </c>
      <c r="D14566" s="734">
        <v>140.23965648112298</v>
      </c>
      <c r="E14566" s="733"/>
    </row>
    <row r="14567" spans="2:5">
      <c r="B14567" s="121">
        <v>1237</v>
      </c>
      <c r="C14567" s="121">
        <v>7</v>
      </c>
      <c r="D14567" s="734">
        <v>142.73226481372646</v>
      </c>
      <c r="E14567" s="733"/>
    </row>
    <row r="14568" spans="2:5">
      <c r="B14568" s="121">
        <v>1237</v>
      </c>
      <c r="C14568" s="121">
        <v>8</v>
      </c>
      <c r="D14568" s="734">
        <v>144.3089832872584</v>
      </c>
      <c r="E14568" s="733"/>
    </row>
    <row r="14569" spans="2:5">
      <c r="B14569" s="121">
        <v>1237</v>
      </c>
      <c r="C14569" s="121">
        <v>9</v>
      </c>
      <c r="D14569" s="734">
        <v>144.0483249891796</v>
      </c>
      <c r="E14569" s="733"/>
    </row>
    <row r="14570" spans="2:5">
      <c r="B14570" s="121">
        <v>1237</v>
      </c>
      <c r="C14570" s="121">
        <v>10</v>
      </c>
      <c r="D14570" s="734">
        <v>135.77371793326995</v>
      </c>
      <c r="E14570" s="733"/>
    </row>
    <row r="14571" spans="2:5">
      <c r="B14571" s="121">
        <v>1237</v>
      </c>
      <c r="C14571" s="121">
        <v>11</v>
      </c>
      <c r="D14571" s="734">
        <v>144.91017134670199</v>
      </c>
      <c r="E14571" s="733"/>
    </row>
    <row r="14572" spans="2:5">
      <c r="B14572" s="121">
        <v>1237</v>
      </c>
      <c r="C14572" s="121">
        <v>12</v>
      </c>
      <c r="D14572" s="734">
        <v>134.73258872965053</v>
      </c>
      <c r="E14572" s="733"/>
    </row>
    <row r="14573" spans="2:5">
      <c r="B14573" s="121">
        <v>1237</v>
      </c>
      <c r="C14573" s="121">
        <v>13</v>
      </c>
      <c r="D14573" s="734">
        <v>137.21159902815097</v>
      </c>
      <c r="E14573" s="733"/>
    </row>
    <row r="14574" spans="2:5">
      <c r="B14574" s="121">
        <v>1237</v>
      </c>
      <c r="C14574" s="121">
        <v>14</v>
      </c>
      <c r="D14574" s="734">
        <v>144.59488430836603</v>
      </c>
      <c r="E14574" s="733"/>
    </row>
    <row r="14575" spans="2:5">
      <c r="B14575" s="121">
        <v>1237</v>
      </c>
      <c r="C14575" s="121">
        <v>15</v>
      </c>
      <c r="D14575" s="734">
        <v>134.23979073089566</v>
      </c>
      <c r="E14575" s="733"/>
    </row>
    <row r="14576" spans="2:5">
      <c r="B14576" s="121">
        <v>1237</v>
      </c>
      <c r="C14576" s="121">
        <v>16</v>
      </c>
      <c r="D14576" s="734">
        <v>134.507229797923</v>
      </c>
      <c r="E14576" s="733"/>
    </row>
    <row r="14577" spans="2:5">
      <c r="B14577" s="121">
        <v>1237</v>
      </c>
      <c r="C14577" s="121">
        <v>17</v>
      </c>
      <c r="D14577" s="734">
        <v>144.74339270761803</v>
      </c>
      <c r="E14577" s="733"/>
    </row>
    <row r="14578" spans="2:5">
      <c r="B14578" s="121">
        <v>1237</v>
      </c>
      <c r="C14578" s="121">
        <v>18</v>
      </c>
      <c r="D14578" s="734">
        <v>141.01040551096773</v>
      </c>
      <c r="E14578" s="733"/>
    </row>
    <row r="14579" spans="2:5">
      <c r="B14579" s="121">
        <v>1237</v>
      </c>
      <c r="C14579" s="121">
        <v>19</v>
      </c>
      <c r="D14579" s="734">
        <v>140.94581247277941</v>
      </c>
      <c r="E14579" s="733"/>
    </row>
    <row r="14580" spans="2:5">
      <c r="B14580" s="121">
        <v>1237</v>
      </c>
      <c r="C14580" s="121">
        <v>20</v>
      </c>
      <c r="D14580" s="734">
        <v>138.72853659556242</v>
      </c>
      <c r="E14580" s="733"/>
    </row>
    <row r="14581" spans="2:5">
      <c r="B14581" s="121">
        <v>1237</v>
      </c>
      <c r="C14581" s="121">
        <v>21</v>
      </c>
      <c r="D14581" s="734">
        <v>137.4553851898938</v>
      </c>
      <c r="E14581" s="733"/>
    </row>
    <row r="14582" spans="2:5">
      <c r="B14582" s="121">
        <v>1237</v>
      </c>
      <c r="C14582" s="121">
        <v>22</v>
      </c>
      <c r="D14582" s="734">
        <v>136.64540742235442</v>
      </c>
      <c r="E14582" s="733"/>
    </row>
    <row r="14583" spans="2:5">
      <c r="B14583" s="121">
        <v>1237</v>
      </c>
      <c r="C14583" s="121">
        <v>23</v>
      </c>
      <c r="D14583" s="734">
        <v>146.81645679414396</v>
      </c>
      <c r="E14583" s="733"/>
    </row>
    <row r="14584" spans="2:5">
      <c r="B14584" s="121">
        <v>1237</v>
      </c>
      <c r="C14584" s="121">
        <v>24</v>
      </c>
      <c r="D14584" s="734">
        <v>135.68162007387383</v>
      </c>
      <c r="E14584" s="733"/>
    </row>
    <row r="14585" spans="2:5">
      <c r="B14585" s="121">
        <v>1237</v>
      </c>
      <c r="C14585" s="121">
        <v>25</v>
      </c>
      <c r="D14585" s="734">
        <v>145.03207384505143</v>
      </c>
      <c r="E14585" s="733"/>
    </row>
    <row r="14586" spans="2:5">
      <c r="B14586" s="121">
        <v>1237</v>
      </c>
      <c r="C14586" s="121">
        <v>26</v>
      </c>
      <c r="D14586" s="734">
        <v>146.93502969273968</v>
      </c>
      <c r="E14586" s="733"/>
    </row>
    <row r="14587" spans="2:5">
      <c r="B14587" s="121">
        <v>1237</v>
      </c>
      <c r="C14587" s="121">
        <v>27</v>
      </c>
      <c r="D14587" s="734">
        <v>143.9985814595683</v>
      </c>
      <c r="E14587" s="733"/>
    </row>
    <row r="14588" spans="2:5">
      <c r="B14588" s="121">
        <v>1237</v>
      </c>
      <c r="C14588" s="121">
        <v>28</v>
      </c>
      <c r="D14588" s="734">
        <v>134.22097392940421</v>
      </c>
      <c r="E14588" s="733"/>
    </row>
    <row r="14589" spans="2:5">
      <c r="B14589" s="121">
        <v>1237</v>
      </c>
      <c r="C14589" s="121">
        <v>29</v>
      </c>
      <c r="D14589" s="734">
        <v>139.45723977946841</v>
      </c>
      <c r="E14589" s="733"/>
    </row>
    <row r="14590" spans="2:5">
      <c r="B14590" s="121">
        <v>1237</v>
      </c>
      <c r="C14590" s="121">
        <v>30</v>
      </c>
      <c r="D14590" s="734">
        <v>139.8136372499969</v>
      </c>
      <c r="E14590" s="733"/>
    </row>
    <row r="14591" spans="2:5">
      <c r="B14591" s="121">
        <v>1237</v>
      </c>
      <c r="C14591" s="121">
        <v>31</v>
      </c>
      <c r="D14591" s="734">
        <v>141.04271652089128</v>
      </c>
      <c r="E14591" s="733"/>
    </row>
    <row r="14592" spans="2:5">
      <c r="B14592" s="121">
        <v>1237</v>
      </c>
      <c r="C14592" s="121">
        <v>32</v>
      </c>
      <c r="D14592" s="734">
        <v>133.92624866024332</v>
      </c>
      <c r="E14592" s="733"/>
    </row>
    <row r="14593" spans="2:5">
      <c r="B14593" s="121">
        <v>1237</v>
      </c>
      <c r="C14593" s="121">
        <v>33</v>
      </c>
      <c r="D14593" s="734">
        <v>145.95909850892147</v>
      </c>
      <c r="E14593" s="733"/>
    </row>
    <row r="14594" spans="2:5">
      <c r="B14594" s="121">
        <v>1237</v>
      </c>
      <c r="C14594" s="121">
        <v>34</v>
      </c>
      <c r="D14594" s="734">
        <v>145.69583485221509</v>
      </c>
      <c r="E14594" s="733"/>
    </row>
    <row r="14595" spans="2:5">
      <c r="B14595" s="121">
        <v>1237</v>
      </c>
      <c r="C14595" s="121">
        <v>35</v>
      </c>
      <c r="D14595" s="734">
        <v>133.93170406956207</v>
      </c>
      <c r="E14595" s="733"/>
    </row>
    <row r="14596" spans="2:5">
      <c r="B14596" s="121">
        <v>1237</v>
      </c>
      <c r="C14596" s="121">
        <v>36</v>
      </c>
      <c r="D14596" s="734">
        <v>140.7934357696044</v>
      </c>
      <c r="E14596" s="733"/>
    </row>
    <row r="14597" spans="2:5">
      <c r="B14597" s="121">
        <v>1238</v>
      </c>
      <c r="C14597" s="121">
        <v>1</v>
      </c>
      <c r="D14597" s="734">
        <v>5</v>
      </c>
      <c r="E14597" s="733"/>
    </row>
    <row r="14598" spans="2:5">
      <c r="B14598" s="121">
        <v>1238</v>
      </c>
      <c r="C14598" s="121">
        <v>2</v>
      </c>
      <c r="D14598" s="734">
        <v>96.629750679667112</v>
      </c>
      <c r="E14598" s="733"/>
    </row>
    <row r="14599" spans="2:5">
      <c r="B14599" s="121">
        <v>1238</v>
      </c>
      <c r="C14599" s="121">
        <v>3</v>
      </c>
      <c r="D14599" s="734">
        <v>122.82751127601034</v>
      </c>
      <c r="E14599" s="733"/>
    </row>
    <row r="14600" spans="2:5">
      <c r="B14600" s="121">
        <v>1239</v>
      </c>
      <c r="C14600" s="121">
        <v>1</v>
      </c>
      <c r="D14600" s="734">
        <v>5</v>
      </c>
      <c r="E14600" s="733"/>
    </row>
    <row r="14601" spans="2:5">
      <c r="B14601" s="121">
        <v>1239</v>
      </c>
      <c r="C14601" s="121">
        <v>2</v>
      </c>
      <c r="D14601" s="734">
        <v>97.116140141170675</v>
      </c>
      <c r="E14601" s="733"/>
    </row>
    <row r="14602" spans="2:5">
      <c r="B14602" s="121">
        <v>1239</v>
      </c>
      <c r="C14602" s="121">
        <v>3</v>
      </c>
      <c r="D14602" s="734">
        <v>118.97626746661912</v>
      </c>
      <c r="E14602" s="733"/>
    </row>
    <row r="14603" spans="2:5">
      <c r="B14603" s="121">
        <v>1239</v>
      </c>
      <c r="C14603" s="121">
        <v>4</v>
      </c>
      <c r="D14603" s="734">
        <v>138.59507168573609</v>
      </c>
      <c r="E14603" s="733"/>
    </row>
    <row r="14604" spans="2:5">
      <c r="B14604" s="121">
        <v>1239</v>
      </c>
      <c r="C14604" s="121">
        <v>5</v>
      </c>
      <c r="D14604" s="734">
        <v>143.34002546536766</v>
      </c>
      <c r="E14604" s="733"/>
    </row>
    <row r="14605" spans="2:5">
      <c r="B14605" s="121">
        <v>1239</v>
      </c>
      <c r="C14605" s="121">
        <v>6</v>
      </c>
      <c r="D14605" s="734">
        <v>140.24846520117293</v>
      </c>
      <c r="E14605" s="733"/>
    </row>
    <row r="14606" spans="2:5">
      <c r="B14606" s="121">
        <v>1239</v>
      </c>
      <c r="C14606" s="121">
        <v>7</v>
      </c>
      <c r="D14606" s="734">
        <v>136.52640206912582</v>
      </c>
      <c r="E14606" s="733"/>
    </row>
    <row r="14607" spans="2:5">
      <c r="B14607" s="121">
        <v>1239</v>
      </c>
      <c r="C14607" s="121">
        <v>8</v>
      </c>
      <c r="D14607" s="734">
        <v>137.98124666645805</v>
      </c>
      <c r="E14607" s="733"/>
    </row>
    <row r="14608" spans="2:5">
      <c r="B14608" s="121">
        <v>1239</v>
      </c>
      <c r="C14608" s="121">
        <v>9</v>
      </c>
      <c r="D14608" s="734">
        <v>143.6162484642972</v>
      </c>
      <c r="E14608" s="733"/>
    </row>
    <row r="14609" spans="2:5">
      <c r="B14609" s="121">
        <v>1239</v>
      </c>
      <c r="C14609" s="121">
        <v>10</v>
      </c>
      <c r="D14609" s="734">
        <v>134.54657296046636</v>
      </c>
      <c r="E14609" s="733"/>
    </row>
    <row r="14610" spans="2:5">
      <c r="B14610" s="121">
        <v>1239</v>
      </c>
      <c r="C14610" s="121">
        <v>11</v>
      </c>
      <c r="D14610" s="734">
        <v>136.67452190382824</v>
      </c>
      <c r="E14610" s="733"/>
    </row>
    <row r="14611" spans="2:5">
      <c r="B14611" s="121">
        <v>1239</v>
      </c>
      <c r="C14611" s="121">
        <v>12</v>
      </c>
      <c r="D14611" s="734">
        <v>147.0636880349019</v>
      </c>
      <c r="E14611" s="733"/>
    </row>
    <row r="14612" spans="2:5">
      <c r="B14612" s="121">
        <v>1239</v>
      </c>
      <c r="C14612" s="121">
        <v>13</v>
      </c>
      <c r="D14612" s="734">
        <v>143.85892166929406</v>
      </c>
      <c r="E14612" s="733"/>
    </row>
    <row r="14613" spans="2:5">
      <c r="B14613" s="121">
        <v>1239</v>
      </c>
      <c r="C14613" s="121">
        <v>14</v>
      </c>
      <c r="D14613" s="734">
        <v>134.72843793961596</v>
      </c>
      <c r="E14613" s="733"/>
    </row>
    <row r="14614" spans="2:5">
      <c r="B14614" s="121">
        <v>1239</v>
      </c>
      <c r="C14614" s="121">
        <v>15</v>
      </c>
      <c r="D14614" s="734">
        <v>145.60933823833929</v>
      </c>
      <c r="E14614" s="733"/>
    </row>
    <row r="14615" spans="2:5">
      <c r="B14615" s="121">
        <v>1239</v>
      </c>
      <c r="C14615" s="121">
        <v>16</v>
      </c>
      <c r="D14615" s="734">
        <v>140.3345171927177</v>
      </c>
      <c r="E14615" s="733"/>
    </row>
    <row r="14616" spans="2:5">
      <c r="B14616" s="121">
        <v>1239</v>
      </c>
      <c r="C14616" s="121">
        <v>17</v>
      </c>
      <c r="D14616" s="734">
        <v>134.75289849855582</v>
      </c>
      <c r="E14616" s="733"/>
    </row>
    <row r="14617" spans="2:5">
      <c r="B14617" s="121">
        <v>1239</v>
      </c>
      <c r="C14617" s="121">
        <v>18</v>
      </c>
      <c r="D14617" s="734">
        <v>137.34587635608742</v>
      </c>
      <c r="E14617" s="733"/>
    </row>
    <row r="14618" spans="2:5">
      <c r="B14618" s="121">
        <v>1239</v>
      </c>
      <c r="C14618" s="121">
        <v>19</v>
      </c>
      <c r="D14618" s="734">
        <v>140.63939615035176</v>
      </c>
      <c r="E14618" s="733"/>
    </row>
    <row r="14619" spans="2:5">
      <c r="B14619" s="121">
        <v>1239</v>
      </c>
      <c r="C14619" s="121">
        <v>20</v>
      </c>
      <c r="D14619" s="734">
        <v>137.51901452632868</v>
      </c>
      <c r="E14619" s="733"/>
    </row>
    <row r="14620" spans="2:5">
      <c r="B14620" s="121">
        <v>1239</v>
      </c>
      <c r="C14620" s="121">
        <v>21</v>
      </c>
      <c r="D14620" s="734">
        <v>142.04945174762224</v>
      </c>
      <c r="E14620" s="733"/>
    </row>
    <row r="14621" spans="2:5">
      <c r="B14621" s="121">
        <v>1239</v>
      </c>
      <c r="C14621" s="121">
        <v>22</v>
      </c>
      <c r="D14621" s="734">
        <v>146.99086080546456</v>
      </c>
      <c r="E14621" s="733"/>
    </row>
    <row r="14622" spans="2:5">
      <c r="B14622" s="121">
        <v>1239</v>
      </c>
      <c r="C14622" s="121">
        <v>23</v>
      </c>
      <c r="D14622" s="734">
        <v>137.41156797643106</v>
      </c>
      <c r="E14622" s="733"/>
    </row>
    <row r="14623" spans="2:5">
      <c r="B14623" s="121">
        <v>1239</v>
      </c>
      <c r="C14623" s="121">
        <v>24</v>
      </c>
      <c r="D14623" s="734">
        <v>136.8864308947102</v>
      </c>
      <c r="E14623" s="733"/>
    </row>
    <row r="14624" spans="2:5">
      <c r="B14624" s="121">
        <v>1239</v>
      </c>
      <c r="C14624" s="121">
        <v>25</v>
      </c>
      <c r="D14624" s="734">
        <v>145.58670281296233</v>
      </c>
      <c r="E14624" s="733"/>
    </row>
    <row r="14625" spans="2:5">
      <c r="B14625" s="121">
        <v>1239</v>
      </c>
      <c r="C14625" s="121">
        <v>26</v>
      </c>
      <c r="D14625" s="734">
        <v>136.0567815296429</v>
      </c>
      <c r="E14625" s="733"/>
    </row>
    <row r="14626" spans="2:5">
      <c r="B14626" s="121">
        <v>1239</v>
      </c>
      <c r="C14626" s="121">
        <v>27</v>
      </c>
      <c r="D14626" s="734">
        <v>135.1998362699951</v>
      </c>
      <c r="E14626" s="733"/>
    </row>
    <row r="14627" spans="2:5">
      <c r="B14627" s="121">
        <v>1239</v>
      </c>
      <c r="C14627" s="121">
        <v>28</v>
      </c>
      <c r="D14627" s="734">
        <v>146.73536414005281</v>
      </c>
      <c r="E14627" s="733"/>
    </row>
    <row r="14628" spans="2:5">
      <c r="B14628" s="121">
        <v>1239</v>
      </c>
      <c r="C14628" s="121">
        <v>29</v>
      </c>
      <c r="D14628" s="734">
        <v>141.45696594205216</v>
      </c>
      <c r="E14628" s="733"/>
    </row>
    <row r="14629" spans="2:5">
      <c r="B14629" s="121">
        <v>1239</v>
      </c>
      <c r="C14629" s="121">
        <v>30</v>
      </c>
      <c r="D14629" s="734">
        <v>139.3538216191678</v>
      </c>
      <c r="E14629" s="733"/>
    </row>
    <row r="14630" spans="2:5">
      <c r="B14630" s="121">
        <v>1239</v>
      </c>
      <c r="C14630" s="121">
        <v>31</v>
      </c>
      <c r="D14630" s="734">
        <v>137.78930706032517</v>
      </c>
      <c r="E14630" s="733"/>
    </row>
    <row r="14631" spans="2:5">
      <c r="B14631" s="121">
        <v>1239</v>
      </c>
      <c r="C14631" s="121">
        <v>32</v>
      </c>
      <c r="D14631" s="734">
        <v>141.91029263313402</v>
      </c>
      <c r="E14631" s="733"/>
    </row>
    <row r="14632" spans="2:5">
      <c r="B14632" s="121">
        <v>1240</v>
      </c>
      <c r="C14632" s="121">
        <v>1</v>
      </c>
      <c r="D14632" s="734">
        <v>5</v>
      </c>
      <c r="E14632" s="733"/>
    </row>
    <row r="14633" spans="2:5">
      <c r="B14633" s="121">
        <v>1240</v>
      </c>
      <c r="C14633" s="121">
        <v>2</v>
      </c>
      <c r="D14633" s="734">
        <v>96.650776837694849</v>
      </c>
      <c r="E14633" s="733"/>
    </row>
    <row r="14634" spans="2:5">
      <c r="B14634" s="121">
        <v>1240</v>
      </c>
      <c r="C14634" s="121">
        <v>3</v>
      </c>
      <c r="D14634" s="734">
        <v>115.13546729520506</v>
      </c>
      <c r="E14634" s="733"/>
    </row>
    <row r="14635" spans="2:5">
      <c r="B14635" s="121">
        <v>1240</v>
      </c>
      <c r="C14635" s="121">
        <v>4</v>
      </c>
      <c r="D14635" s="734">
        <v>137.76583799692497</v>
      </c>
      <c r="E14635" s="733"/>
    </row>
    <row r="14636" spans="2:5">
      <c r="B14636" s="121">
        <v>1240</v>
      </c>
      <c r="C14636" s="121">
        <v>5</v>
      </c>
      <c r="D14636" s="734">
        <v>142.03766956762703</v>
      </c>
      <c r="E14636" s="733"/>
    </row>
    <row r="14637" spans="2:5">
      <c r="B14637" s="121">
        <v>1240</v>
      </c>
      <c r="C14637" s="121">
        <v>6</v>
      </c>
      <c r="D14637" s="734">
        <v>135.17196502210905</v>
      </c>
      <c r="E14637" s="733"/>
    </row>
    <row r="14638" spans="2:5">
      <c r="B14638" s="121">
        <v>1240</v>
      </c>
      <c r="C14638" s="121">
        <v>7</v>
      </c>
      <c r="D14638" s="734">
        <v>145.4461956509472</v>
      </c>
      <c r="E14638" s="733"/>
    </row>
    <row r="14639" spans="2:5">
      <c r="B14639" s="121">
        <v>1240</v>
      </c>
      <c r="C14639" s="121">
        <v>8</v>
      </c>
      <c r="D14639" s="734">
        <v>139.51229515732436</v>
      </c>
      <c r="E14639" s="733"/>
    </row>
    <row r="14640" spans="2:5">
      <c r="B14640" s="121">
        <v>1240</v>
      </c>
      <c r="C14640" s="121">
        <v>9</v>
      </c>
      <c r="D14640" s="734">
        <v>140.65340526167535</v>
      </c>
      <c r="E14640" s="733"/>
    </row>
    <row r="14641" spans="2:5">
      <c r="B14641" s="121">
        <v>1240</v>
      </c>
      <c r="C14641" s="121">
        <v>10</v>
      </c>
      <c r="D14641" s="734">
        <v>145.77331525155762</v>
      </c>
      <c r="E14641" s="733"/>
    </row>
    <row r="14642" spans="2:5">
      <c r="B14642" s="121">
        <v>1240</v>
      </c>
      <c r="C14642" s="121">
        <v>11</v>
      </c>
      <c r="D14642" s="734">
        <v>137.77189641673064</v>
      </c>
      <c r="E14642" s="733"/>
    </row>
    <row r="14643" spans="2:5">
      <c r="B14643" s="121">
        <v>1240</v>
      </c>
      <c r="C14643" s="121">
        <v>12</v>
      </c>
      <c r="D14643" s="734">
        <v>146.81991912041687</v>
      </c>
      <c r="E14643" s="733"/>
    </row>
    <row r="14644" spans="2:5">
      <c r="B14644" s="121">
        <v>1240</v>
      </c>
      <c r="C14644" s="121">
        <v>13</v>
      </c>
      <c r="D14644" s="734">
        <v>136.36554159146789</v>
      </c>
      <c r="E14644" s="733"/>
    </row>
    <row r="14645" spans="2:5">
      <c r="B14645" s="121">
        <v>1240</v>
      </c>
      <c r="C14645" s="121">
        <v>14</v>
      </c>
      <c r="D14645" s="734">
        <v>145.50206719827267</v>
      </c>
      <c r="E14645" s="733"/>
    </row>
    <row r="14646" spans="2:5">
      <c r="B14646" s="121">
        <v>1240</v>
      </c>
      <c r="C14646" s="121">
        <v>15</v>
      </c>
      <c r="D14646" s="734">
        <v>143.94654771699115</v>
      </c>
      <c r="E14646" s="733"/>
    </row>
    <row r="14647" spans="2:5">
      <c r="B14647" s="121">
        <v>1240</v>
      </c>
      <c r="C14647" s="121">
        <v>16</v>
      </c>
      <c r="D14647" s="734">
        <v>134.38223132558696</v>
      </c>
      <c r="E14647" s="733"/>
    </row>
    <row r="14648" spans="2:5">
      <c r="B14648" s="121">
        <v>1240</v>
      </c>
      <c r="C14648" s="121">
        <v>17</v>
      </c>
      <c r="D14648" s="734">
        <v>146.66469395953806</v>
      </c>
      <c r="E14648" s="733"/>
    </row>
    <row r="14649" spans="2:5">
      <c r="B14649" s="121">
        <v>1240</v>
      </c>
      <c r="C14649" s="121">
        <v>18</v>
      </c>
      <c r="D14649" s="734">
        <v>143.74435250561851</v>
      </c>
      <c r="E14649" s="733"/>
    </row>
    <row r="14650" spans="2:5">
      <c r="B14650" s="121">
        <v>1240</v>
      </c>
      <c r="C14650" s="121">
        <v>19</v>
      </c>
      <c r="D14650" s="734">
        <v>137.5171793215151</v>
      </c>
      <c r="E14650" s="733"/>
    </row>
    <row r="14651" spans="2:5">
      <c r="B14651" s="121">
        <v>1240</v>
      </c>
      <c r="C14651" s="121">
        <v>20</v>
      </c>
      <c r="D14651" s="734">
        <v>133.68114087036795</v>
      </c>
      <c r="E14651" s="733"/>
    </row>
    <row r="14652" spans="2:5">
      <c r="B14652" s="121">
        <v>1241</v>
      </c>
      <c r="C14652" s="121">
        <v>1</v>
      </c>
      <c r="D14652" s="734">
        <v>5</v>
      </c>
      <c r="E14652" s="733"/>
    </row>
    <row r="14653" spans="2:5">
      <c r="B14653" s="121">
        <v>1242</v>
      </c>
      <c r="C14653" s="121">
        <v>1</v>
      </c>
      <c r="D14653" s="734">
        <v>5</v>
      </c>
      <c r="E14653" s="733"/>
    </row>
    <row r="14654" spans="2:5">
      <c r="B14654" s="121">
        <v>1242</v>
      </c>
      <c r="C14654" s="121">
        <v>2</v>
      </c>
      <c r="D14654" s="734">
        <v>96.165583336389432</v>
      </c>
      <c r="E14654" s="733"/>
    </row>
    <row r="14655" spans="2:5">
      <c r="B14655" s="121">
        <v>1243</v>
      </c>
      <c r="C14655" s="121">
        <v>1</v>
      </c>
      <c r="D14655" s="734">
        <v>5</v>
      </c>
      <c r="E14655" s="733"/>
    </row>
    <row r="14656" spans="2:5">
      <c r="B14656" s="121">
        <v>1243</v>
      </c>
      <c r="C14656" s="121">
        <v>2</v>
      </c>
      <c r="D14656" s="734">
        <v>103.25428184683317</v>
      </c>
      <c r="E14656" s="733"/>
    </row>
    <row r="14657" spans="2:5">
      <c r="B14657" s="121">
        <v>1244</v>
      </c>
      <c r="C14657" s="121">
        <v>1</v>
      </c>
      <c r="D14657" s="734">
        <v>5</v>
      </c>
      <c r="E14657" s="733"/>
    </row>
    <row r="14658" spans="2:5">
      <c r="B14658" s="121">
        <v>1244</v>
      </c>
      <c r="C14658" s="121">
        <v>2</v>
      </c>
      <c r="D14658" s="734">
        <v>96.295236397403684</v>
      </c>
      <c r="E14658" s="733"/>
    </row>
    <row r="14659" spans="2:5">
      <c r="B14659" s="121">
        <v>1244</v>
      </c>
      <c r="C14659" s="121">
        <v>3</v>
      </c>
      <c r="D14659" s="734">
        <v>115.0733758687625</v>
      </c>
      <c r="E14659" s="733"/>
    </row>
    <row r="14660" spans="2:5">
      <c r="B14660" s="121">
        <v>1244</v>
      </c>
      <c r="C14660" s="121">
        <v>4</v>
      </c>
      <c r="D14660" s="734">
        <v>146.00370489983698</v>
      </c>
      <c r="E14660" s="733"/>
    </row>
    <row r="14661" spans="2:5">
      <c r="B14661" s="121">
        <v>1244</v>
      </c>
      <c r="C14661" s="121">
        <v>5</v>
      </c>
      <c r="D14661" s="734">
        <v>142.49003666986454</v>
      </c>
      <c r="E14661" s="733"/>
    </row>
    <row r="14662" spans="2:5">
      <c r="B14662" s="121">
        <v>1244</v>
      </c>
      <c r="C14662" s="121">
        <v>6</v>
      </c>
      <c r="D14662" s="734">
        <v>138.07753351944081</v>
      </c>
      <c r="E14662" s="733"/>
    </row>
    <row r="14663" spans="2:5">
      <c r="B14663" s="121">
        <v>1244</v>
      </c>
      <c r="C14663" s="121">
        <v>7</v>
      </c>
      <c r="D14663" s="734">
        <v>143.41122675427221</v>
      </c>
      <c r="E14663" s="733"/>
    </row>
    <row r="14664" spans="2:5">
      <c r="B14664" s="121">
        <v>1244</v>
      </c>
      <c r="C14664" s="121">
        <v>8</v>
      </c>
      <c r="D14664" s="734">
        <v>140.20382235430912</v>
      </c>
      <c r="E14664" s="733"/>
    </row>
    <row r="14665" spans="2:5">
      <c r="B14665" s="121">
        <v>1244</v>
      </c>
      <c r="C14665" s="121">
        <v>9</v>
      </c>
      <c r="D14665" s="734">
        <v>136.37731515054301</v>
      </c>
      <c r="E14665" s="733"/>
    </row>
    <row r="14666" spans="2:5">
      <c r="B14666" s="121">
        <v>1244</v>
      </c>
      <c r="C14666" s="121">
        <v>10</v>
      </c>
      <c r="D14666" s="734">
        <v>140.56302895025456</v>
      </c>
      <c r="E14666" s="733"/>
    </row>
    <row r="14667" spans="2:5">
      <c r="B14667" s="121">
        <v>1244</v>
      </c>
      <c r="C14667" s="121">
        <v>11</v>
      </c>
      <c r="D14667" s="734">
        <v>136.67585650983645</v>
      </c>
      <c r="E14667" s="733"/>
    </row>
    <row r="14668" spans="2:5">
      <c r="B14668" s="121">
        <v>1244</v>
      </c>
      <c r="C14668" s="121">
        <v>12</v>
      </c>
      <c r="D14668" s="734">
        <v>140.06628348804853</v>
      </c>
      <c r="E14668" s="733"/>
    </row>
    <row r="14669" spans="2:5">
      <c r="B14669" s="121">
        <v>1244</v>
      </c>
      <c r="C14669" s="121">
        <v>13</v>
      </c>
      <c r="D14669" s="734">
        <v>145.80831779242274</v>
      </c>
      <c r="E14669" s="733"/>
    </row>
    <row r="14670" spans="2:5">
      <c r="B14670" s="121">
        <v>1244</v>
      </c>
      <c r="C14670" s="121">
        <v>14</v>
      </c>
      <c r="D14670" s="734">
        <v>138.30193932408278</v>
      </c>
      <c r="E14670" s="733"/>
    </row>
    <row r="14671" spans="2:5">
      <c r="B14671" s="121">
        <v>1244</v>
      </c>
      <c r="C14671" s="121">
        <v>15</v>
      </c>
      <c r="D14671" s="734">
        <v>145.50176826634754</v>
      </c>
      <c r="E14671" s="733"/>
    </row>
    <row r="14672" spans="2:5">
      <c r="B14672" s="121">
        <v>1244</v>
      </c>
      <c r="C14672" s="121">
        <v>16</v>
      </c>
      <c r="D14672" s="734">
        <v>144.60560799747569</v>
      </c>
      <c r="E14672" s="733"/>
    </row>
    <row r="14673" spans="2:5">
      <c r="B14673" s="121">
        <v>1244</v>
      </c>
      <c r="C14673" s="121">
        <v>17</v>
      </c>
      <c r="D14673" s="734">
        <v>133.92070661401524</v>
      </c>
      <c r="E14673" s="733"/>
    </row>
    <row r="14674" spans="2:5">
      <c r="B14674" s="121">
        <v>1244</v>
      </c>
      <c r="C14674" s="121">
        <v>18</v>
      </c>
      <c r="D14674" s="734">
        <v>140.04459362173847</v>
      </c>
      <c r="E14674" s="733"/>
    </row>
    <row r="14675" spans="2:5">
      <c r="B14675" s="121">
        <v>1244</v>
      </c>
      <c r="C14675" s="121">
        <v>19</v>
      </c>
      <c r="D14675" s="734">
        <v>145.59236562125031</v>
      </c>
      <c r="E14675" s="733"/>
    </row>
    <row r="14676" spans="2:5">
      <c r="B14676" s="121">
        <v>1244</v>
      </c>
      <c r="C14676" s="121">
        <v>20</v>
      </c>
      <c r="D14676" s="734">
        <v>139.19051299163161</v>
      </c>
      <c r="E14676" s="733"/>
    </row>
    <row r="14677" spans="2:5">
      <c r="B14677" s="121">
        <v>1244</v>
      </c>
      <c r="C14677" s="121">
        <v>21</v>
      </c>
      <c r="D14677" s="734">
        <v>143.85534368643971</v>
      </c>
      <c r="E14677" s="733"/>
    </row>
    <row r="14678" spans="2:5">
      <c r="B14678" s="121">
        <v>1244</v>
      </c>
      <c r="C14678" s="121">
        <v>22</v>
      </c>
      <c r="D14678" s="734">
        <v>135.55702443976838</v>
      </c>
      <c r="E14678" s="733"/>
    </row>
    <row r="14679" spans="2:5">
      <c r="B14679" s="121">
        <v>1244</v>
      </c>
      <c r="C14679" s="121">
        <v>23</v>
      </c>
      <c r="D14679" s="734">
        <v>141.3454942296938</v>
      </c>
      <c r="E14679" s="733"/>
    </row>
    <row r="14680" spans="2:5">
      <c r="B14680" s="121">
        <v>1244</v>
      </c>
      <c r="C14680" s="121">
        <v>24</v>
      </c>
      <c r="D14680" s="734">
        <v>141.40618028526933</v>
      </c>
      <c r="E14680" s="733"/>
    </row>
    <row r="14681" spans="2:5">
      <c r="B14681" s="121">
        <v>1244</v>
      </c>
      <c r="C14681" s="121">
        <v>25</v>
      </c>
      <c r="D14681" s="734">
        <v>141.37640287541535</v>
      </c>
      <c r="E14681" s="733"/>
    </row>
    <row r="14682" spans="2:5">
      <c r="B14682" s="121">
        <v>1244</v>
      </c>
      <c r="C14682" s="121">
        <v>26</v>
      </c>
      <c r="D14682" s="734">
        <v>139.93433565029432</v>
      </c>
      <c r="E14682" s="733"/>
    </row>
    <row r="14683" spans="2:5">
      <c r="B14683" s="121">
        <v>1244</v>
      </c>
      <c r="C14683" s="121">
        <v>27</v>
      </c>
      <c r="D14683" s="734">
        <v>140.05833967482536</v>
      </c>
      <c r="E14683" s="733"/>
    </row>
    <row r="14684" spans="2:5">
      <c r="B14684" s="121">
        <v>1244</v>
      </c>
      <c r="C14684" s="121">
        <v>28</v>
      </c>
      <c r="D14684" s="734">
        <v>145.25485536284035</v>
      </c>
      <c r="E14684" s="733"/>
    </row>
    <row r="14685" spans="2:5">
      <c r="B14685" s="121">
        <v>1244</v>
      </c>
      <c r="C14685" s="121">
        <v>29</v>
      </c>
      <c r="D14685" s="734">
        <v>140.69004977037102</v>
      </c>
      <c r="E14685" s="733"/>
    </row>
    <row r="14686" spans="2:5">
      <c r="B14686" s="121">
        <v>1244</v>
      </c>
      <c r="C14686" s="121">
        <v>30</v>
      </c>
      <c r="D14686" s="734">
        <v>139.6716463751261</v>
      </c>
      <c r="E14686" s="733"/>
    </row>
    <row r="14687" spans="2:5">
      <c r="B14687" s="121">
        <v>1244</v>
      </c>
      <c r="C14687" s="121">
        <v>31</v>
      </c>
      <c r="D14687" s="734">
        <v>143.44216308717034</v>
      </c>
      <c r="E14687" s="733"/>
    </row>
    <row r="14688" spans="2:5">
      <c r="B14688" s="121">
        <v>1244</v>
      </c>
      <c r="C14688" s="121">
        <v>32</v>
      </c>
      <c r="D14688" s="734">
        <v>137.76268260187481</v>
      </c>
      <c r="E14688" s="733"/>
    </row>
    <row r="14689" spans="2:5">
      <c r="B14689" s="121">
        <v>1244</v>
      </c>
      <c r="C14689" s="121">
        <v>33</v>
      </c>
      <c r="D14689" s="734">
        <v>136.80944614413357</v>
      </c>
      <c r="E14689" s="733"/>
    </row>
    <row r="14690" spans="2:5">
      <c r="B14690" s="121">
        <v>1244</v>
      </c>
      <c r="C14690" s="121">
        <v>34</v>
      </c>
      <c r="D14690" s="734">
        <v>143.0719637596267</v>
      </c>
      <c r="E14690" s="733"/>
    </row>
    <row r="14691" spans="2:5">
      <c r="B14691" s="121">
        <v>1244</v>
      </c>
      <c r="C14691" s="121">
        <v>35</v>
      </c>
      <c r="D14691" s="734">
        <v>145.74264370296339</v>
      </c>
      <c r="E14691" s="733"/>
    </row>
    <row r="14692" spans="2:5">
      <c r="B14692" s="121">
        <v>1244</v>
      </c>
      <c r="C14692" s="121">
        <v>36</v>
      </c>
      <c r="D14692" s="734">
        <v>134.35118674926429</v>
      </c>
      <c r="E14692" s="733"/>
    </row>
    <row r="14693" spans="2:5">
      <c r="B14693" s="121">
        <v>1245</v>
      </c>
      <c r="C14693" s="121">
        <v>1</v>
      </c>
      <c r="D14693" s="734">
        <v>5</v>
      </c>
      <c r="E14693" s="733"/>
    </row>
    <row r="14694" spans="2:5">
      <c r="B14694" s="121">
        <v>1246</v>
      </c>
      <c r="C14694" s="121">
        <v>1</v>
      </c>
      <c r="D14694" s="734">
        <v>5</v>
      </c>
      <c r="E14694" s="733"/>
    </row>
    <row r="14695" spans="2:5">
      <c r="B14695" s="121">
        <v>1246</v>
      </c>
      <c r="C14695" s="121">
        <v>2</v>
      </c>
      <c r="D14695" s="734">
        <v>100.28938677869321</v>
      </c>
      <c r="E14695" s="733"/>
    </row>
    <row r="14696" spans="2:5">
      <c r="B14696" s="121">
        <v>1246</v>
      </c>
      <c r="C14696" s="121">
        <v>3</v>
      </c>
      <c r="D14696" s="734">
        <v>118.00863387813702</v>
      </c>
      <c r="E14696" s="733"/>
    </row>
    <row r="14697" spans="2:5">
      <c r="B14697" s="121">
        <v>1246</v>
      </c>
      <c r="C14697" s="121">
        <v>4</v>
      </c>
      <c r="D14697" s="734">
        <v>140.07385379847787</v>
      </c>
      <c r="E14697" s="733"/>
    </row>
    <row r="14698" spans="2:5">
      <c r="B14698" s="121">
        <v>1246</v>
      </c>
      <c r="C14698" s="121">
        <v>5</v>
      </c>
      <c r="D14698" s="734">
        <v>137.73757229045418</v>
      </c>
      <c r="E14698" s="733"/>
    </row>
    <row r="14699" spans="2:5">
      <c r="B14699" s="121">
        <v>1246</v>
      </c>
      <c r="C14699" s="121">
        <v>6</v>
      </c>
      <c r="D14699" s="734">
        <v>146.77443863350169</v>
      </c>
      <c r="E14699" s="733"/>
    </row>
    <row r="14700" spans="2:5">
      <c r="B14700" s="121">
        <v>1246</v>
      </c>
      <c r="C14700" s="121">
        <v>7</v>
      </c>
      <c r="D14700" s="734">
        <v>143.35386487175256</v>
      </c>
      <c r="E14700" s="733"/>
    </row>
    <row r="14701" spans="2:5">
      <c r="B14701" s="121">
        <v>1246</v>
      </c>
      <c r="C14701" s="121">
        <v>8</v>
      </c>
      <c r="D14701" s="734">
        <v>144.3113637240501</v>
      </c>
      <c r="E14701" s="733"/>
    </row>
    <row r="14702" spans="2:5">
      <c r="B14702" s="121">
        <v>1246</v>
      </c>
      <c r="C14702" s="121">
        <v>9</v>
      </c>
      <c r="D14702" s="734">
        <v>133.70702119203744</v>
      </c>
      <c r="E14702" s="733"/>
    </row>
    <row r="14703" spans="2:5">
      <c r="B14703" s="121">
        <v>1246</v>
      </c>
      <c r="C14703" s="121">
        <v>10</v>
      </c>
      <c r="D14703" s="734">
        <v>146.27416390506261</v>
      </c>
      <c r="E14703" s="733"/>
    </row>
    <row r="14704" spans="2:5">
      <c r="B14704" s="121">
        <v>1246</v>
      </c>
      <c r="C14704" s="121">
        <v>11</v>
      </c>
      <c r="D14704" s="734">
        <v>143.60303142509855</v>
      </c>
      <c r="E14704" s="733"/>
    </row>
    <row r="14705" spans="2:5">
      <c r="B14705" s="121">
        <v>1246</v>
      </c>
      <c r="C14705" s="121">
        <v>12</v>
      </c>
      <c r="D14705" s="734">
        <v>134.41585813849807</v>
      </c>
      <c r="E14705" s="733"/>
    </row>
    <row r="14706" spans="2:5">
      <c r="B14706" s="121">
        <v>1246</v>
      </c>
      <c r="C14706" s="121">
        <v>13</v>
      </c>
      <c r="D14706" s="734">
        <v>137.36062401660587</v>
      </c>
      <c r="E14706" s="733"/>
    </row>
    <row r="14707" spans="2:5">
      <c r="B14707" s="121">
        <v>1246</v>
      </c>
      <c r="C14707" s="121">
        <v>14</v>
      </c>
      <c r="D14707" s="734">
        <v>134.37374905644859</v>
      </c>
      <c r="E14707" s="733"/>
    </row>
    <row r="14708" spans="2:5">
      <c r="B14708" s="121">
        <v>1246</v>
      </c>
      <c r="C14708" s="121">
        <v>15</v>
      </c>
      <c r="D14708" s="734">
        <v>135.44119365541064</v>
      </c>
      <c r="E14708" s="733"/>
    </row>
    <row r="14709" spans="2:5">
      <c r="B14709" s="121">
        <v>1246</v>
      </c>
      <c r="C14709" s="121">
        <v>16</v>
      </c>
      <c r="D14709" s="734">
        <v>138.73612945511107</v>
      </c>
      <c r="E14709" s="733"/>
    </row>
    <row r="14710" spans="2:5">
      <c r="B14710" s="121">
        <v>1246</v>
      </c>
      <c r="C14710" s="121">
        <v>17</v>
      </c>
      <c r="D14710" s="734">
        <v>138.45964721371385</v>
      </c>
      <c r="E14710" s="733"/>
    </row>
    <row r="14711" spans="2:5">
      <c r="B14711" s="121">
        <v>1246</v>
      </c>
      <c r="C14711" s="121">
        <v>18</v>
      </c>
      <c r="D14711" s="734">
        <v>139.37297115907805</v>
      </c>
      <c r="E14711" s="733"/>
    </row>
    <row r="14712" spans="2:5">
      <c r="B14712" s="121">
        <v>1246</v>
      </c>
      <c r="C14712" s="121">
        <v>19</v>
      </c>
      <c r="D14712" s="734">
        <v>135.69597454545377</v>
      </c>
      <c r="E14712" s="733"/>
    </row>
    <row r="14713" spans="2:5">
      <c r="B14713" s="121">
        <v>1246</v>
      </c>
      <c r="C14713" s="121">
        <v>20</v>
      </c>
      <c r="D14713" s="734">
        <v>143.92246608617344</v>
      </c>
      <c r="E14713" s="733"/>
    </row>
    <row r="14714" spans="2:5">
      <c r="B14714" s="121">
        <v>1246</v>
      </c>
      <c r="C14714" s="121">
        <v>21</v>
      </c>
      <c r="D14714" s="734">
        <v>147.24594218553221</v>
      </c>
      <c r="E14714" s="733"/>
    </row>
    <row r="14715" spans="2:5">
      <c r="B14715" s="121">
        <v>1246</v>
      </c>
      <c r="C14715" s="121">
        <v>22</v>
      </c>
      <c r="D14715" s="734">
        <v>135.96842154326748</v>
      </c>
      <c r="E14715" s="733"/>
    </row>
    <row r="14716" spans="2:5">
      <c r="B14716" s="121">
        <v>1246</v>
      </c>
      <c r="C14716" s="121">
        <v>23</v>
      </c>
      <c r="D14716" s="734">
        <v>145.80931906449842</v>
      </c>
      <c r="E14716" s="733"/>
    </row>
    <row r="14717" spans="2:5">
      <c r="B14717" s="121">
        <v>1246</v>
      </c>
      <c r="C14717" s="121">
        <v>24</v>
      </c>
      <c r="D14717" s="734">
        <v>146.94099721171526</v>
      </c>
      <c r="E14717" s="733"/>
    </row>
    <row r="14718" spans="2:5">
      <c r="B14718" s="121">
        <v>1246</v>
      </c>
      <c r="C14718" s="121">
        <v>25</v>
      </c>
      <c r="D14718" s="734">
        <v>142.59391306946767</v>
      </c>
      <c r="E14718" s="733"/>
    </row>
    <row r="14719" spans="2:5">
      <c r="B14719" s="121">
        <v>1246</v>
      </c>
      <c r="C14719" s="121">
        <v>26</v>
      </c>
      <c r="D14719" s="734">
        <v>146.31550542725716</v>
      </c>
      <c r="E14719" s="733"/>
    </row>
    <row r="14720" spans="2:5">
      <c r="B14720" s="121">
        <v>1246</v>
      </c>
      <c r="C14720" s="121">
        <v>27</v>
      </c>
      <c r="D14720" s="734">
        <v>147.24981073450979</v>
      </c>
      <c r="E14720" s="733"/>
    </row>
    <row r="14721" spans="2:5">
      <c r="B14721" s="121">
        <v>1246</v>
      </c>
      <c r="C14721" s="121">
        <v>28</v>
      </c>
      <c r="D14721" s="734">
        <v>145.25094164751511</v>
      </c>
      <c r="E14721" s="733"/>
    </row>
    <row r="14722" spans="2:5">
      <c r="B14722" s="121">
        <v>1246</v>
      </c>
      <c r="C14722" s="121">
        <v>29</v>
      </c>
      <c r="D14722" s="734">
        <v>136.46999674644798</v>
      </c>
      <c r="E14722" s="733"/>
    </row>
    <row r="14723" spans="2:5">
      <c r="B14723" s="121">
        <v>1246</v>
      </c>
      <c r="C14723" s="121">
        <v>30</v>
      </c>
      <c r="D14723" s="734">
        <v>144.25565582814437</v>
      </c>
      <c r="E14723" s="733"/>
    </row>
    <row r="14724" spans="2:5">
      <c r="B14724" s="121">
        <v>1246</v>
      </c>
      <c r="C14724" s="121">
        <v>31</v>
      </c>
      <c r="D14724" s="734">
        <v>135.24934589045367</v>
      </c>
      <c r="E14724" s="733"/>
    </row>
    <row r="14725" spans="2:5">
      <c r="B14725" s="121">
        <v>1246</v>
      </c>
      <c r="C14725" s="121">
        <v>32</v>
      </c>
      <c r="D14725" s="734">
        <v>139.72313951439625</v>
      </c>
      <c r="E14725" s="733"/>
    </row>
    <row r="14726" spans="2:5">
      <c r="B14726" s="121">
        <v>1246</v>
      </c>
      <c r="C14726" s="121">
        <v>33</v>
      </c>
      <c r="D14726" s="734">
        <v>137.96886129579207</v>
      </c>
      <c r="E14726" s="733"/>
    </row>
    <row r="14727" spans="2:5">
      <c r="B14727" s="121">
        <v>1246</v>
      </c>
      <c r="C14727" s="121">
        <v>34</v>
      </c>
      <c r="D14727" s="734">
        <v>146.72845751544094</v>
      </c>
      <c r="E14727" s="733"/>
    </row>
    <row r="14728" spans="2:5">
      <c r="B14728" s="121">
        <v>1246</v>
      </c>
      <c r="C14728" s="121">
        <v>35</v>
      </c>
      <c r="D14728" s="734">
        <v>138.81790530955735</v>
      </c>
      <c r="E14728" s="733"/>
    </row>
    <row r="14729" spans="2:5">
      <c r="B14729" s="121">
        <v>1246</v>
      </c>
      <c r="C14729" s="121">
        <v>36</v>
      </c>
      <c r="D14729" s="734">
        <v>135.64298790021152</v>
      </c>
      <c r="E14729" s="733"/>
    </row>
    <row r="14730" spans="2:5">
      <c r="B14730" s="121">
        <v>1247</v>
      </c>
      <c r="C14730" s="121">
        <v>1</v>
      </c>
      <c r="D14730" s="734">
        <v>5</v>
      </c>
      <c r="E14730" s="733"/>
    </row>
    <row r="14731" spans="2:5">
      <c r="B14731" s="121">
        <v>1247</v>
      </c>
      <c r="C14731" s="121">
        <v>2</v>
      </c>
      <c r="D14731" s="734">
        <v>96.087227928874199</v>
      </c>
      <c r="E14731" s="733"/>
    </row>
    <row r="14732" spans="2:5">
      <c r="B14732" s="121">
        <v>1247</v>
      </c>
      <c r="C14732" s="121">
        <v>3</v>
      </c>
      <c r="D14732" s="734">
        <v>116.73747276076283</v>
      </c>
      <c r="E14732" s="733"/>
    </row>
    <row r="14733" spans="2:5">
      <c r="B14733" s="121">
        <v>1247</v>
      </c>
      <c r="C14733" s="121">
        <v>4</v>
      </c>
      <c r="D14733" s="734">
        <v>141.30646948906136</v>
      </c>
      <c r="E14733" s="733"/>
    </row>
    <row r="14734" spans="2:5">
      <c r="B14734" s="121">
        <v>1247</v>
      </c>
      <c r="C14734" s="121">
        <v>5</v>
      </c>
      <c r="D14734" s="734">
        <v>136.27859040785822</v>
      </c>
      <c r="E14734" s="733"/>
    </row>
    <row r="14735" spans="2:5">
      <c r="B14735" s="121">
        <v>1247</v>
      </c>
      <c r="C14735" s="121">
        <v>6</v>
      </c>
      <c r="D14735" s="734">
        <v>139.38168245713575</v>
      </c>
      <c r="E14735" s="733"/>
    </row>
    <row r="14736" spans="2:5">
      <c r="B14736" s="121">
        <v>1247</v>
      </c>
      <c r="C14736" s="121">
        <v>7</v>
      </c>
      <c r="D14736" s="734">
        <v>145.37465035707447</v>
      </c>
      <c r="E14736" s="733"/>
    </row>
    <row r="14737" spans="2:5">
      <c r="B14737" s="121">
        <v>1247</v>
      </c>
      <c r="C14737" s="121">
        <v>8</v>
      </c>
      <c r="D14737" s="734">
        <v>146.0628136056377</v>
      </c>
      <c r="E14737" s="733"/>
    </row>
    <row r="14738" spans="2:5">
      <c r="B14738" s="121">
        <v>1247</v>
      </c>
      <c r="C14738" s="121">
        <v>9</v>
      </c>
      <c r="D14738" s="734">
        <v>143.73384311075168</v>
      </c>
      <c r="E14738" s="733"/>
    </row>
    <row r="14739" spans="2:5">
      <c r="B14739" s="121">
        <v>1247</v>
      </c>
      <c r="C14739" s="121">
        <v>10</v>
      </c>
      <c r="D14739" s="734">
        <v>136.45350868602605</v>
      </c>
      <c r="E14739" s="733"/>
    </row>
    <row r="14740" spans="2:5">
      <c r="B14740" s="121">
        <v>1247</v>
      </c>
      <c r="C14740" s="121">
        <v>11</v>
      </c>
      <c r="D14740" s="734">
        <v>141.78085156064625</v>
      </c>
      <c r="E14740" s="733"/>
    </row>
    <row r="14741" spans="2:5">
      <c r="B14741" s="121">
        <v>1247</v>
      </c>
      <c r="C14741" s="121">
        <v>12</v>
      </c>
      <c r="D14741" s="734">
        <v>134.02404835540659</v>
      </c>
      <c r="E14741" s="733"/>
    </row>
    <row r="14742" spans="2:5">
      <c r="B14742" s="121">
        <v>1247</v>
      </c>
      <c r="C14742" s="121">
        <v>13</v>
      </c>
      <c r="D14742" s="734">
        <v>137.03195415067751</v>
      </c>
      <c r="E14742" s="733"/>
    </row>
    <row r="14743" spans="2:5">
      <c r="B14743" s="121">
        <v>1247</v>
      </c>
      <c r="C14743" s="121">
        <v>14</v>
      </c>
      <c r="D14743" s="734">
        <v>135.95296264414515</v>
      </c>
      <c r="E14743" s="733"/>
    </row>
    <row r="14744" spans="2:5">
      <c r="B14744" s="121">
        <v>1247</v>
      </c>
      <c r="C14744" s="121">
        <v>15</v>
      </c>
      <c r="D14744" s="734">
        <v>146.98112454773491</v>
      </c>
      <c r="E14744" s="733"/>
    </row>
    <row r="14745" spans="2:5">
      <c r="B14745" s="121">
        <v>1247</v>
      </c>
      <c r="C14745" s="121">
        <v>16</v>
      </c>
      <c r="D14745" s="734">
        <v>144.59391484355405</v>
      </c>
      <c r="E14745" s="733"/>
    </row>
    <row r="14746" spans="2:5">
      <c r="B14746" s="121">
        <v>1247</v>
      </c>
      <c r="C14746" s="121">
        <v>17</v>
      </c>
      <c r="D14746" s="734">
        <v>143.72032297216717</v>
      </c>
      <c r="E14746" s="733"/>
    </row>
    <row r="14747" spans="2:5">
      <c r="B14747" s="121">
        <v>1247</v>
      </c>
      <c r="C14747" s="121">
        <v>18</v>
      </c>
      <c r="D14747" s="734">
        <v>141.93096902870937</v>
      </c>
      <c r="E14747" s="733"/>
    </row>
    <row r="14748" spans="2:5">
      <c r="B14748" s="121">
        <v>1247</v>
      </c>
      <c r="C14748" s="121">
        <v>19</v>
      </c>
      <c r="D14748" s="734">
        <v>141.21429286548945</v>
      </c>
      <c r="E14748" s="733"/>
    </row>
    <row r="14749" spans="2:5">
      <c r="B14749" s="121">
        <v>1247</v>
      </c>
      <c r="C14749" s="121">
        <v>20</v>
      </c>
      <c r="D14749" s="734">
        <v>144.40175607377523</v>
      </c>
      <c r="E14749" s="733"/>
    </row>
    <row r="14750" spans="2:5">
      <c r="B14750" s="121">
        <v>1247</v>
      </c>
      <c r="C14750" s="121">
        <v>21</v>
      </c>
      <c r="D14750" s="734">
        <v>144.51211850203492</v>
      </c>
      <c r="E14750" s="733"/>
    </row>
    <row r="14751" spans="2:5">
      <c r="B14751" s="121">
        <v>1247</v>
      </c>
      <c r="C14751" s="121">
        <v>22</v>
      </c>
      <c r="D14751" s="734">
        <v>137.98190061350331</v>
      </c>
      <c r="E14751" s="733"/>
    </row>
    <row r="14752" spans="2:5">
      <c r="B14752" s="121">
        <v>1247</v>
      </c>
      <c r="C14752" s="121">
        <v>23</v>
      </c>
      <c r="D14752" s="734">
        <v>145.61579193922844</v>
      </c>
      <c r="E14752" s="733"/>
    </row>
    <row r="14753" spans="2:5">
      <c r="B14753" s="121">
        <v>1247</v>
      </c>
      <c r="C14753" s="121">
        <v>24</v>
      </c>
      <c r="D14753" s="734">
        <v>143.58165324487786</v>
      </c>
      <c r="E14753" s="733"/>
    </row>
    <row r="14754" spans="2:5">
      <c r="B14754" s="121">
        <v>1247</v>
      </c>
      <c r="C14754" s="121">
        <v>25</v>
      </c>
      <c r="D14754" s="734">
        <v>144.08641420977793</v>
      </c>
      <c r="E14754" s="733"/>
    </row>
    <row r="14755" spans="2:5">
      <c r="B14755" s="121">
        <v>1247</v>
      </c>
      <c r="C14755" s="121">
        <v>26</v>
      </c>
      <c r="D14755" s="734">
        <v>138.39976574648864</v>
      </c>
      <c r="E14755" s="733"/>
    </row>
    <row r="14756" spans="2:5">
      <c r="B14756" s="121">
        <v>1247</v>
      </c>
      <c r="C14756" s="121">
        <v>27</v>
      </c>
      <c r="D14756" s="734">
        <v>141.5509794377999</v>
      </c>
      <c r="E14756" s="733"/>
    </row>
    <row r="14757" spans="2:5">
      <c r="B14757" s="121">
        <v>1248</v>
      </c>
      <c r="C14757" s="121">
        <v>1</v>
      </c>
      <c r="D14757" s="734">
        <v>5</v>
      </c>
      <c r="E14757" s="733"/>
    </row>
    <row r="14758" spans="2:5">
      <c r="B14758" s="121">
        <v>1249</v>
      </c>
      <c r="C14758" s="121">
        <v>1</v>
      </c>
      <c r="D14758" s="734">
        <v>5</v>
      </c>
      <c r="E14758" s="733"/>
    </row>
    <row r="14759" spans="2:5">
      <c r="B14759" s="121">
        <v>1249</v>
      </c>
      <c r="C14759" s="121">
        <v>2</v>
      </c>
      <c r="D14759" s="734">
        <v>103.01729208405557</v>
      </c>
      <c r="E14759" s="733"/>
    </row>
    <row r="14760" spans="2:5">
      <c r="B14760" s="121">
        <v>1249</v>
      </c>
      <c r="C14760" s="121">
        <v>3</v>
      </c>
      <c r="D14760" s="734">
        <v>119.92105440019624</v>
      </c>
      <c r="E14760" s="733"/>
    </row>
    <row r="14761" spans="2:5">
      <c r="B14761" s="121">
        <v>1249</v>
      </c>
      <c r="C14761" s="121">
        <v>4</v>
      </c>
      <c r="D14761" s="734">
        <v>135.21480250581826</v>
      </c>
      <c r="E14761" s="733"/>
    </row>
    <row r="14762" spans="2:5">
      <c r="B14762" s="121">
        <v>1249</v>
      </c>
      <c r="C14762" s="121">
        <v>5</v>
      </c>
      <c r="D14762" s="734">
        <v>142.04268481974475</v>
      </c>
      <c r="E14762" s="733"/>
    </row>
    <row r="14763" spans="2:5">
      <c r="B14763" s="121">
        <v>1249</v>
      </c>
      <c r="C14763" s="121">
        <v>6</v>
      </c>
      <c r="D14763" s="734">
        <v>142.24077541959505</v>
      </c>
      <c r="E14763" s="733"/>
    </row>
    <row r="14764" spans="2:5">
      <c r="B14764" s="121">
        <v>1249</v>
      </c>
      <c r="C14764" s="121">
        <v>7</v>
      </c>
      <c r="D14764" s="734">
        <v>143.87980691610701</v>
      </c>
      <c r="E14764" s="733"/>
    </row>
    <row r="14765" spans="2:5">
      <c r="B14765" s="121">
        <v>1249</v>
      </c>
      <c r="C14765" s="121">
        <v>8</v>
      </c>
      <c r="D14765" s="734">
        <v>136.26424942080033</v>
      </c>
      <c r="E14765" s="733"/>
    </row>
    <row r="14766" spans="2:5">
      <c r="B14766" s="121">
        <v>1249</v>
      </c>
      <c r="C14766" s="121">
        <v>9</v>
      </c>
      <c r="D14766" s="734">
        <v>135.18692188860788</v>
      </c>
      <c r="E14766" s="733"/>
    </row>
    <row r="14767" spans="2:5">
      <c r="B14767" s="121">
        <v>1249</v>
      </c>
      <c r="C14767" s="121">
        <v>10</v>
      </c>
      <c r="D14767" s="734">
        <v>135.64136779014132</v>
      </c>
      <c r="E14767" s="733"/>
    </row>
    <row r="14768" spans="2:5">
      <c r="B14768" s="121">
        <v>1249</v>
      </c>
      <c r="C14768" s="121">
        <v>11</v>
      </c>
      <c r="D14768" s="734">
        <v>136.35663019569461</v>
      </c>
      <c r="E14768" s="733"/>
    </row>
    <row r="14769" spans="2:5">
      <c r="B14769" s="121">
        <v>1249</v>
      </c>
      <c r="C14769" s="121">
        <v>12</v>
      </c>
      <c r="D14769" s="734">
        <v>136.80136338672983</v>
      </c>
      <c r="E14769" s="733"/>
    </row>
    <row r="14770" spans="2:5">
      <c r="B14770" s="121">
        <v>1249</v>
      </c>
      <c r="C14770" s="121">
        <v>13</v>
      </c>
      <c r="D14770" s="734">
        <v>146.37100540181675</v>
      </c>
      <c r="E14770" s="733"/>
    </row>
    <row r="14771" spans="2:5">
      <c r="B14771" s="121">
        <v>1249</v>
      </c>
      <c r="C14771" s="121">
        <v>14</v>
      </c>
      <c r="D14771" s="734">
        <v>140.61042652594003</v>
      </c>
      <c r="E14771" s="733"/>
    </row>
    <row r="14772" spans="2:5">
      <c r="B14772" s="121">
        <v>1249</v>
      </c>
      <c r="C14772" s="121">
        <v>15</v>
      </c>
      <c r="D14772" s="734">
        <v>145.87984107401817</v>
      </c>
      <c r="E14772" s="733"/>
    </row>
    <row r="14773" spans="2:5">
      <c r="B14773" s="121">
        <v>1249</v>
      </c>
      <c r="C14773" s="121">
        <v>16</v>
      </c>
      <c r="D14773" s="734">
        <v>140.99842249351931</v>
      </c>
      <c r="E14773" s="733"/>
    </row>
    <row r="14774" spans="2:5">
      <c r="B14774" s="121">
        <v>1249</v>
      </c>
      <c r="C14774" s="121">
        <v>17</v>
      </c>
      <c r="D14774" s="734">
        <v>134.39400398018006</v>
      </c>
      <c r="E14774" s="733"/>
    </row>
    <row r="14775" spans="2:5">
      <c r="B14775" s="121">
        <v>1249</v>
      </c>
      <c r="C14775" s="121">
        <v>18</v>
      </c>
      <c r="D14775" s="734">
        <v>137.70866942111283</v>
      </c>
      <c r="E14775" s="733"/>
    </row>
    <row r="14776" spans="2:5">
      <c r="B14776" s="121">
        <v>1249</v>
      </c>
      <c r="C14776" s="121">
        <v>19</v>
      </c>
      <c r="D14776" s="734">
        <v>138.71471366373979</v>
      </c>
      <c r="E14776" s="733"/>
    </row>
    <row r="14777" spans="2:5">
      <c r="B14777" s="121">
        <v>1249</v>
      </c>
      <c r="C14777" s="121">
        <v>20</v>
      </c>
      <c r="D14777" s="734">
        <v>145.84581323295694</v>
      </c>
      <c r="E14777" s="733"/>
    </row>
    <row r="14778" spans="2:5">
      <c r="B14778" s="121">
        <v>1249</v>
      </c>
      <c r="C14778" s="121">
        <v>21</v>
      </c>
      <c r="D14778" s="734">
        <v>138.27854231748557</v>
      </c>
      <c r="E14778" s="733"/>
    </row>
    <row r="14779" spans="2:5">
      <c r="B14779" s="121">
        <v>1249</v>
      </c>
      <c r="C14779" s="121">
        <v>22</v>
      </c>
      <c r="D14779" s="734">
        <v>139.75706058994223</v>
      </c>
      <c r="E14779" s="733"/>
    </row>
    <row r="14780" spans="2:5">
      <c r="B14780" s="121">
        <v>1249</v>
      </c>
      <c r="C14780" s="121">
        <v>23</v>
      </c>
      <c r="D14780" s="734">
        <v>143.85015632858301</v>
      </c>
      <c r="E14780" s="733"/>
    </row>
    <row r="14781" spans="2:5">
      <c r="B14781" s="121">
        <v>1249</v>
      </c>
      <c r="C14781" s="121">
        <v>24</v>
      </c>
      <c r="D14781" s="734">
        <v>142.58885366987721</v>
      </c>
      <c r="E14781" s="733"/>
    </row>
    <row r="14782" spans="2:5">
      <c r="B14782" s="121">
        <v>1249</v>
      </c>
      <c r="C14782" s="121">
        <v>25</v>
      </c>
      <c r="D14782" s="734">
        <v>145.52992168871299</v>
      </c>
      <c r="E14782" s="733"/>
    </row>
    <row r="14783" spans="2:5">
      <c r="B14783" s="121">
        <v>1249</v>
      </c>
      <c r="C14783" s="121">
        <v>26</v>
      </c>
      <c r="D14783" s="734">
        <v>138.31390085177563</v>
      </c>
      <c r="E14783" s="733"/>
    </row>
    <row r="14784" spans="2:5">
      <c r="B14784" s="121">
        <v>1249</v>
      </c>
      <c r="C14784" s="121">
        <v>27</v>
      </c>
      <c r="D14784" s="734">
        <v>140.56733711533414</v>
      </c>
      <c r="E14784" s="733"/>
    </row>
    <row r="14785" spans="2:5">
      <c r="B14785" s="121">
        <v>1249</v>
      </c>
      <c r="C14785" s="121">
        <v>28</v>
      </c>
      <c r="D14785" s="734">
        <v>143.5052665403814</v>
      </c>
      <c r="E14785" s="733"/>
    </row>
    <row r="14786" spans="2:5">
      <c r="B14786" s="121">
        <v>1249</v>
      </c>
      <c r="C14786" s="121">
        <v>29</v>
      </c>
      <c r="D14786" s="734">
        <v>134.69069353353905</v>
      </c>
      <c r="E14786" s="733"/>
    </row>
    <row r="14787" spans="2:5">
      <c r="B14787" s="121">
        <v>1249</v>
      </c>
      <c r="C14787" s="121">
        <v>30</v>
      </c>
      <c r="D14787" s="734">
        <v>139.73663703114062</v>
      </c>
      <c r="E14787" s="733"/>
    </row>
    <row r="14788" spans="2:5">
      <c r="B14788" s="121">
        <v>1249</v>
      </c>
      <c r="C14788" s="121">
        <v>31</v>
      </c>
      <c r="D14788" s="734">
        <v>136.39666726846863</v>
      </c>
      <c r="E14788" s="733"/>
    </row>
    <row r="14789" spans="2:5">
      <c r="B14789" s="121">
        <v>1249</v>
      </c>
      <c r="C14789" s="121">
        <v>32</v>
      </c>
      <c r="D14789" s="734">
        <v>138.91629103826673</v>
      </c>
      <c r="E14789" s="733"/>
    </row>
    <row r="14790" spans="2:5">
      <c r="B14790" s="121">
        <v>1249</v>
      </c>
      <c r="C14790" s="121">
        <v>33</v>
      </c>
      <c r="D14790" s="734">
        <v>141.82853350932163</v>
      </c>
      <c r="E14790" s="733"/>
    </row>
    <row r="14791" spans="2:5">
      <c r="B14791" s="121">
        <v>1249</v>
      </c>
      <c r="C14791" s="121">
        <v>34</v>
      </c>
      <c r="D14791" s="734">
        <v>135.20889394210724</v>
      </c>
      <c r="E14791" s="733"/>
    </row>
    <row r="14792" spans="2:5">
      <c r="B14792" s="121">
        <v>1249</v>
      </c>
      <c r="C14792" s="121">
        <v>35</v>
      </c>
      <c r="D14792" s="734">
        <v>137.87279982597019</v>
      </c>
      <c r="E14792" s="733"/>
    </row>
    <row r="14793" spans="2:5">
      <c r="B14793" s="121">
        <v>1249</v>
      </c>
      <c r="C14793" s="121">
        <v>36</v>
      </c>
      <c r="D14793" s="734">
        <v>136.28694369151052</v>
      </c>
      <c r="E14793" s="733"/>
    </row>
    <row r="14794" spans="2:5">
      <c r="B14794" s="121">
        <v>1250</v>
      </c>
      <c r="C14794" s="121">
        <v>1</v>
      </c>
      <c r="D14794" s="734">
        <v>5</v>
      </c>
      <c r="E14794" s="733"/>
    </row>
    <row r="14795" spans="2:5">
      <c r="B14795" s="121">
        <v>1250</v>
      </c>
      <c r="C14795" s="121">
        <v>2</v>
      </c>
      <c r="D14795" s="734">
        <v>102.05289016971572</v>
      </c>
      <c r="E14795" s="733"/>
    </row>
    <row r="14796" spans="2:5">
      <c r="B14796" s="121">
        <v>1250</v>
      </c>
      <c r="C14796" s="121">
        <v>3</v>
      </c>
      <c r="D14796" s="734">
        <v>120.97056660333322</v>
      </c>
      <c r="E14796" s="733"/>
    </row>
    <row r="14797" spans="2:5">
      <c r="B14797" s="121">
        <v>1250</v>
      </c>
      <c r="C14797" s="121">
        <v>4</v>
      </c>
      <c r="D14797" s="734">
        <v>140.20794092713982</v>
      </c>
      <c r="E14797" s="733"/>
    </row>
    <row r="14798" spans="2:5">
      <c r="B14798" s="121">
        <v>1250</v>
      </c>
      <c r="C14798" s="121">
        <v>5</v>
      </c>
      <c r="D14798" s="734">
        <v>135.4725427830553</v>
      </c>
      <c r="E14798" s="733"/>
    </row>
    <row r="14799" spans="2:5">
      <c r="B14799" s="121">
        <v>1251</v>
      </c>
      <c r="C14799" s="121">
        <v>1</v>
      </c>
      <c r="D14799" s="734">
        <v>5</v>
      </c>
      <c r="E14799" s="733"/>
    </row>
    <row r="14800" spans="2:5">
      <c r="B14800" s="121">
        <v>1251</v>
      </c>
      <c r="C14800" s="121">
        <v>2</v>
      </c>
      <c r="D14800" s="734">
        <v>95.008916646283552</v>
      </c>
      <c r="E14800" s="733"/>
    </row>
    <row r="14801" spans="2:5">
      <c r="B14801" s="121">
        <v>1251</v>
      </c>
      <c r="C14801" s="121">
        <v>3</v>
      </c>
      <c r="D14801" s="734">
        <v>116.20099225924162</v>
      </c>
      <c r="E14801" s="733"/>
    </row>
    <row r="14802" spans="2:5">
      <c r="B14802" s="121">
        <v>1252</v>
      </c>
      <c r="C14802" s="121">
        <v>1</v>
      </c>
      <c r="D14802" s="734">
        <v>5</v>
      </c>
      <c r="E14802" s="733"/>
    </row>
    <row r="14803" spans="2:5">
      <c r="B14803" s="121">
        <v>1252</v>
      </c>
      <c r="C14803" s="121">
        <v>2</v>
      </c>
      <c r="D14803" s="734">
        <v>98.283044510109178</v>
      </c>
      <c r="E14803" s="733"/>
    </row>
    <row r="14804" spans="2:5">
      <c r="B14804" s="121">
        <v>1252</v>
      </c>
      <c r="C14804" s="121">
        <v>3</v>
      </c>
      <c r="D14804" s="734">
        <v>123.67113664386682</v>
      </c>
      <c r="E14804" s="733"/>
    </row>
    <row r="14805" spans="2:5">
      <c r="B14805" s="121">
        <v>1252</v>
      </c>
      <c r="C14805" s="121">
        <v>4</v>
      </c>
      <c r="D14805" s="734">
        <v>135.68631898065706</v>
      </c>
      <c r="E14805" s="733"/>
    </row>
    <row r="14806" spans="2:5">
      <c r="B14806" s="121">
        <v>1252</v>
      </c>
      <c r="C14806" s="121">
        <v>5</v>
      </c>
      <c r="D14806" s="734">
        <v>136.56796481612579</v>
      </c>
      <c r="E14806" s="733"/>
    </row>
    <row r="14807" spans="2:5">
      <c r="B14807" s="121">
        <v>1252</v>
      </c>
      <c r="C14807" s="121">
        <v>6</v>
      </c>
      <c r="D14807" s="734">
        <v>147.05905064879408</v>
      </c>
      <c r="E14807" s="733"/>
    </row>
    <row r="14808" spans="2:5">
      <c r="B14808" s="121">
        <v>1252</v>
      </c>
      <c r="C14808" s="121">
        <v>7</v>
      </c>
      <c r="D14808" s="734">
        <v>142.23047693312395</v>
      </c>
      <c r="E14808" s="733"/>
    </row>
    <row r="14809" spans="2:5">
      <c r="B14809" s="121">
        <v>1252</v>
      </c>
      <c r="C14809" s="121">
        <v>8</v>
      </c>
      <c r="D14809" s="734">
        <v>143.48540519357761</v>
      </c>
      <c r="E14809" s="733"/>
    </row>
    <row r="14810" spans="2:5">
      <c r="B14810" s="121">
        <v>1252</v>
      </c>
      <c r="C14810" s="121">
        <v>9</v>
      </c>
      <c r="D14810" s="734">
        <v>144.8224916300924</v>
      </c>
      <c r="E14810" s="733"/>
    </row>
    <row r="14811" spans="2:5">
      <c r="B14811" s="121">
        <v>1252</v>
      </c>
      <c r="C14811" s="121">
        <v>10</v>
      </c>
      <c r="D14811" s="734">
        <v>138.73512738391307</v>
      </c>
      <c r="E14811" s="733"/>
    </row>
    <row r="14812" spans="2:5">
      <c r="B14812" s="121">
        <v>1252</v>
      </c>
      <c r="C14812" s="121">
        <v>11</v>
      </c>
      <c r="D14812" s="734">
        <v>143.75814219002672</v>
      </c>
      <c r="E14812" s="733"/>
    </row>
    <row r="14813" spans="2:5">
      <c r="B14813" s="121">
        <v>1252</v>
      </c>
      <c r="C14813" s="121">
        <v>12</v>
      </c>
      <c r="D14813" s="734">
        <v>133.69125467459921</v>
      </c>
      <c r="E14813" s="733"/>
    </row>
    <row r="14814" spans="2:5">
      <c r="B14814" s="121">
        <v>1252</v>
      </c>
      <c r="C14814" s="121">
        <v>13</v>
      </c>
      <c r="D14814" s="734">
        <v>136.75159312380526</v>
      </c>
      <c r="E14814" s="733"/>
    </row>
    <row r="14815" spans="2:5">
      <c r="B14815" s="121">
        <v>1252</v>
      </c>
      <c r="C14815" s="121">
        <v>14</v>
      </c>
      <c r="D14815" s="734">
        <v>135.67609484256178</v>
      </c>
      <c r="E14815" s="733"/>
    </row>
    <row r="14816" spans="2:5">
      <c r="B14816" s="121">
        <v>1252</v>
      </c>
      <c r="C14816" s="121">
        <v>15</v>
      </c>
      <c r="D14816" s="734">
        <v>144.79393998758894</v>
      </c>
      <c r="E14816" s="733"/>
    </row>
    <row r="14817" spans="2:5">
      <c r="B14817" s="121">
        <v>1252</v>
      </c>
      <c r="C14817" s="121">
        <v>16</v>
      </c>
      <c r="D14817" s="734">
        <v>141.77108051369018</v>
      </c>
      <c r="E14817" s="733"/>
    </row>
    <row r="14818" spans="2:5">
      <c r="B14818" s="121">
        <v>1252</v>
      </c>
      <c r="C14818" s="121">
        <v>17</v>
      </c>
      <c r="D14818" s="734">
        <v>142.73743246713897</v>
      </c>
      <c r="E14818" s="733"/>
    </row>
    <row r="14819" spans="2:5">
      <c r="B14819" s="121">
        <v>1252</v>
      </c>
      <c r="C14819" s="121">
        <v>18</v>
      </c>
      <c r="D14819" s="734">
        <v>145.5268005539925</v>
      </c>
      <c r="E14819" s="733"/>
    </row>
    <row r="14820" spans="2:5">
      <c r="B14820" s="121">
        <v>1252</v>
      </c>
      <c r="C14820" s="121">
        <v>19</v>
      </c>
      <c r="D14820" s="734">
        <v>144.49244973379652</v>
      </c>
      <c r="E14820" s="733"/>
    </row>
    <row r="14821" spans="2:5">
      <c r="B14821" s="121">
        <v>1252</v>
      </c>
      <c r="C14821" s="121">
        <v>20</v>
      </c>
      <c r="D14821" s="734">
        <v>134.87733280502923</v>
      </c>
      <c r="E14821" s="733"/>
    </row>
    <row r="14822" spans="2:5">
      <c r="B14822" s="121">
        <v>1252</v>
      </c>
      <c r="C14822" s="121">
        <v>21</v>
      </c>
      <c r="D14822" s="734">
        <v>137.24065215261999</v>
      </c>
      <c r="E14822" s="733"/>
    </row>
    <row r="14823" spans="2:5">
      <c r="B14823" s="121">
        <v>1252</v>
      </c>
      <c r="C14823" s="121">
        <v>22</v>
      </c>
      <c r="D14823" s="734">
        <v>144.25285907352864</v>
      </c>
      <c r="E14823" s="733"/>
    </row>
    <row r="14824" spans="2:5">
      <c r="B14824" s="121">
        <v>1252</v>
      </c>
      <c r="C14824" s="121">
        <v>23</v>
      </c>
      <c r="D14824" s="734">
        <v>141.33095123884323</v>
      </c>
      <c r="E14824" s="733"/>
    </row>
    <row r="14825" spans="2:5">
      <c r="B14825" s="121">
        <v>1252</v>
      </c>
      <c r="C14825" s="121">
        <v>24</v>
      </c>
      <c r="D14825" s="734">
        <v>144.32365225945523</v>
      </c>
      <c r="E14825" s="733"/>
    </row>
    <row r="14826" spans="2:5">
      <c r="B14826" s="121">
        <v>1252</v>
      </c>
      <c r="C14826" s="121">
        <v>25</v>
      </c>
      <c r="D14826" s="734">
        <v>138.58089037822398</v>
      </c>
      <c r="E14826" s="733"/>
    </row>
    <row r="14827" spans="2:5">
      <c r="B14827" s="121">
        <v>1252</v>
      </c>
      <c r="C14827" s="121">
        <v>26</v>
      </c>
      <c r="D14827" s="734">
        <v>139.29007491319604</v>
      </c>
      <c r="E14827" s="733"/>
    </row>
    <row r="14828" spans="2:5">
      <c r="B14828" s="121">
        <v>1253</v>
      </c>
      <c r="C14828" s="121">
        <v>1</v>
      </c>
      <c r="D14828" s="734">
        <v>5</v>
      </c>
      <c r="E14828" s="733"/>
    </row>
    <row r="14829" spans="2:5">
      <c r="B14829" s="121">
        <v>1254</v>
      </c>
      <c r="C14829" s="121">
        <v>1</v>
      </c>
      <c r="D14829" s="734">
        <v>5</v>
      </c>
      <c r="E14829" s="733"/>
    </row>
    <row r="14830" spans="2:5">
      <c r="B14830" s="121">
        <v>1254</v>
      </c>
      <c r="C14830" s="121">
        <v>2</v>
      </c>
      <c r="D14830" s="734">
        <v>94.632715047848464</v>
      </c>
      <c r="E14830" s="733"/>
    </row>
    <row r="14831" spans="2:5">
      <c r="B14831" s="121">
        <v>1254</v>
      </c>
      <c r="C14831" s="121">
        <v>3</v>
      </c>
      <c r="D14831" s="734">
        <v>117.11202816016642</v>
      </c>
      <c r="E14831" s="733"/>
    </row>
    <row r="14832" spans="2:5">
      <c r="B14832" s="121">
        <v>1254</v>
      </c>
      <c r="C14832" s="121">
        <v>4</v>
      </c>
      <c r="D14832" s="734">
        <v>144.07297656478937</v>
      </c>
      <c r="E14832" s="733"/>
    </row>
    <row r="14833" spans="2:5">
      <c r="B14833" s="121">
        <v>1254</v>
      </c>
      <c r="C14833" s="121">
        <v>5</v>
      </c>
      <c r="D14833" s="734">
        <v>134.87755988639435</v>
      </c>
      <c r="E14833" s="733"/>
    </row>
    <row r="14834" spans="2:5">
      <c r="B14834" s="121">
        <v>1254</v>
      </c>
      <c r="C14834" s="121">
        <v>6</v>
      </c>
      <c r="D14834" s="734">
        <v>142.39447999794152</v>
      </c>
      <c r="E14834" s="733"/>
    </row>
    <row r="14835" spans="2:5">
      <c r="B14835" s="121">
        <v>1254</v>
      </c>
      <c r="C14835" s="121">
        <v>7</v>
      </c>
      <c r="D14835" s="734">
        <v>136.53128059597068</v>
      </c>
      <c r="E14835" s="733"/>
    </row>
    <row r="14836" spans="2:5">
      <c r="B14836" s="121">
        <v>1254</v>
      </c>
      <c r="C14836" s="121">
        <v>8</v>
      </c>
      <c r="D14836" s="734">
        <v>140.54167816973694</v>
      </c>
      <c r="E14836" s="733"/>
    </row>
    <row r="14837" spans="2:5">
      <c r="B14837" s="121">
        <v>1254</v>
      </c>
      <c r="C14837" s="121">
        <v>9</v>
      </c>
      <c r="D14837" s="734">
        <v>137.77910741873004</v>
      </c>
      <c r="E14837" s="733"/>
    </row>
    <row r="14838" spans="2:5">
      <c r="B14838" s="121">
        <v>1254</v>
      </c>
      <c r="C14838" s="121">
        <v>10</v>
      </c>
      <c r="D14838" s="734">
        <v>135.30434109999877</v>
      </c>
      <c r="E14838" s="733"/>
    </row>
    <row r="14839" spans="2:5">
      <c r="B14839" s="121">
        <v>1254</v>
      </c>
      <c r="C14839" s="121">
        <v>11</v>
      </c>
      <c r="D14839" s="734">
        <v>137.89891157222343</v>
      </c>
      <c r="E14839" s="733"/>
    </row>
    <row r="14840" spans="2:5">
      <c r="B14840" s="121">
        <v>1254</v>
      </c>
      <c r="C14840" s="121">
        <v>12</v>
      </c>
      <c r="D14840" s="734">
        <v>144.06964129732125</v>
      </c>
      <c r="E14840" s="733"/>
    </row>
    <row r="14841" spans="2:5">
      <c r="B14841" s="121">
        <v>1254</v>
      </c>
      <c r="C14841" s="121">
        <v>13</v>
      </c>
      <c r="D14841" s="734">
        <v>134.19993770751526</v>
      </c>
      <c r="E14841" s="733"/>
    </row>
    <row r="14842" spans="2:5">
      <c r="B14842" s="121">
        <v>1254</v>
      </c>
      <c r="C14842" s="121">
        <v>14</v>
      </c>
      <c r="D14842" s="734">
        <v>143.22819010733184</v>
      </c>
      <c r="E14842" s="733"/>
    </row>
    <row r="14843" spans="2:5">
      <c r="B14843" s="121">
        <v>1254</v>
      </c>
      <c r="C14843" s="121">
        <v>15</v>
      </c>
      <c r="D14843" s="734">
        <v>143.95534343156163</v>
      </c>
      <c r="E14843" s="733"/>
    </row>
    <row r="14844" spans="2:5">
      <c r="B14844" s="121">
        <v>1254</v>
      </c>
      <c r="C14844" s="121">
        <v>16</v>
      </c>
      <c r="D14844" s="734">
        <v>143.74008507673133</v>
      </c>
      <c r="E14844" s="733"/>
    </row>
    <row r="14845" spans="2:5">
      <c r="B14845" s="121">
        <v>1254</v>
      </c>
      <c r="C14845" s="121">
        <v>17</v>
      </c>
      <c r="D14845" s="734">
        <v>139.68310419362618</v>
      </c>
      <c r="E14845" s="733"/>
    </row>
    <row r="14846" spans="2:5">
      <c r="B14846" s="121">
        <v>1254</v>
      </c>
      <c r="C14846" s="121">
        <v>18</v>
      </c>
      <c r="D14846" s="734">
        <v>145.07658376847581</v>
      </c>
      <c r="E14846" s="733"/>
    </row>
    <row r="14847" spans="2:5">
      <c r="B14847" s="121">
        <v>1254</v>
      </c>
      <c r="C14847" s="121">
        <v>19</v>
      </c>
      <c r="D14847" s="734">
        <v>139.02325406897674</v>
      </c>
      <c r="E14847" s="733"/>
    </row>
    <row r="14848" spans="2:5">
      <c r="B14848" s="121">
        <v>1254</v>
      </c>
      <c r="C14848" s="121">
        <v>20</v>
      </c>
      <c r="D14848" s="734">
        <v>142.33733169167104</v>
      </c>
      <c r="E14848" s="733"/>
    </row>
    <row r="14849" spans="2:5">
      <c r="B14849" s="121">
        <v>1254</v>
      </c>
      <c r="C14849" s="121">
        <v>21</v>
      </c>
      <c r="D14849" s="734">
        <v>138.73259578720118</v>
      </c>
      <c r="E14849" s="733"/>
    </row>
    <row r="14850" spans="2:5">
      <c r="B14850" s="121">
        <v>1254</v>
      </c>
      <c r="C14850" s="121">
        <v>22</v>
      </c>
      <c r="D14850" s="734">
        <v>144.23984472981726</v>
      </c>
      <c r="E14850" s="733"/>
    </row>
    <row r="14851" spans="2:5">
      <c r="B14851" s="121">
        <v>1254</v>
      </c>
      <c r="C14851" s="121">
        <v>23</v>
      </c>
      <c r="D14851" s="734">
        <v>147.27695777291805</v>
      </c>
      <c r="E14851" s="733"/>
    </row>
    <row r="14852" spans="2:5">
      <c r="B14852" s="121">
        <v>1254</v>
      </c>
      <c r="C14852" s="121">
        <v>24</v>
      </c>
      <c r="D14852" s="734">
        <v>144.88831682943243</v>
      </c>
      <c r="E14852" s="733"/>
    </row>
    <row r="14853" spans="2:5">
      <c r="B14853" s="121">
        <v>1254</v>
      </c>
      <c r="C14853" s="121">
        <v>25</v>
      </c>
      <c r="D14853" s="734">
        <v>138.56737198454744</v>
      </c>
      <c r="E14853" s="733"/>
    </row>
    <row r="14854" spans="2:5">
      <c r="B14854" s="121">
        <v>1254</v>
      </c>
      <c r="C14854" s="121">
        <v>26</v>
      </c>
      <c r="D14854" s="734">
        <v>140.76489225644838</v>
      </c>
      <c r="E14854" s="733"/>
    </row>
    <row r="14855" spans="2:5">
      <c r="B14855" s="121">
        <v>1254</v>
      </c>
      <c r="C14855" s="121">
        <v>27</v>
      </c>
      <c r="D14855" s="734">
        <v>136.71054934924751</v>
      </c>
      <c r="E14855" s="733"/>
    </row>
    <row r="14856" spans="2:5">
      <c r="B14856" s="121">
        <v>1254</v>
      </c>
      <c r="C14856" s="121">
        <v>28</v>
      </c>
      <c r="D14856" s="734">
        <v>136.87814930786948</v>
      </c>
      <c r="E14856" s="733"/>
    </row>
    <row r="14857" spans="2:5">
      <c r="B14857" s="121">
        <v>1254</v>
      </c>
      <c r="C14857" s="121">
        <v>29</v>
      </c>
      <c r="D14857" s="734">
        <v>146.57138015502096</v>
      </c>
      <c r="E14857" s="733"/>
    </row>
    <row r="14858" spans="2:5">
      <c r="B14858" s="121">
        <v>1254</v>
      </c>
      <c r="C14858" s="121">
        <v>30</v>
      </c>
      <c r="D14858" s="734">
        <v>140.52858522396289</v>
      </c>
      <c r="E14858" s="733"/>
    </row>
    <row r="14859" spans="2:5">
      <c r="B14859" s="121">
        <v>1254</v>
      </c>
      <c r="C14859" s="121">
        <v>31</v>
      </c>
      <c r="D14859" s="734">
        <v>142.94467192591594</v>
      </c>
      <c r="E14859" s="733"/>
    </row>
    <row r="14860" spans="2:5">
      <c r="B14860" s="121">
        <v>1254</v>
      </c>
      <c r="C14860" s="121">
        <v>32</v>
      </c>
      <c r="D14860" s="734">
        <v>138.53073369600219</v>
      </c>
      <c r="E14860" s="733"/>
    </row>
    <row r="14861" spans="2:5">
      <c r="B14861" s="121">
        <v>1254</v>
      </c>
      <c r="C14861" s="121">
        <v>33</v>
      </c>
      <c r="D14861" s="734">
        <v>136.84010274295483</v>
      </c>
      <c r="E14861" s="733"/>
    </row>
    <row r="14862" spans="2:5">
      <c r="B14862" s="121">
        <v>1254</v>
      </c>
      <c r="C14862" s="121">
        <v>34</v>
      </c>
      <c r="D14862" s="734">
        <v>137.79036710740726</v>
      </c>
      <c r="E14862" s="733"/>
    </row>
    <row r="14863" spans="2:5">
      <c r="B14863" s="121">
        <v>1254</v>
      </c>
      <c r="C14863" s="121">
        <v>35</v>
      </c>
      <c r="D14863" s="734">
        <v>141.23652738264872</v>
      </c>
      <c r="E14863" s="733"/>
    </row>
    <row r="14864" spans="2:5">
      <c r="B14864" s="121">
        <v>1254</v>
      </c>
      <c r="C14864" s="121">
        <v>36</v>
      </c>
      <c r="D14864" s="734">
        <v>135.60927058057447</v>
      </c>
      <c r="E14864" s="733"/>
    </row>
    <row r="14865" spans="2:5">
      <c r="B14865" s="121">
        <v>1255</v>
      </c>
      <c r="C14865" s="121">
        <v>1</v>
      </c>
      <c r="D14865" s="734">
        <v>5</v>
      </c>
      <c r="E14865" s="733"/>
    </row>
    <row r="14866" spans="2:5">
      <c r="B14866" s="121">
        <v>1255</v>
      </c>
      <c r="C14866" s="121">
        <v>2</v>
      </c>
      <c r="D14866" s="734">
        <v>102.96504869756326</v>
      </c>
      <c r="E14866" s="733"/>
    </row>
    <row r="14867" spans="2:5">
      <c r="B14867" s="121">
        <v>1256</v>
      </c>
      <c r="C14867" s="121">
        <v>1</v>
      </c>
      <c r="D14867" s="734">
        <v>5</v>
      </c>
      <c r="E14867" s="733"/>
    </row>
    <row r="14868" spans="2:5">
      <c r="B14868" s="121">
        <v>1256</v>
      </c>
      <c r="C14868" s="121">
        <v>2</v>
      </c>
      <c r="D14868" s="734">
        <v>103.01344488630784</v>
      </c>
      <c r="E14868" s="733"/>
    </row>
    <row r="14869" spans="2:5">
      <c r="B14869" s="121">
        <v>1256</v>
      </c>
      <c r="C14869" s="121">
        <v>3</v>
      </c>
      <c r="D14869" s="734">
        <v>119.98264541837898</v>
      </c>
      <c r="E14869" s="733"/>
    </row>
    <row r="14870" spans="2:5">
      <c r="B14870" s="121">
        <v>1256</v>
      </c>
      <c r="C14870" s="121">
        <v>4</v>
      </c>
      <c r="D14870" s="734">
        <v>145.86209689746062</v>
      </c>
      <c r="E14870" s="733"/>
    </row>
    <row r="14871" spans="2:5">
      <c r="B14871" s="121">
        <v>1256</v>
      </c>
      <c r="C14871" s="121">
        <v>5</v>
      </c>
      <c r="D14871" s="734">
        <v>135.65742473821612</v>
      </c>
      <c r="E14871" s="733"/>
    </row>
    <row r="14872" spans="2:5">
      <c r="B14872" s="121">
        <v>1256</v>
      </c>
      <c r="C14872" s="121">
        <v>6</v>
      </c>
      <c r="D14872" s="734">
        <v>141.66026436208978</v>
      </c>
      <c r="E14872" s="733"/>
    </row>
    <row r="14873" spans="2:5">
      <c r="B14873" s="121">
        <v>1256</v>
      </c>
      <c r="C14873" s="121">
        <v>7</v>
      </c>
      <c r="D14873" s="734">
        <v>144.47706124980178</v>
      </c>
      <c r="E14873" s="733"/>
    </row>
    <row r="14874" spans="2:5">
      <c r="B14874" s="121">
        <v>1256</v>
      </c>
      <c r="C14874" s="121">
        <v>8</v>
      </c>
      <c r="D14874" s="734">
        <v>139.56970835070487</v>
      </c>
      <c r="E14874" s="733"/>
    </row>
    <row r="14875" spans="2:5">
      <c r="B14875" s="121">
        <v>1256</v>
      </c>
      <c r="C14875" s="121">
        <v>9</v>
      </c>
      <c r="D14875" s="734">
        <v>145.54088649403442</v>
      </c>
      <c r="E14875" s="733"/>
    </row>
    <row r="14876" spans="2:5">
      <c r="B14876" s="121">
        <v>1256</v>
      </c>
      <c r="C14876" s="121">
        <v>10</v>
      </c>
      <c r="D14876" s="734">
        <v>133.71941679231239</v>
      </c>
      <c r="E14876" s="733"/>
    </row>
    <row r="14877" spans="2:5">
      <c r="B14877" s="121">
        <v>1256</v>
      </c>
      <c r="C14877" s="121">
        <v>11</v>
      </c>
      <c r="D14877" s="734">
        <v>138.63528045942877</v>
      </c>
      <c r="E14877" s="733"/>
    </row>
    <row r="14878" spans="2:5">
      <c r="B14878" s="121">
        <v>1256</v>
      </c>
      <c r="C14878" s="121">
        <v>12</v>
      </c>
      <c r="D14878" s="734">
        <v>134.67189013195625</v>
      </c>
      <c r="E14878" s="733"/>
    </row>
    <row r="14879" spans="2:5">
      <c r="B14879" s="121">
        <v>1256</v>
      </c>
      <c r="C14879" s="121">
        <v>13</v>
      </c>
      <c r="D14879" s="734">
        <v>136.67427054707161</v>
      </c>
      <c r="E14879" s="733"/>
    </row>
    <row r="14880" spans="2:5">
      <c r="B14880" s="121">
        <v>1256</v>
      </c>
      <c r="C14880" s="121">
        <v>14</v>
      </c>
      <c r="D14880" s="734">
        <v>139.62878579639573</v>
      </c>
      <c r="E14880" s="733"/>
    </row>
    <row r="14881" spans="2:5">
      <c r="B14881" s="121">
        <v>1256</v>
      </c>
      <c r="C14881" s="121">
        <v>15</v>
      </c>
      <c r="D14881" s="734">
        <v>146.21693773313069</v>
      </c>
      <c r="E14881" s="733"/>
    </row>
    <row r="14882" spans="2:5">
      <c r="B14882" s="121">
        <v>1256</v>
      </c>
      <c r="C14882" s="121">
        <v>16</v>
      </c>
      <c r="D14882" s="734">
        <v>138.83100664042178</v>
      </c>
      <c r="E14882" s="733"/>
    </row>
    <row r="14883" spans="2:5">
      <c r="B14883" s="121">
        <v>1256</v>
      </c>
      <c r="C14883" s="121">
        <v>17</v>
      </c>
      <c r="D14883" s="734">
        <v>147.22632811279232</v>
      </c>
      <c r="E14883" s="733"/>
    </row>
    <row r="14884" spans="2:5">
      <c r="B14884" s="121">
        <v>1256</v>
      </c>
      <c r="C14884" s="121">
        <v>18</v>
      </c>
      <c r="D14884" s="734">
        <v>142.69564599340674</v>
      </c>
      <c r="E14884" s="733"/>
    </row>
    <row r="14885" spans="2:5">
      <c r="B14885" s="121">
        <v>1256</v>
      </c>
      <c r="C14885" s="121">
        <v>19</v>
      </c>
      <c r="D14885" s="734">
        <v>135.82333259969204</v>
      </c>
      <c r="E14885" s="733"/>
    </row>
    <row r="14886" spans="2:5">
      <c r="B14886" s="121">
        <v>1256</v>
      </c>
      <c r="C14886" s="121">
        <v>20</v>
      </c>
      <c r="D14886" s="734">
        <v>144.38546952431759</v>
      </c>
      <c r="E14886" s="733"/>
    </row>
    <row r="14887" spans="2:5">
      <c r="B14887" s="121">
        <v>1256</v>
      </c>
      <c r="C14887" s="121">
        <v>21</v>
      </c>
      <c r="D14887" s="734">
        <v>134.97937546021859</v>
      </c>
      <c r="E14887" s="733"/>
    </row>
    <row r="14888" spans="2:5">
      <c r="B14888" s="121">
        <v>1256</v>
      </c>
      <c r="C14888" s="121">
        <v>22</v>
      </c>
      <c r="D14888" s="734">
        <v>137.71136825567456</v>
      </c>
      <c r="E14888" s="733"/>
    </row>
    <row r="14889" spans="2:5">
      <c r="B14889" s="121">
        <v>1256</v>
      </c>
      <c r="C14889" s="121">
        <v>23</v>
      </c>
      <c r="D14889" s="734">
        <v>135.89431886848888</v>
      </c>
      <c r="E14889" s="733"/>
    </row>
    <row r="14890" spans="2:5">
      <c r="B14890" s="121">
        <v>1256</v>
      </c>
      <c r="C14890" s="121">
        <v>24</v>
      </c>
      <c r="D14890" s="734">
        <v>135.63220814320366</v>
      </c>
      <c r="E14890" s="733"/>
    </row>
    <row r="14891" spans="2:5">
      <c r="B14891" s="121">
        <v>1257</v>
      </c>
      <c r="C14891" s="121">
        <v>1</v>
      </c>
      <c r="D14891" s="734">
        <v>5</v>
      </c>
      <c r="E14891" s="733"/>
    </row>
    <row r="14892" spans="2:5">
      <c r="B14892" s="121">
        <v>1257</v>
      </c>
      <c r="C14892" s="121">
        <v>2</v>
      </c>
      <c r="D14892" s="734">
        <v>102.21711720314931</v>
      </c>
      <c r="E14892" s="733"/>
    </row>
    <row r="14893" spans="2:5">
      <c r="B14893" s="121">
        <v>1257</v>
      </c>
      <c r="C14893" s="121">
        <v>3</v>
      </c>
      <c r="D14893" s="734">
        <v>117.7168740847184</v>
      </c>
      <c r="E14893" s="733"/>
    </row>
    <row r="14894" spans="2:5">
      <c r="B14894" s="121">
        <v>1257</v>
      </c>
      <c r="C14894" s="121">
        <v>4</v>
      </c>
      <c r="D14894" s="734">
        <v>145.73312531222959</v>
      </c>
      <c r="E14894" s="733"/>
    </row>
    <row r="14895" spans="2:5">
      <c r="B14895" s="121">
        <v>1257</v>
      </c>
      <c r="C14895" s="121">
        <v>5</v>
      </c>
      <c r="D14895" s="734">
        <v>138.97784206889472</v>
      </c>
      <c r="E14895" s="733"/>
    </row>
    <row r="14896" spans="2:5">
      <c r="B14896" s="121">
        <v>1257</v>
      </c>
      <c r="C14896" s="121">
        <v>6</v>
      </c>
      <c r="D14896" s="734">
        <v>142.67936089613889</v>
      </c>
      <c r="E14896" s="733"/>
    </row>
    <row r="14897" spans="2:5">
      <c r="B14897" s="121">
        <v>1257</v>
      </c>
      <c r="C14897" s="121">
        <v>7</v>
      </c>
      <c r="D14897" s="734">
        <v>143.52186230926716</v>
      </c>
      <c r="E14897" s="733"/>
    </row>
    <row r="14898" spans="2:5">
      <c r="B14898" s="121">
        <v>1257</v>
      </c>
      <c r="C14898" s="121">
        <v>8</v>
      </c>
      <c r="D14898" s="734">
        <v>139.24683139364851</v>
      </c>
      <c r="E14898" s="733"/>
    </row>
    <row r="14899" spans="2:5">
      <c r="B14899" s="121">
        <v>1257</v>
      </c>
      <c r="C14899" s="121">
        <v>9</v>
      </c>
      <c r="D14899" s="734">
        <v>142.05755075064133</v>
      </c>
      <c r="E14899" s="733"/>
    </row>
    <row r="14900" spans="2:5">
      <c r="B14900" s="121">
        <v>1257</v>
      </c>
      <c r="C14900" s="121">
        <v>10</v>
      </c>
      <c r="D14900" s="734">
        <v>143.57826321392977</v>
      </c>
      <c r="E14900" s="733"/>
    </row>
    <row r="14901" spans="2:5">
      <c r="B14901" s="121">
        <v>1257</v>
      </c>
      <c r="C14901" s="121">
        <v>11</v>
      </c>
      <c r="D14901" s="734">
        <v>145.24106728565155</v>
      </c>
      <c r="E14901" s="733"/>
    </row>
    <row r="14902" spans="2:5">
      <c r="B14902" s="121">
        <v>1257</v>
      </c>
      <c r="C14902" s="121">
        <v>12</v>
      </c>
      <c r="D14902" s="734">
        <v>140.68500471266481</v>
      </c>
      <c r="E14902" s="733"/>
    </row>
    <row r="14903" spans="2:5">
      <c r="B14903" s="121">
        <v>1257</v>
      </c>
      <c r="C14903" s="121">
        <v>13</v>
      </c>
      <c r="D14903" s="734">
        <v>135.43990430596182</v>
      </c>
      <c r="E14903" s="733"/>
    </row>
    <row r="14904" spans="2:5">
      <c r="B14904" s="121">
        <v>1257</v>
      </c>
      <c r="C14904" s="121">
        <v>14</v>
      </c>
      <c r="D14904" s="734">
        <v>143.29024500527336</v>
      </c>
      <c r="E14904" s="733"/>
    </row>
    <row r="14905" spans="2:5">
      <c r="B14905" s="121">
        <v>1257</v>
      </c>
      <c r="C14905" s="121">
        <v>15</v>
      </c>
      <c r="D14905" s="734">
        <v>142.72316829197385</v>
      </c>
      <c r="E14905" s="733"/>
    </row>
    <row r="14906" spans="2:5">
      <c r="B14906" s="121">
        <v>1257</v>
      </c>
      <c r="C14906" s="121">
        <v>16</v>
      </c>
      <c r="D14906" s="734">
        <v>135.62348872573884</v>
      </c>
      <c r="E14906" s="733"/>
    </row>
    <row r="14907" spans="2:5">
      <c r="B14907" s="121">
        <v>1257</v>
      </c>
      <c r="C14907" s="121">
        <v>17</v>
      </c>
      <c r="D14907" s="734">
        <v>138.96732161222113</v>
      </c>
      <c r="E14907" s="733"/>
    </row>
    <row r="14908" spans="2:5">
      <c r="B14908" s="121">
        <v>1257</v>
      </c>
      <c r="C14908" s="121">
        <v>18</v>
      </c>
      <c r="D14908" s="734">
        <v>146.63708862124915</v>
      </c>
      <c r="E14908" s="733"/>
    </row>
    <row r="14909" spans="2:5">
      <c r="B14909" s="121">
        <v>1258</v>
      </c>
      <c r="C14909" s="121">
        <v>1</v>
      </c>
      <c r="D14909" s="734">
        <v>5</v>
      </c>
      <c r="E14909" s="733"/>
    </row>
    <row r="14910" spans="2:5">
      <c r="B14910" s="121">
        <v>1258</v>
      </c>
      <c r="C14910" s="121">
        <v>2</v>
      </c>
      <c r="D14910" s="734">
        <v>95.189400167377357</v>
      </c>
      <c r="E14910" s="733"/>
    </row>
    <row r="14911" spans="2:5">
      <c r="B14911" s="121">
        <v>1258</v>
      </c>
      <c r="C14911" s="121">
        <v>3</v>
      </c>
      <c r="D14911" s="734">
        <v>120.81803427247334</v>
      </c>
      <c r="E14911" s="733"/>
    </row>
    <row r="14912" spans="2:5">
      <c r="B14912" s="121">
        <v>1258</v>
      </c>
      <c r="C14912" s="121">
        <v>4</v>
      </c>
      <c r="D14912" s="734">
        <v>134.43229930707173</v>
      </c>
      <c r="E14912" s="733"/>
    </row>
    <row r="14913" spans="2:5">
      <c r="B14913" s="121">
        <v>1258</v>
      </c>
      <c r="C14913" s="121">
        <v>5</v>
      </c>
      <c r="D14913" s="734">
        <v>140.31774370226466</v>
      </c>
      <c r="E14913" s="733"/>
    </row>
    <row r="14914" spans="2:5">
      <c r="B14914" s="121">
        <v>1258</v>
      </c>
      <c r="C14914" s="121">
        <v>6</v>
      </c>
      <c r="D14914" s="734">
        <v>141.49236592570108</v>
      </c>
      <c r="E14914" s="733"/>
    </row>
    <row r="14915" spans="2:5">
      <c r="B14915" s="121">
        <v>1258</v>
      </c>
      <c r="C14915" s="121">
        <v>7</v>
      </c>
      <c r="D14915" s="734">
        <v>143.75773633866024</v>
      </c>
      <c r="E14915" s="733"/>
    </row>
    <row r="14916" spans="2:5">
      <c r="B14916" s="121">
        <v>1258</v>
      </c>
      <c r="C14916" s="121">
        <v>8</v>
      </c>
      <c r="D14916" s="734">
        <v>139.68234741479614</v>
      </c>
      <c r="E14916" s="733"/>
    </row>
    <row r="14917" spans="2:5">
      <c r="B14917" s="121">
        <v>1258</v>
      </c>
      <c r="C14917" s="121">
        <v>9</v>
      </c>
      <c r="D14917" s="734">
        <v>135.47827038277765</v>
      </c>
      <c r="E14917" s="733"/>
    </row>
    <row r="14918" spans="2:5">
      <c r="B14918" s="121">
        <v>1258</v>
      </c>
      <c r="C14918" s="121">
        <v>10</v>
      </c>
      <c r="D14918" s="734">
        <v>144.5308624594355</v>
      </c>
      <c r="E14918" s="733"/>
    </row>
    <row r="14919" spans="2:5">
      <c r="B14919" s="121">
        <v>1258</v>
      </c>
      <c r="C14919" s="121">
        <v>11</v>
      </c>
      <c r="D14919" s="734">
        <v>143.62909986911006</v>
      </c>
      <c r="E14919" s="733"/>
    </row>
    <row r="14920" spans="2:5">
      <c r="B14920" s="121">
        <v>1258</v>
      </c>
      <c r="C14920" s="121">
        <v>12</v>
      </c>
      <c r="D14920" s="734">
        <v>140.04878771660708</v>
      </c>
      <c r="E14920" s="733"/>
    </row>
    <row r="14921" spans="2:5">
      <c r="B14921" s="121">
        <v>1258</v>
      </c>
      <c r="C14921" s="121">
        <v>13</v>
      </c>
      <c r="D14921" s="734">
        <v>145.75848640194391</v>
      </c>
      <c r="E14921" s="733"/>
    </row>
    <row r="14922" spans="2:5">
      <c r="B14922" s="121">
        <v>1258</v>
      </c>
      <c r="C14922" s="121">
        <v>14</v>
      </c>
      <c r="D14922" s="734">
        <v>141.32453478350388</v>
      </c>
      <c r="E14922" s="733"/>
    </row>
    <row r="14923" spans="2:5">
      <c r="B14923" s="121">
        <v>1258</v>
      </c>
      <c r="C14923" s="121">
        <v>15</v>
      </c>
      <c r="D14923" s="734">
        <v>143.59884686145818</v>
      </c>
      <c r="E14923" s="733"/>
    </row>
    <row r="14924" spans="2:5">
      <c r="B14924" s="121">
        <v>1258</v>
      </c>
      <c r="C14924" s="121">
        <v>16</v>
      </c>
      <c r="D14924" s="734">
        <v>139.54541921592912</v>
      </c>
      <c r="E14924" s="733"/>
    </row>
    <row r="14925" spans="2:5">
      <c r="B14925" s="121">
        <v>1258</v>
      </c>
      <c r="C14925" s="121">
        <v>17</v>
      </c>
      <c r="D14925" s="734">
        <v>135.79753009592469</v>
      </c>
      <c r="E14925" s="733"/>
    </row>
    <row r="14926" spans="2:5">
      <c r="B14926" s="121">
        <v>1258</v>
      </c>
      <c r="C14926" s="121">
        <v>18</v>
      </c>
      <c r="D14926" s="734">
        <v>140.78256628215689</v>
      </c>
      <c r="E14926" s="733"/>
    </row>
    <row r="14927" spans="2:5">
      <c r="B14927" s="121">
        <v>1258</v>
      </c>
      <c r="C14927" s="121">
        <v>19</v>
      </c>
      <c r="D14927" s="734">
        <v>134.79406246689464</v>
      </c>
      <c r="E14927" s="733"/>
    </row>
    <row r="14928" spans="2:5">
      <c r="B14928" s="121">
        <v>1258</v>
      </c>
      <c r="C14928" s="121">
        <v>20</v>
      </c>
      <c r="D14928" s="734">
        <v>136.82293011509057</v>
      </c>
      <c r="E14928" s="733"/>
    </row>
    <row r="14929" spans="2:5">
      <c r="B14929" s="121">
        <v>1258</v>
      </c>
      <c r="C14929" s="121">
        <v>21</v>
      </c>
      <c r="D14929" s="734">
        <v>145.93936710401272</v>
      </c>
      <c r="E14929" s="733"/>
    </row>
    <row r="14930" spans="2:5">
      <c r="B14930" s="121">
        <v>1258</v>
      </c>
      <c r="C14930" s="121">
        <v>22</v>
      </c>
      <c r="D14930" s="734">
        <v>136.68718335084321</v>
      </c>
      <c r="E14930" s="733"/>
    </row>
    <row r="14931" spans="2:5">
      <c r="B14931" s="121">
        <v>1258</v>
      </c>
      <c r="C14931" s="121">
        <v>23</v>
      </c>
      <c r="D14931" s="734">
        <v>142.90016565964058</v>
      </c>
      <c r="E14931" s="733"/>
    </row>
    <row r="14932" spans="2:5">
      <c r="B14932" s="121">
        <v>1258</v>
      </c>
      <c r="C14932" s="121">
        <v>24</v>
      </c>
      <c r="D14932" s="734">
        <v>140.46378553684019</v>
      </c>
      <c r="E14932" s="733"/>
    </row>
    <row r="14933" spans="2:5">
      <c r="B14933" s="121">
        <v>1259</v>
      </c>
      <c r="C14933" s="121">
        <v>1</v>
      </c>
      <c r="D14933" s="734">
        <v>5</v>
      </c>
      <c r="E14933" s="733"/>
    </row>
    <row r="14934" spans="2:5">
      <c r="B14934" s="121">
        <v>1259</v>
      </c>
      <c r="C14934" s="121">
        <v>2</v>
      </c>
      <c r="D14934" s="734">
        <v>96.632368958253451</v>
      </c>
      <c r="E14934" s="733"/>
    </row>
    <row r="14935" spans="2:5">
      <c r="B14935" s="121">
        <v>1259</v>
      </c>
      <c r="C14935" s="121">
        <v>3</v>
      </c>
      <c r="D14935" s="734">
        <v>117.27798722420314</v>
      </c>
      <c r="E14935" s="733"/>
    </row>
    <row r="14936" spans="2:5">
      <c r="B14936" s="121">
        <v>1259</v>
      </c>
      <c r="C14936" s="121">
        <v>4</v>
      </c>
      <c r="D14936" s="734">
        <v>144.51562233454854</v>
      </c>
      <c r="E14936" s="733"/>
    </row>
    <row r="14937" spans="2:5">
      <c r="B14937" s="121">
        <v>1259</v>
      </c>
      <c r="C14937" s="121">
        <v>5</v>
      </c>
      <c r="D14937" s="734">
        <v>145.72226287999737</v>
      </c>
      <c r="E14937" s="733"/>
    </row>
    <row r="14938" spans="2:5">
      <c r="B14938" s="121">
        <v>1259</v>
      </c>
      <c r="C14938" s="121">
        <v>6</v>
      </c>
      <c r="D14938" s="734">
        <v>141.20232796262491</v>
      </c>
      <c r="E14938" s="733"/>
    </row>
    <row r="14939" spans="2:5">
      <c r="B14939" s="121">
        <v>1259</v>
      </c>
      <c r="C14939" s="121">
        <v>7</v>
      </c>
      <c r="D14939" s="734">
        <v>144.95486147956356</v>
      </c>
      <c r="E14939" s="733"/>
    </row>
    <row r="14940" spans="2:5">
      <c r="B14940" s="121">
        <v>1259</v>
      </c>
      <c r="C14940" s="121">
        <v>8</v>
      </c>
      <c r="D14940" s="734">
        <v>140.52978110877629</v>
      </c>
      <c r="E14940" s="733"/>
    </row>
    <row r="14941" spans="2:5">
      <c r="B14941" s="121">
        <v>1259</v>
      </c>
      <c r="C14941" s="121">
        <v>9</v>
      </c>
      <c r="D14941" s="734">
        <v>134.72128361086155</v>
      </c>
      <c r="E14941" s="733"/>
    </row>
    <row r="14942" spans="2:5">
      <c r="B14942" s="121">
        <v>1259</v>
      </c>
      <c r="C14942" s="121">
        <v>10</v>
      </c>
      <c r="D14942" s="734">
        <v>142.02608442773482</v>
      </c>
      <c r="E14942" s="733"/>
    </row>
    <row r="14943" spans="2:5">
      <c r="B14943" s="121">
        <v>1259</v>
      </c>
      <c r="C14943" s="121">
        <v>11</v>
      </c>
      <c r="D14943" s="734">
        <v>138.94844773694692</v>
      </c>
      <c r="E14943" s="733"/>
    </row>
    <row r="14944" spans="2:5">
      <c r="B14944" s="121">
        <v>1259</v>
      </c>
      <c r="C14944" s="121">
        <v>12</v>
      </c>
      <c r="D14944" s="734">
        <v>139.25063089919556</v>
      </c>
      <c r="E14944" s="733"/>
    </row>
    <row r="14945" spans="2:5">
      <c r="B14945" s="121">
        <v>1259</v>
      </c>
      <c r="C14945" s="121">
        <v>13</v>
      </c>
      <c r="D14945" s="734">
        <v>136.29612385927203</v>
      </c>
      <c r="E14945" s="733"/>
    </row>
    <row r="14946" spans="2:5">
      <c r="B14946" s="121">
        <v>1259</v>
      </c>
      <c r="C14946" s="121">
        <v>14</v>
      </c>
      <c r="D14946" s="734">
        <v>143.64745300362793</v>
      </c>
      <c r="E14946" s="733"/>
    </row>
    <row r="14947" spans="2:5">
      <c r="B14947" s="121">
        <v>1259</v>
      </c>
      <c r="C14947" s="121">
        <v>15</v>
      </c>
      <c r="D14947" s="734">
        <v>137.35068188690548</v>
      </c>
      <c r="E14947" s="733"/>
    </row>
    <row r="14948" spans="2:5">
      <c r="B14948" s="121">
        <v>1259</v>
      </c>
      <c r="C14948" s="121">
        <v>16</v>
      </c>
      <c r="D14948" s="734">
        <v>136.72161369520325</v>
      </c>
      <c r="E14948" s="733"/>
    </row>
    <row r="14949" spans="2:5">
      <c r="B14949" s="121">
        <v>1259</v>
      </c>
      <c r="C14949" s="121">
        <v>17</v>
      </c>
      <c r="D14949" s="734">
        <v>146.48920663258045</v>
      </c>
      <c r="E14949" s="733"/>
    </row>
    <row r="14950" spans="2:5">
      <c r="B14950" s="121">
        <v>1259</v>
      </c>
      <c r="C14950" s="121">
        <v>18</v>
      </c>
      <c r="D14950" s="734">
        <v>142.37598187424089</v>
      </c>
      <c r="E14950" s="733"/>
    </row>
    <row r="14951" spans="2:5">
      <c r="B14951" s="121">
        <v>1259</v>
      </c>
      <c r="C14951" s="121">
        <v>19</v>
      </c>
      <c r="D14951" s="734">
        <v>135.60916621831637</v>
      </c>
      <c r="E14951" s="733"/>
    </row>
    <row r="14952" spans="2:5">
      <c r="B14952" s="121">
        <v>1259</v>
      </c>
      <c r="C14952" s="121">
        <v>20</v>
      </c>
      <c r="D14952" s="734">
        <v>139.42996649515271</v>
      </c>
      <c r="E14952" s="733"/>
    </row>
    <row r="14953" spans="2:5">
      <c r="B14953" s="121">
        <v>1259</v>
      </c>
      <c r="C14953" s="121">
        <v>21</v>
      </c>
      <c r="D14953" s="734">
        <v>135.44899305808164</v>
      </c>
      <c r="E14953" s="733"/>
    </row>
    <row r="14954" spans="2:5">
      <c r="B14954" s="121">
        <v>1259</v>
      </c>
      <c r="C14954" s="121">
        <v>22</v>
      </c>
      <c r="D14954" s="734">
        <v>146.81813002692732</v>
      </c>
      <c r="E14954" s="733"/>
    </row>
    <row r="14955" spans="2:5">
      <c r="B14955" s="121">
        <v>1259</v>
      </c>
      <c r="C14955" s="121">
        <v>23</v>
      </c>
      <c r="D14955" s="734">
        <v>146.81407624991823</v>
      </c>
      <c r="E14955" s="733"/>
    </row>
    <row r="14956" spans="2:5">
      <c r="B14956" s="121">
        <v>1259</v>
      </c>
      <c r="C14956" s="121">
        <v>24</v>
      </c>
      <c r="D14956" s="734">
        <v>134.88811376640174</v>
      </c>
      <c r="E14956" s="733"/>
    </row>
    <row r="14957" spans="2:5">
      <c r="B14957" s="121">
        <v>1259</v>
      </c>
      <c r="C14957" s="121">
        <v>25</v>
      </c>
      <c r="D14957" s="734">
        <v>146.81193288672006</v>
      </c>
      <c r="E14957" s="733"/>
    </row>
    <row r="14958" spans="2:5">
      <c r="B14958" s="121">
        <v>1259</v>
      </c>
      <c r="C14958" s="121">
        <v>26</v>
      </c>
      <c r="D14958" s="734">
        <v>140.44955326615727</v>
      </c>
      <c r="E14958" s="733"/>
    </row>
    <row r="14959" spans="2:5">
      <c r="B14959" s="121">
        <v>1259</v>
      </c>
      <c r="C14959" s="121">
        <v>27</v>
      </c>
      <c r="D14959" s="734">
        <v>141.19732258459456</v>
      </c>
      <c r="E14959" s="733"/>
    </row>
    <row r="14960" spans="2:5">
      <c r="B14960" s="121">
        <v>1259</v>
      </c>
      <c r="C14960" s="121">
        <v>28</v>
      </c>
      <c r="D14960" s="734">
        <v>137.6018519004742</v>
      </c>
      <c r="E14960" s="733"/>
    </row>
    <row r="14961" spans="2:5">
      <c r="B14961" s="121">
        <v>1259</v>
      </c>
      <c r="C14961" s="121">
        <v>29</v>
      </c>
      <c r="D14961" s="734">
        <v>135.74341204396845</v>
      </c>
      <c r="E14961" s="733"/>
    </row>
    <row r="14962" spans="2:5">
      <c r="B14962" s="121">
        <v>1259</v>
      </c>
      <c r="C14962" s="121">
        <v>30</v>
      </c>
      <c r="D14962" s="734">
        <v>140.64200208662788</v>
      </c>
      <c r="E14962" s="733"/>
    </row>
    <row r="14963" spans="2:5">
      <c r="B14963" s="121">
        <v>1259</v>
      </c>
      <c r="C14963" s="121">
        <v>31</v>
      </c>
      <c r="D14963" s="734">
        <v>146.40058563020608</v>
      </c>
      <c r="E14963" s="733"/>
    </row>
    <row r="14964" spans="2:5">
      <c r="B14964" s="121">
        <v>1259</v>
      </c>
      <c r="C14964" s="121">
        <v>32</v>
      </c>
      <c r="D14964" s="734">
        <v>146.03219134522206</v>
      </c>
      <c r="E14964" s="733"/>
    </row>
    <row r="14965" spans="2:5">
      <c r="B14965" s="121">
        <v>1259</v>
      </c>
      <c r="C14965" s="121">
        <v>33</v>
      </c>
      <c r="D14965" s="734">
        <v>138.28411700800447</v>
      </c>
      <c r="E14965" s="733"/>
    </row>
    <row r="14966" spans="2:5">
      <c r="B14966" s="121">
        <v>1259</v>
      </c>
      <c r="C14966" s="121">
        <v>34</v>
      </c>
      <c r="D14966" s="734">
        <v>145.47058864745512</v>
      </c>
      <c r="E14966" s="733"/>
    </row>
    <row r="14967" spans="2:5">
      <c r="B14967" s="121">
        <v>1259</v>
      </c>
      <c r="C14967" s="121">
        <v>35</v>
      </c>
      <c r="D14967" s="734">
        <v>138.28611847316395</v>
      </c>
      <c r="E14967" s="733"/>
    </row>
    <row r="14968" spans="2:5">
      <c r="B14968" s="121">
        <v>1259</v>
      </c>
      <c r="C14968" s="121">
        <v>36</v>
      </c>
      <c r="D14968" s="734">
        <v>140.81113270051816</v>
      </c>
      <c r="E14968" s="733"/>
    </row>
    <row r="14969" spans="2:5">
      <c r="B14969" s="121">
        <v>1260</v>
      </c>
      <c r="C14969" s="121">
        <v>1</v>
      </c>
      <c r="D14969" s="734">
        <v>5</v>
      </c>
      <c r="E14969" s="733"/>
    </row>
    <row r="14970" spans="2:5">
      <c r="B14970" s="121">
        <v>1260</v>
      </c>
      <c r="C14970" s="121">
        <v>2</v>
      </c>
      <c r="D14970" s="734">
        <v>103.00159012577235</v>
      </c>
      <c r="E14970" s="733"/>
    </row>
    <row r="14971" spans="2:5">
      <c r="B14971" s="121">
        <v>1260</v>
      </c>
      <c r="C14971" s="121">
        <v>3</v>
      </c>
      <c r="D14971" s="734">
        <v>124.14481780339099</v>
      </c>
      <c r="E14971" s="733"/>
    </row>
    <row r="14972" spans="2:5">
      <c r="B14972" s="121">
        <v>1260</v>
      </c>
      <c r="C14972" s="121">
        <v>4</v>
      </c>
      <c r="D14972" s="734">
        <v>144.63222023864617</v>
      </c>
      <c r="E14972" s="733"/>
    </row>
    <row r="14973" spans="2:5">
      <c r="B14973" s="121">
        <v>1260</v>
      </c>
      <c r="C14973" s="121">
        <v>5</v>
      </c>
      <c r="D14973" s="734">
        <v>136.50855168709572</v>
      </c>
      <c r="E14973" s="733"/>
    </row>
    <row r="14974" spans="2:5">
      <c r="B14974" s="121">
        <v>1260</v>
      </c>
      <c r="C14974" s="121">
        <v>6</v>
      </c>
      <c r="D14974" s="734">
        <v>140.21268683015759</v>
      </c>
      <c r="E14974" s="733"/>
    </row>
    <row r="14975" spans="2:5">
      <c r="B14975" s="121">
        <v>1260</v>
      </c>
      <c r="C14975" s="121">
        <v>7</v>
      </c>
      <c r="D14975" s="734">
        <v>141.94833551145319</v>
      </c>
      <c r="E14975" s="733"/>
    </row>
    <row r="14976" spans="2:5">
      <c r="B14976" s="121">
        <v>1260</v>
      </c>
      <c r="C14976" s="121">
        <v>8</v>
      </c>
      <c r="D14976" s="734">
        <v>135.95920299106038</v>
      </c>
      <c r="E14976" s="733"/>
    </row>
    <row r="14977" spans="2:5">
      <c r="B14977" s="121">
        <v>1260</v>
      </c>
      <c r="C14977" s="121">
        <v>9</v>
      </c>
      <c r="D14977" s="734">
        <v>139.07692939590927</v>
      </c>
      <c r="E14977" s="733"/>
    </row>
    <row r="14978" spans="2:5">
      <c r="B14978" s="121">
        <v>1260</v>
      </c>
      <c r="C14978" s="121">
        <v>10</v>
      </c>
      <c r="D14978" s="734">
        <v>145.23478410658777</v>
      </c>
      <c r="E14978" s="733"/>
    </row>
    <row r="14979" spans="2:5">
      <c r="B14979" s="121">
        <v>1260</v>
      </c>
      <c r="C14979" s="121">
        <v>11</v>
      </c>
      <c r="D14979" s="734">
        <v>142.59340895659378</v>
      </c>
      <c r="E14979" s="733"/>
    </row>
    <row r="14980" spans="2:5">
      <c r="B14980" s="121">
        <v>1260</v>
      </c>
      <c r="C14980" s="121">
        <v>12</v>
      </c>
      <c r="D14980" s="734">
        <v>140.03860714766827</v>
      </c>
      <c r="E14980" s="733"/>
    </row>
    <row r="14981" spans="2:5">
      <c r="B14981" s="121">
        <v>1260</v>
      </c>
      <c r="C14981" s="121">
        <v>13</v>
      </c>
      <c r="D14981" s="734">
        <v>137.74590009118236</v>
      </c>
      <c r="E14981" s="733"/>
    </row>
    <row r="14982" spans="2:5">
      <c r="B14982" s="121">
        <v>1260</v>
      </c>
      <c r="C14982" s="121">
        <v>14</v>
      </c>
      <c r="D14982" s="734">
        <v>137.39471957008004</v>
      </c>
      <c r="E14982" s="733"/>
    </row>
    <row r="14983" spans="2:5">
      <c r="B14983" s="121">
        <v>1260</v>
      </c>
      <c r="C14983" s="121">
        <v>15</v>
      </c>
      <c r="D14983" s="734">
        <v>139.63743074130338</v>
      </c>
      <c r="E14983" s="733"/>
    </row>
    <row r="14984" spans="2:5">
      <c r="B14984" s="121">
        <v>1260</v>
      </c>
      <c r="C14984" s="121">
        <v>16</v>
      </c>
      <c r="D14984" s="734">
        <v>140.71294968098334</v>
      </c>
      <c r="E14984" s="733"/>
    </row>
    <row r="14985" spans="2:5">
      <c r="B14985" s="121">
        <v>1260</v>
      </c>
      <c r="C14985" s="121">
        <v>17</v>
      </c>
      <c r="D14985" s="734">
        <v>146.00364403850972</v>
      </c>
      <c r="E14985" s="733"/>
    </row>
    <row r="14986" spans="2:5">
      <c r="B14986" s="121">
        <v>1260</v>
      </c>
      <c r="C14986" s="121">
        <v>18</v>
      </c>
      <c r="D14986" s="734">
        <v>140.42345950613776</v>
      </c>
      <c r="E14986" s="733"/>
    </row>
    <row r="14987" spans="2:5">
      <c r="B14987" s="121">
        <v>1260</v>
      </c>
      <c r="C14987" s="121">
        <v>19</v>
      </c>
      <c r="D14987" s="734">
        <v>141.71866127665749</v>
      </c>
      <c r="E14987" s="733"/>
    </row>
    <row r="14988" spans="2:5">
      <c r="B14988" s="121">
        <v>1260</v>
      </c>
      <c r="C14988" s="121">
        <v>20</v>
      </c>
      <c r="D14988" s="734">
        <v>144.53087746766255</v>
      </c>
      <c r="E14988" s="733"/>
    </row>
    <row r="14989" spans="2:5">
      <c r="B14989" s="121">
        <v>1260</v>
      </c>
      <c r="C14989" s="121">
        <v>21</v>
      </c>
      <c r="D14989" s="734">
        <v>142.45885306165061</v>
      </c>
      <c r="E14989" s="733"/>
    </row>
    <row r="14990" spans="2:5">
      <c r="B14990" s="121">
        <v>1260</v>
      </c>
      <c r="C14990" s="121">
        <v>22</v>
      </c>
      <c r="D14990" s="734">
        <v>138.18236424006406</v>
      </c>
      <c r="E14990" s="733"/>
    </row>
    <row r="14991" spans="2:5">
      <c r="B14991" s="121">
        <v>1260</v>
      </c>
      <c r="C14991" s="121">
        <v>23</v>
      </c>
      <c r="D14991" s="734">
        <v>142.65555703644858</v>
      </c>
      <c r="E14991" s="733"/>
    </row>
    <row r="14992" spans="2:5">
      <c r="B14992" s="121">
        <v>1260</v>
      </c>
      <c r="C14992" s="121">
        <v>24</v>
      </c>
      <c r="D14992" s="734">
        <v>140.36599334953945</v>
      </c>
      <c r="E14992" s="733"/>
    </row>
    <row r="14993" spans="2:5">
      <c r="B14993" s="121">
        <v>1260</v>
      </c>
      <c r="C14993" s="121">
        <v>25</v>
      </c>
      <c r="D14993" s="734">
        <v>135.93051263616832</v>
      </c>
      <c r="E14993" s="733"/>
    </row>
    <row r="14994" spans="2:5">
      <c r="B14994" s="121">
        <v>1260</v>
      </c>
      <c r="C14994" s="121">
        <v>26</v>
      </c>
      <c r="D14994" s="734">
        <v>145.66196480182609</v>
      </c>
      <c r="E14994" s="733"/>
    </row>
    <row r="14995" spans="2:5">
      <c r="B14995" s="121">
        <v>1260</v>
      </c>
      <c r="C14995" s="121">
        <v>27</v>
      </c>
      <c r="D14995" s="734">
        <v>136.68417226722482</v>
      </c>
      <c r="E14995" s="733"/>
    </row>
    <row r="14996" spans="2:5">
      <c r="B14996" s="121">
        <v>1260</v>
      </c>
      <c r="C14996" s="121">
        <v>28</v>
      </c>
      <c r="D14996" s="734">
        <v>136.33092310089751</v>
      </c>
      <c r="E14996" s="733"/>
    </row>
    <row r="14997" spans="2:5">
      <c r="B14997" s="121">
        <v>1260</v>
      </c>
      <c r="C14997" s="121">
        <v>29</v>
      </c>
      <c r="D14997" s="734">
        <v>137.79868215793999</v>
      </c>
      <c r="E14997" s="733"/>
    </row>
    <row r="14998" spans="2:5">
      <c r="B14998" s="121">
        <v>1260</v>
      </c>
      <c r="C14998" s="121">
        <v>30</v>
      </c>
      <c r="D14998" s="734">
        <v>134.39141442978749</v>
      </c>
      <c r="E14998" s="733"/>
    </row>
    <row r="14999" spans="2:5">
      <c r="B14999" s="121">
        <v>1260</v>
      </c>
      <c r="C14999" s="121">
        <v>31</v>
      </c>
      <c r="D14999" s="734">
        <v>134.78240220194803</v>
      </c>
      <c r="E14999" s="733"/>
    </row>
    <row r="15000" spans="2:5">
      <c r="B15000" s="121">
        <v>1260</v>
      </c>
      <c r="C15000" s="121">
        <v>32</v>
      </c>
      <c r="D15000" s="734">
        <v>140.57441337831588</v>
      </c>
      <c r="E15000" s="733"/>
    </row>
    <row r="15001" spans="2:5">
      <c r="B15001" s="121">
        <v>1260</v>
      </c>
      <c r="C15001" s="121">
        <v>33</v>
      </c>
      <c r="D15001" s="734">
        <v>134.19011860479176</v>
      </c>
      <c r="E15001" s="733"/>
    </row>
    <row r="15002" spans="2:5">
      <c r="B15002" s="121">
        <v>1260</v>
      </c>
      <c r="C15002" s="121">
        <v>34</v>
      </c>
      <c r="D15002" s="734">
        <v>134.06051362297322</v>
      </c>
      <c r="E15002" s="733"/>
    </row>
    <row r="15003" spans="2:5">
      <c r="B15003" s="121">
        <v>1260</v>
      </c>
      <c r="C15003" s="121">
        <v>35</v>
      </c>
      <c r="D15003" s="734">
        <v>138.02847921928876</v>
      </c>
      <c r="E15003" s="733"/>
    </row>
    <row r="15004" spans="2:5">
      <c r="B15004" s="121">
        <v>1260</v>
      </c>
      <c r="C15004" s="121">
        <v>36</v>
      </c>
      <c r="D15004" s="734">
        <v>135.89877779212713</v>
      </c>
      <c r="E15004" s="733"/>
    </row>
    <row r="15005" spans="2:5">
      <c r="B15005" s="121">
        <v>1261</v>
      </c>
      <c r="C15005" s="121">
        <v>1</v>
      </c>
      <c r="D15005" s="734">
        <v>5</v>
      </c>
      <c r="E15005" s="733"/>
    </row>
    <row r="15006" spans="2:5">
      <c r="B15006" s="121">
        <v>1261</v>
      </c>
      <c r="C15006" s="121">
        <v>2</v>
      </c>
      <c r="D15006" s="734">
        <v>102.6026433818917</v>
      </c>
      <c r="E15006" s="733"/>
    </row>
    <row r="15007" spans="2:5">
      <c r="B15007" s="121">
        <v>1261</v>
      </c>
      <c r="C15007" s="121">
        <v>3</v>
      </c>
      <c r="D15007" s="734">
        <v>120.02427220087817</v>
      </c>
      <c r="E15007" s="733"/>
    </row>
    <row r="15008" spans="2:5">
      <c r="B15008" s="121">
        <v>1261</v>
      </c>
      <c r="C15008" s="121">
        <v>4</v>
      </c>
      <c r="D15008" s="734">
        <v>143.56748960487971</v>
      </c>
      <c r="E15008" s="733"/>
    </row>
    <row r="15009" spans="2:5">
      <c r="B15009" s="121">
        <v>1261</v>
      </c>
      <c r="C15009" s="121">
        <v>5</v>
      </c>
      <c r="D15009" s="734">
        <v>137.71182047018183</v>
      </c>
      <c r="E15009" s="733"/>
    </row>
    <row r="15010" spans="2:5">
      <c r="B15010" s="121">
        <v>1261</v>
      </c>
      <c r="C15010" s="121">
        <v>6</v>
      </c>
      <c r="D15010" s="734">
        <v>137.76604884520916</v>
      </c>
      <c r="E15010" s="733"/>
    </row>
    <row r="15011" spans="2:5">
      <c r="B15011" s="121">
        <v>1261</v>
      </c>
      <c r="C15011" s="121">
        <v>7</v>
      </c>
      <c r="D15011" s="734">
        <v>145.81648529500646</v>
      </c>
      <c r="E15011" s="733"/>
    </row>
    <row r="15012" spans="2:5">
      <c r="B15012" s="121">
        <v>1261</v>
      </c>
      <c r="C15012" s="121">
        <v>8</v>
      </c>
      <c r="D15012" s="734">
        <v>143.04736939479747</v>
      </c>
      <c r="E15012" s="733"/>
    </row>
    <row r="15013" spans="2:5">
      <c r="B15013" s="121">
        <v>1261</v>
      </c>
      <c r="C15013" s="121">
        <v>9</v>
      </c>
      <c r="D15013" s="734">
        <v>144.55328269402582</v>
      </c>
      <c r="E15013" s="733"/>
    </row>
    <row r="15014" spans="2:5">
      <c r="B15014" s="121">
        <v>1261</v>
      </c>
      <c r="C15014" s="121">
        <v>10</v>
      </c>
      <c r="D15014" s="734">
        <v>139.3896208044884</v>
      </c>
      <c r="E15014" s="733"/>
    </row>
    <row r="15015" spans="2:5">
      <c r="B15015" s="121">
        <v>1261</v>
      </c>
      <c r="C15015" s="121">
        <v>11</v>
      </c>
      <c r="D15015" s="734">
        <v>143.48339754246112</v>
      </c>
      <c r="E15015" s="733"/>
    </row>
    <row r="15016" spans="2:5">
      <c r="B15016" s="121">
        <v>1261</v>
      </c>
      <c r="C15016" s="121">
        <v>12</v>
      </c>
      <c r="D15016" s="734">
        <v>138.51266110438613</v>
      </c>
      <c r="E15016" s="733"/>
    </row>
    <row r="15017" spans="2:5">
      <c r="B15017" s="121">
        <v>1261</v>
      </c>
      <c r="C15017" s="121">
        <v>13</v>
      </c>
      <c r="D15017" s="734">
        <v>136.72767266896665</v>
      </c>
      <c r="E15017" s="733"/>
    </row>
    <row r="15018" spans="2:5">
      <c r="B15018" s="121">
        <v>1261</v>
      </c>
      <c r="C15018" s="121">
        <v>14</v>
      </c>
      <c r="D15018" s="734">
        <v>135.5966067194272</v>
      </c>
      <c r="E15018" s="733"/>
    </row>
    <row r="15019" spans="2:5">
      <c r="B15019" s="121">
        <v>1261</v>
      </c>
      <c r="C15019" s="121">
        <v>15</v>
      </c>
      <c r="D15019" s="734">
        <v>145.04163271986027</v>
      </c>
      <c r="E15019" s="733"/>
    </row>
    <row r="15020" spans="2:5">
      <c r="B15020" s="121">
        <v>1261</v>
      </c>
      <c r="C15020" s="121">
        <v>16</v>
      </c>
      <c r="D15020" s="734">
        <v>135.44483920071207</v>
      </c>
      <c r="E15020" s="733"/>
    </row>
    <row r="15021" spans="2:5">
      <c r="B15021" s="121">
        <v>1262</v>
      </c>
      <c r="C15021" s="121">
        <v>1</v>
      </c>
      <c r="D15021" s="734">
        <v>5</v>
      </c>
      <c r="E15021" s="733"/>
    </row>
    <row r="15022" spans="2:5">
      <c r="B15022" s="121">
        <v>1263</v>
      </c>
      <c r="C15022" s="121">
        <v>1</v>
      </c>
      <c r="D15022" s="734">
        <v>5</v>
      </c>
      <c r="E15022" s="733"/>
    </row>
    <row r="15023" spans="2:5">
      <c r="B15023" s="121">
        <v>1263</v>
      </c>
      <c r="C15023" s="121">
        <v>2</v>
      </c>
      <c r="D15023" s="734">
        <v>99.77119007518796</v>
      </c>
      <c r="E15023" s="733"/>
    </row>
    <row r="15024" spans="2:5">
      <c r="B15024" s="121">
        <v>1263</v>
      </c>
      <c r="C15024" s="121">
        <v>3</v>
      </c>
      <c r="D15024" s="734">
        <v>122.94369674320644</v>
      </c>
      <c r="E15024" s="733"/>
    </row>
    <row r="15025" spans="2:5">
      <c r="B15025" s="121">
        <v>1263</v>
      </c>
      <c r="C15025" s="121">
        <v>4</v>
      </c>
      <c r="D15025" s="734">
        <v>135.57573155285164</v>
      </c>
      <c r="E15025" s="733"/>
    </row>
    <row r="15026" spans="2:5">
      <c r="B15026" s="121">
        <v>1263</v>
      </c>
      <c r="C15026" s="121">
        <v>5</v>
      </c>
      <c r="D15026" s="734">
        <v>141.80107488686204</v>
      </c>
      <c r="E15026" s="733"/>
    </row>
    <row r="15027" spans="2:5">
      <c r="B15027" s="121">
        <v>1263</v>
      </c>
      <c r="C15027" s="121">
        <v>6</v>
      </c>
      <c r="D15027" s="734">
        <v>145.65903416085408</v>
      </c>
      <c r="E15027" s="733"/>
    </row>
    <row r="15028" spans="2:5">
      <c r="B15028" s="121">
        <v>1263</v>
      </c>
      <c r="C15028" s="121">
        <v>7</v>
      </c>
      <c r="D15028" s="734">
        <v>142.57734665454311</v>
      </c>
      <c r="E15028" s="733"/>
    </row>
    <row r="15029" spans="2:5">
      <c r="B15029" s="121">
        <v>1264</v>
      </c>
      <c r="C15029" s="121">
        <v>1</v>
      </c>
      <c r="D15029" s="734">
        <v>5</v>
      </c>
      <c r="E15029" s="733"/>
    </row>
    <row r="15030" spans="2:5">
      <c r="B15030" s="121">
        <v>1264</v>
      </c>
      <c r="C15030" s="121">
        <v>2</v>
      </c>
      <c r="D15030" s="734">
        <v>103.45642683591771</v>
      </c>
      <c r="E15030" s="733"/>
    </row>
    <row r="15031" spans="2:5">
      <c r="B15031" s="121">
        <v>1264</v>
      </c>
      <c r="C15031" s="121">
        <v>3</v>
      </c>
      <c r="D15031" s="734">
        <v>123.53394279110989</v>
      </c>
      <c r="E15031" s="733"/>
    </row>
    <row r="15032" spans="2:5">
      <c r="B15032" s="121">
        <v>1264</v>
      </c>
      <c r="C15032" s="121">
        <v>4</v>
      </c>
      <c r="D15032" s="734">
        <v>135.42090945804082</v>
      </c>
      <c r="E15032" s="733"/>
    </row>
    <row r="15033" spans="2:5">
      <c r="B15033" s="121">
        <v>1264</v>
      </c>
      <c r="C15033" s="121">
        <v>5</v>
      </c>
      <c r="D15033" s="734">
        <v>139.36479281127737</v>
      </c>
      <c r="E15033" s="733"/>
    </row>
    <row r="15034" spans="2:5">
      <c r="B15034" s="121">
        <v>1264</v>
      </c>
      <c r="C15034" s="121">
        <v>6</v>
      </c>
      <c r="D15034" s="734">
        <v>141.37694584826107</v>
      </c>
      <c r="E15034" s="733"/>
    </row>
    <row r="15035" spans="2:5">
      <c r="B15035" s="121">
        <v>1265</v>
      </c>
      <c r="C15035" s="121">
        <v>1</v>
      </c>
      <c r="D15035" s="734">
        <v>5</v>
      </c>
      <c r="E15035" s="733"/>
    </row>
    <row r="15036" spans="2:5">
      <c r="B15036" s="121">
        <v>1265</v>
      </c>
      <c r="C15036" s="121">
        <v>2</v>
      </c>
      <c r="D15036" s="734">
        <v>101.06185309048111</v>
      </c>
      <c r="E15036" s="733"/>
    </row>
    <row r="15037" spans="2:5">
      <c r="B15037" s="121">
        <v>1265</v>
      </c>
      <c r="C15037" s="121">
        <v>3</v>
      </c>
      <c r="D15037" s="734">
        <v>124.76106486550086</v>
      </c>
      <c r="E15037" s="733"/>
    </row>
    <row r="15038" spans="2:5">
      <c r="B15038" s="121">
        <v>1265</v>
      </c>
      <c r="C15038" s="121">
        <v>4</v>
      </c>
      <c r="D15038" s="734">
        <v>138.40955403884888</v>
      </c>
      <c r="E15038" s="733"/>
    </row>
    <row r="15039" spans="2:5">
      <c r="B15039" s="121">
        <v>1266</v>
      </c>
      <c r="C15039" s="121">
        <v>1</v>
      </c>
      <c r="D15039" s="734">
        <v>5</v>
      </c>
      <c r="E15039" s="733"/>
    </row>
    <row r="15040" spans="2:5">
      <c r="B15040" s="121">
        <v>1267</v>
      </c>
      <c r="C15040" s="121">
        <v>1</v>
      </c>
      <c r="D15040" s="734">
        <v>5</v>
      </c>
      <c r="E15040" s="733"/>
    </row>
    <row r="15041" spans="2:5">
      <c r="B15041" s="121">
        <v>1267</v>
      </c>
      <c r="C15041" s="121">
        <v>2</v>
      </c>
      <c r="D15041" s="734">
        <v>94.77068401606904</v>
      </c>
      <c r="E15041" s="733"/>
    </row>
    <row r="15042" spans="2:5">
      <c r="B15042" s="121">
        <v>1267</v>
      </c>
      <c r="C15042" s="121">
        <v>3</v>
      </c>
      <c r="D15042" s="734">
        <v>118.85960368948213</v>
      </c>
      <c r="E15042" s="733"/>
    </row>
    <row r="15043" spans="2:5">
      <c r="B15043" s="121">
        <v>1267</v>
      </c>
      <c r="C15043" s="121">
        <v>4</v>
      </c>
      <c r="D15043" s="734">
        <v>145.01822837312011</v>
      </c>
      <c r="E15043" s="733"/>
    </row>
    <row r="15044" spans="2:5">
      <c r="B15044" s="121">
        <v>1267</v>
      </c>
      <c r="C15044" s="121">
        <v>5</v>
      </c>
      <c r="D15044" s="734">
        <v>144.82733825874985</v>
      </c>
      <c r="E15044" s="733"/>
    </row>
    <row r="15045" spans="2:5">
      <c r="B15045" s="121">
        <v>1267</v>
      </c>
      <c r="C15045" s="121">
        <v>6</v>
      </c>
      <c r="D15045" s="734">
        <v>141.4094658558783</v>
      </c>
      <c r="E15045" s="733"/>
    </row>
    <row r="15046" spans="2:5">
      <c r="B15046" s="121">
        <v>1267</v>
      </c>
      <c r="C15046" s="121">
        <v>7</v>
      </c>
      <c r="D15046" s="734">
        <v>145.36126317913909</v>
      </c>
      <c r="E15046" s="733"/>
    </row>
    <row r="15047" spans="2:5">
      <c r="B15047" s="121">
        <v>1267</v>
      </c>
      <c r="C15047" s="121">
        <v>8</v>
      </c>
      <c r="D15047" s="734">
        <v>146.84099769385867</v>
      </c>
      <c r="E15047" s="733"/>
    </row>
    <row r="15048" spans="2:5">
      <c r="B15048" s="121">
        <v>1267</v>
      </c>
      <c r="C15048" s="121">
        <v>9</v>
      </c>
      <c r="D15048" s="734">
        <v>143.89962873833881</v>
      </c>
      <c r="E15048" s="733"/>
    </row>
    <row r="15049" spans="2:5">
      <c r="B15049" s="121">
        <v>1267</v>
      </c>
      <c r="C15049" s="121">
        <v>10</v>
      </c>
      <c r="D15049" s="734">
        <v>137.40160377629053</v>
      </c>
      <c r="E15049" s="733"/>
    </row>
    <row r="15050" spans="2:5">
      <c r="B15050" s="121">
        <v>1267</v>
      </c>
      <c r="C15050" s="121">
        <v>11</v>
      </c>
      <c r="D15050" s="734">
        <v>134.54700762242948</v>
      </c>
      <c r="E15050" s="733"/>
    </row>
    <row r="15051" spans="2:5">
      <c r="B15051" s="121">
        <v>1267</v>
      </c>
      <c r="C15051" s="121">
        <v>12</v>
      </c>
      <c r="D15051" s="734">
        <v>136.68774462954974</v>
      </c>
      <c r="E15051" s="733"/>
    </row>
    <row r="15052" spans="2:5">
      <c r="B15052" s="121">
        <v>1267</v>
      </c>
      <c r="C15052" s="121">
        <v>13</v>
      </c>
      <c r="D15052" s="734">
        <v>136.59233818492311</v>
      </c>
      <c r="E15052" s="733"/>
    </row>
    <row r="15053" spans="2:5">
      <c r="B15053" s="121">
        <v>1267</v>
      </c>
      <c r="C15053" s="121">
        <v>14</v>
      </c>
      <c r="D15053" s="734">
        <v>143.94181506690612</v>
      </c>
      <c r="E15053" s="733"/>
    </row>
    <row r="15054" spans="2:5">
      <c r="B15054" s="121">
        <v>1267</v>
      </c>
      <c r="C15054" s="121">
        <v>15</v>
      </c>
      <c r="D15054" s="734">
        <v>140.51794306242479</v>
      </c>
      <c r="E15054" s="733"/>
    </row>
    <row r="15055" spans="2:5">
      <c r="B15055" s="121">
        <v>1267</v>
      </c>
      <c r="C15055" s="121">
        <v>16</v>
      </c>
      <c r="D15055" s="734">
        <v>140.32337092055755</v>
      </c>
      <c r="E15055" s="733"/>
    </row>
    <row r="15056" spans="2:5">
      <c r="B15056" s="121">
        <v>1267</v>
      </c>
      <c r="C15056" s="121">
        <v>17</v>
      </c>
      <c r="D15056" s="734">
        <v>140.71957322817838</v>
      </c>
      <c r="E15056" s="733"/>
    </row>
    <row r="15057" spans="2:5">
      <c r="B15057" s="121">
        <v>1267</v>
      </c>
      <c r="C15057" s="121">
        <v>18</v>
      </c>
      <c r="D15057" s="734">
        <v>134.61875775249558</v>
      </c>
      <c r="E15057" s="733"/>
    </row>
    <row r="15058" spans="2:5">
      <c r="B15058" s="121">
        <v>1267</v>
      </c>
      <c r="C15058" s="121">
        <v>19</v>
      </c>
      <c r="D15058" s="734">
        <v>135.98933277095313</v>
      </c>
      <c r="E15058" s="733"/>
    </row>
    <row r="15059" spans="2:5">
      <c r="B15059" s="121">
        <v>1267</v>
      </c>
      <c r="C15059" s="121">
        <v>20</v>
      </c>
      <c r="D15059" s="734">
        <v>144.40762876308625</v>
      </c>
      <c r="E15059" s="733"/>
    </row>
    <row r="15060" spans="2:5">
      <c r="B15060" s="121">
        <v>1267</v>
      </c>
      <c r="C15060" s="121">
        <v>21</v>
      </c>
      <c r="D15060" s="734">
        <v>143.43466989301777</v>
      </c>
      <c r="E15060" s="733"/>
    </row>
    <row r="15061" spans="2:5">
      <c r="B15061" s="121">
        <v>1267</v>
      </c>
      <c r="C15061" s="121">
        <v>22</v>
      </c>
      <c r="D15061" s="734">
        <v>138.88315719250463</v>
      </c>
      <c r="E15061" s="733"/>
    </row>
    <row r="15062" spans="2:5">
      <c r="B15062" s="121">
        <v>1267</v>
      </c>
      <c r="C15062" s="121">
        <v>23</v>
      </c>
      <c r="D15062" s="734">
        <v>144.30079263521267</v>
      </c>
      <c r="E15062" s="733"/>
    </row>
    <row r="15063" spans="2:5">
      <c r="B15063" s="121">
        <v>1267</v>
      </c>
      <c r="C15063" s="121">
        <v>24</v>
      </c>
      <c r="D15063" s="734">
        <v>135.74717482678966</v>
      </c>
      <c r="E15063" s="733"/>
    </row>
    <row r="15064" spans="2:5">
      <c r="B15064" s="121">
        <v>1267</v>
      </c>
      <c r="C15064" s="121">
        <v>25</v>
      </c>
      <c r="D15064" s="734">
        <v>138.52696415808251</v>
      </c>
      <c r="E15064" s="733"/>
    </row>
    <row r="15065" spans="2:5">
      <c r="B15065" s="121">
        <v>1267</v>
      </c>
      <c r="C15065" s="121">
        <v>26</v>
      </c>
      <c r="D15065" s="734">
        <v>135.03434249888562</v>
      </c>
      <c r="E15065" s="733"/>
    </row>
    <row r="15066" spans="2:5">
      <c r="B15066" s="121">
        <v>1267</v>
      </c>
      <c r="C15066" s="121">
        <v>27</v>
      </c>
      <c r="D15066" s="734">
        <v>139.55889751473416</v>
      </c>
      <c r="E15066" s="733"/>
    </row>
    <row r="15067" spans="2:5">
      <c r="B15067" s="121">
        <v>1267</v>
      </c>
      <c r="C15067" s="121">
        <v>28</v>
      </c>
      <c r="D15067" s="734">
        <v>144.73403597670608</v>
      </c>
      <c r="E15067" s="733"/>
    </row>
    <row r="15068" spans="2:5">
      <c r="B15068" s="121">
        <v>1267</v>
      </c>
      <c r="C15068" s="121">
        <v>29</v>
      </c>
      <c r="D15068" s="734">
        <v>140.69565521819533</v>
      </c>
      <c r="E15068" s="733"/>
    </row>
    <row r="15069" spans="2:5">
      <c r="B15069" s="121">
        <v>1267</v>
      </c>
      <c r="C15069" s="121">
        <v>30</v>
      </c>
      <c r="D15069" s="734">
        <v>137.17978880810026</v>
      </c>
      <c r="E15069" s="733"/>
    </row>
    <row r="15070" spans="2:5">
      <c r="B15070" s="121">
        <v>1267</v>
      </c>
      <c r="C15070" s="121">
        <v>31</v>
      </c>
      <c r="D15070" s="734">
        <v>139.20467674304695</v>
      </c>
      <c r="E15070" s="733"/>
    </row>
    <row r="15071" spans="2:5">
      <c r="B15071" s="121">
        <v>1267</v>
      </c>
      <c r="C15071" s="121">
        <v>32</v>
      </c>
      <c r="D15071" s="734">
        <v>146.76318270726028</v>
      </c>
      <c r="E15071" s="733"/>
    </row>
    <row r="15072" spans="2:5">
      <c r="B15072" s="121">
        <v>1267</v>
      </c>
      <c r="C15072" s="121">
        <v>33</v>
      </c>
      <c r="D15072" s="734">
        <v>135.17027587756758</v>
      </c>
      <c r="E15072" s="733"/>
    </row>
    <row r="15073" spans="2:5">
      <c r="B15073" s="121">
        <v>1267</v>
      </c>
      <c r="C15073" s="121">
        <v>34</v>
      </c>
      <c r="D15073" s="734">
        <v>138.76792016628457</v>
      </c>
      <c r="E15073" s="733"/>
    </row>
    <row r="15074" spans="2:5">
      <c r="B15074" s="121">
        <v>1267</v>
      </c>
      <c r="C15074" s="121">
        <v>35</v>
      </c>
      <c r="D15074" s="734">
        <v>141.91064176134535</v>
      </c>
      <c r="E15074" s="733"/>
    </row>
    <row r="15075" spans="2:5">
      <c r="B15075" s="121">
        <v>1267</v>
      </c>
      <c r="C15075" s="121">
        <v>36</v>
      </c>
      <c r="D15075" s="734">
        <v>143.7929167310225</v>
      </c>
      <c r="E15075" s="733"/>
    </row>
    <row r="15076" spans="2:5">
      <c r="B15076" s="121">
        <v>1268</v>
      </c>
      <c r="C15076" s="121">
        <v>1</v>
      </c>
      <c r="D15076" s="734">
        <v>5</v>
      </c>
      <c r="E15076" s="733"/>
    </row>
    <row r="15077" spans="2:5">
      <c r="B15077" s="121">
        <v>1268</v>
      </c>
      <c r="C15077" s="121">
        <v>2</v>
      </c>
      <c r="D15077" s="734">
        <v>97.972596014788166</v>
      </c>
      <c r="E15077" s="733"/>
    </row>
    <row r="15078" spans="2:5">
      <c r="B15078" s="121">
        <v>1269</v>
      </c>
      <c r="C15078" s="121">
        <v>1</v>
      </c>
      <c r="D15078" s="734">
        <v>5</v>
      </c>
      <c r="E15078" s="733"/>
    </row>
    <row r="15079" spans="2:5">
      <c r="B15079" s="121">
        <v>1269</v>
      </c>
      <c r="C15079" s="121">
        <v>2</v>
      </c>
      <c r="D15079" s="734">
        <v>96.059700933841171</v>
      </c>
      <c r="E15079" s="733"/>
    </row>
    <row r="15080" spans="2:5">
      <c r="B15080" s="121">
        <v>1269</v>
      </c>
      <c r="C15080" s="121">
        <v>3</v>
      </c>
      <c r="D15080" s="734">
        <v>115.90643096515355</v>
      </c>
      <c r="E15080" s="733"/>
    </row>
    <row r="15081" spans="2:5">
      <c r="B15081" s="121">
        <v>1269</v>
      </c>
      <c r="C15081" s="121">
        <v>4</v>
      </c>
      <c r="D15081" s="734">
        <v>144.78570133692747</v>
      </c>
      <c r="E15081" s="733"/>
    </row>
    <row r="15082" spans="2:5">
      <c r="B15082" s="121">
        <v>1269</v>
      </c>
      <c r="C15082" s="121">
        <v>5</v>
      </c>
      <c r="D15082" s="734">
        <v>143.65842827695417</v>
      </c>
      <c r="E15082" s="733"/>
    </row>
    <row r="15083" spans="2:5">
      <c r="B15083" s="121">
        <v>1269</v>
      </c>
      <c r="C15083" s="121">
        <v>6</v>
      </c>
      <c r="D15083" s="734">
        <v>145.53480806179749</v>
      </c>
      <c r="E15083" s="733"/>
    </row>
    <row r="15084" spans="2:5">
      <c r="B15084" s="121">
        <v>1269</v>
      </c>
      <c r="C15084" s="121">
        <v>7</v>
      </c>
      <c r="D15084" s="734">
        <v>146.60180814556739</v>
      </c>
      <c r="E15084" s="733"/>
    </row>
    <row r="15085" spans="2:5">
      <c r="B15085" s="121">
        <v>1269</v>
      </c>
      <c r="C15085" s="121">
        <v>8</v>
      </c>
      <c r="D15085" s="734">
        <v>137.5084168009594</v>
      </c>
      <c r="E15085" s="733"/>
    </row>
    <row r="15086" spans="2:5">
      <c r="B15086" s="121">
        <v>1269</v>
      </c>
      <c r="C15086" s="121">
        <v>9</v>
      </c>
      <c r="D15086" s="734">
        <v>136.6862193273065</v>
      </c>
      <c r="E15086" s="733"/>
    </row>
    <row r="15087" spans="2:5">
      <c r="B15087" s="121">
        <v>1269</v>
      </c>
      <c r="C15087" s="121">
        <v>10</v>
      </c>
      <c r="D15087" s="734">
        <v>138.26993027842593</v>
      </c>
      <c r="E15087" s="733"/>
    </row>
    <row r="15088" spans="2:5">
      <c r="B15088" s="121">
        <v>1269</v>
      </c>
      <c r="C15088" s="121">
        <v>11</v>
      </c>
      <c r="D15088" s="734">
        <v>137.37712943715769</v>
      </c>
      <c r="E15088" s="733"/>
    </row>
    <row r="15089" spans="2:5">
      <c r="B15089" s="121">
        <v>1269</v>
      </c>
      <c r="C15089" s="121">
        <v>12</v>
      </c>
      <c r="D15089" s="734">
        <v>134.92545563209339</v>
      </c>
      <c r="E15089" s="733"/>
    </row>
    <row r="15090" spans="2:5">
      <c r="B15090" s="121">
        <v>1269</v>
      </c>
      <c r="C15090" s="121">
        <v>13</v>
      </c>
      <c r="D15090" s="734">
        <v>135.4309369781968</v>
      </c>
      <c r="E15090" s="733"/>
    </row>
    <row r="15091" spans="2:5">
      <c r="B15091" s="121">
        <v>1269</v>
      </c>
      <c r="C15091" s="121">
        <v>14</v>
      </c>
      <c r="D15091" s="734">
        <v>140.67757977480474</v>
      </c>
      <c r="E15091" s="733"/>
    </row>
    <row r="15092" spans="2:5">
      <c r="B15092" s="121">
        <v>1269</v>
      </c>
      <c r="C15092" s="121">
        <v>15</v>
      </c>
      <c r="D15092" s="734">
        <v>135.7077596456478</v>
      </c>
      <c r="E15092" s="733"/>
    </row>
    <row r="15093" spans="2:5">
      <c r="B15093" s="121">
        <v>1269</v>
      </c>
      <c r="C15093" s="121">
        <v>16</v>
      </c>
      <c r="D15093" s="734">
        <v>145.25916624208136</v>
      </c>
      <c r="E15093" s="733"/>
    </row>
    <row r="15094" spans="2:5">
      <c r="B15094" s="121">
        <v>1269</v>
      </c>
      <c r="C15094" s="121">
        <v>17</v>
      </c>
      <c r="D15094" s="734">
        <v>138.64024460366343</v>
      </c>
      <c r="E15094" s="733"/>
    </row>
    <row r="15095" spans="2:5">
      <c r="B15095" s="121">
        <v>1269</v>
      </c>
      <c r="C15095" s="121">
        <v>18</v>
      </c>
      <c r="D15095" s="734">
        <v>139.64678634604431</v>
      </c>
      <c r="E15095" s="733"/>
    </row>
    <row r="15096" spans="2:5">
      <c r="B15096" s="121">
        <v>1269</v>
      </c>
      <c r="C15096" s="121">
        <v>19</v>
      </c>
      <c r="D15096" s="734">
        <v>145.81699630923998</v>
      </c>
      <c r="E15096" s="733"/>
    </row>
    <row r="15097" spans="2:5">
      <c r="B15097" s="121">
        <v>1269</v>
      </c>
      <c r="C15097" s="121">
        <v>20</v>
      </c>
      <c r="D15097" s="734">
        <v>135.23303698234417</v>
      </c>
      <c r="E15097" s="733"/>
    </row>
    <row r="15098" spans="2:5">
      <c r="B15098" s="121">
        <v>1269</v>
      </c>
      <c r="C15098" s="121">
        <v>21</v>
      </c>
      <c r="D15098" s="734">
        <v>145.59706290528001</v>
      </c>
      <c r="E15098" s="733"/>
    </row>
    <row r="15099" spans="2:5">
      <c r="B15099" s="121">
        <v>1269</v>
      </c>
      <c r="C15099" s="121">
        <v>22</v>
      </c>
      <c r="D15099" s="734">
        <v>136.88136858584321</v>
      </c>
      <c r="E15099" s="733"/>
    </row>
    <row r="15100" spans="2:5">
      <c r="B15100" s="121">
        <v>1269</v>
      </c>
      <c r="C15100" s="121">
        <v>23</v>
      </c>
      <c r="D15100" s="734">
        <v>134.19750736260016</v>
      </c>
      <c r="E15100" s="733"/>
    </row>
    <row r="15101" spans="2:5">
      <c r="B15101" s="121">
        <v>1269</v>
      </c>
      <c r="C15101" s="121">
        <v>24</v>
      </c>
      <c r="D15101" s="734">
        <v>145.32430792426246</v>
      </c>
      <c r="E15101" s="733"/>
    </row>
    <row r="15102" spans="2:5">
      <c r="B15102" s="121">
        <v>1270</v>
      </c>
      <c r="C15102" s="121">
        <v>1</v>
      </c>
      <c r="D15102" s="734">
        <v>5</v>
      </c>
      <c r="E15102" s="733"/>
    </row>
    <row r="15103" spans="2:5">
      <c r="B15103" s="121">
        <v>1271</v>
      </c>
      <c r="C15103" s="121">
        <v>1</v>
      </c>
      <c r="D15103" s="734">
        <v>5</v>
      </c>
      <c r="E15103" s="733"/>
    </row>
    <row r="15104" spans="2:5">
      <c r="B15104" s="121">
        <v>1272</v>
      </c>
      <c r="C15104" s="121">
        <v>1</v>
      </c>
      <c r="D15104" s="734">
        <v>5</v>
      </c>
      <c r="E15104" s="733"/>
    </row>
    <row r="15105" spans="2:5">
      <c r="B15105" s="121">
        <v>1272</v>
      </c>
      <c r="C15105" s="121">
        <v>2</v>
      </c>
      <c r="D15105" s="734">
        <v>94.141943998890028</v>
      </c>
      <c r="E15105" s="733"/>
    </row>
    <row r="15106" spans="2:5">
      <c r="B15106" s="121">
        <v>1272</v>
      </c>
      <c r="C15106" s="121">
        <v>3</v>
      </c>
      <c r="D15106" s="734">
        <v>124.71302327436605</v>
      </c>
      <c r="E15106" s="733"/>
    </row>
    <row r="15107" spans="2:5">
      <c r="B15107" s="121">
        <v>1272</v>
      </c>
      <c r="C15107" s="121">
        <v>4</v>
      </c>
      <c r="D15107" s="734">
        <v>135.32828726262704</v>
      </c>
      <c r="E15107" s="733"/>
    </row>
    <row r="15108" spans="2:5">
      <c r="B15108" s="121">
        <v>1272</v>
      </c>
      <c r="C15108" s="121">
        <v>5</v>
      </c>
      <c r="D15108" s="734">
        <v>141.76887681230849</v>
      </c>
      <c r="E15108" s="733"/>
    </row>
    <row r="15109" spans="2:5">
      <c r="B15109" s="121">
        <v>1273</v>
      </c>
      <c r="C15109" s="121">
        <v>1</v>
      </c>
      <c r="D15109" s="734">
        <v>5</v>
      </c>
      <c r="E15109" s="733"/>
    </row>
    <row r="15110" spans="2:5">
      <c r="B15110" s="121">
        <v>1273</v>
      </c>
      <c r="C15110" s="121">
        <v>2</v>
      </c>
      <c r="D15110" s="734">
        <v>95.281187575774766</v>
      </c>
      <c r="E15110" s="733"/>
    </row>
    <row r="15111" spans="2:5">
      <c r="B15111" s="121">
        <v>1273</v>
      </c>
      <c r="C15111" s="121">
        <v>3</v>
      </c>
      <c r="D15111" s="734">
        <v>117.02600825447615</v>
      </c>
      <c r="E15111" s="733"/>
    </row>
    <row r="15112" spans="2:5">
      <c r="B15112" s="121">
        <v>1273</v>
      </c>
      <c r="C15112" s="121">
        <v>4</v>
      </c>
      <c r="D15112" s="734">
        <v>133.93399765515744</v>
      </c>
      <c r="E15112" s="733"/>
    </row>
    <row r="15113" spans="2:5">
      <c r="B15113" s="121">
        <v>1274</v>
      </c>
      <c r="C15113" s="121">
        <v>1</v>
      </c>
      <c r="D15113" s="734">
        <v>5</v>
      </c>
      <c r="E15113" s="733"/>
    </row>
    <row r="15114" spans="2:5">
      <c r="B15114" s="121">
        <v>1275</v>
      </c>
      <c r="C15114" s="121">
        <v>1</v>
      </c>
      <c r="D15114" s="734">
        <v>5</v>
      </c>
      <c r="E15114" s="733"/>
    </row>
    <row r="15115" spans="2:5">
      <c r="B15115" s="121">
        <v>1275</v>
      </c>
      <c r="C15115" s="121">
        <v>2</v>
      </c>
      <c r="D15115" s="734">
        <v>95.931630416787456</v>
      </c>
      <c r="E15115" s="733"/>
    </row>
    <row r="15116" spans="2:5">
      <c r="B15116" s="121">
        <v>1275</v>
      </c>
      <c r="C15116" s="121">
        <v>3</v>
      </c>
      <c r="D15116" s="734">
        <v>121.26026897682883</v>
      </c>
      <c r="E15116" s="733"/>
    </row>
    <row r="15117" spans="2:5">
      <c r="B15117" s="121">
        <v>1275</v>
      </c>
      <c r="C15117" s="121">
        <v>4</v>
      </c>
      <c r="D15117" s="734">
        <v>137.88034260521243</v>
      </c>
      <c r="E15117" s="733"/>
    </row>
    <row r="15118" spans="2:5">
      <c r="B15118" s="121">
        <v>1275</v>
      </c>
      <c r="C15118" s="121">
        <v>5</v>
      </c>
      <c r="D15118" s="734">
        <v>142.79019583377371</v>
      </c>
      <c r="E15118" s="733"/>
    </row>
    <row r="15119" spans="2:5">
      <c r="B15119" s="121">
        <v>1275</v>
      </c>
      <c r="C15119" s="121">
        <v>6</v>
      </c>
      <c r="D15119" s="734">
        <v>138.58375039435137</v>
      </c>
      <c r="E15119" s="733"/>
    </row>
    <row r="15120" spans="2:5">
      <c r="B15120" s="121">
        <v>1275</v>
      </c>
      <c r="C15120" s="121">
        <v>7</v>
      </c>
      <c r="D15120" s="734">
        <v>144.95383632191144</v>
      </c>
      <c r="E15120" s="733"/>
    </row>
    <row r="15121" spans="2:5">
      <c r="B15121" s="121">
        <v>1275</v>
      </c>
      <c r="C15121" s="121">
        <v>8</v>
      </c>
      <c r="D15121" s="734">
        <v>141.54520546769382</v>
      </c>
      <c r="E15121" s="733"/>
    </row>
    <row r="15122" spans="2:5">
      <c r="B15122" s="121">
        <v>1275</v>
      </c>
      <c r="C15122" s="121">
        <v>9</v>
      </c>
      <c r="D15122" s="734">
        <v>136.17576389214381</v>
      </c>
      <c r="E15122" s="733"/>
    </row>
    <row r="15123" spans="2:5">
      <c r="B15123" s="121">
        <v>1275</v>
      </c>
      <c r="C15123" s="121">
        <v>10</v>
      </c>
      <c r="D15123" s="734">
        <v>139.59364452768915</v>
      </c>
      <c r="E15123" s="733"/>
    </row>
    <row r="15124" spans="2:5">
      <c r="B15124" s="121">
        <v>1275</v>
      </c>
      <c r="C15124" s="121">
        <v>11</v>
      </c>
      <c r="D15124" s="734">
        <v>145.81983361567146</v>
      </c>
      <c r="E15124" s="733"/>
    </row>
    <row r="15125" spans="2:5">
      <c r="B15125" s="121">
        <v>1275</v>
      </c>
      <c r="C15125" s="121">
        <v>12</v>
      </c>
      <c r="D15125" s="734">
        <v>146.23340102223108</v>
      </c>
      <c r="E15125" s="733"/>
    </row>
    <row r="15126" spans="2:5">
      <c r="B15126" s="121">
        <v>1275</v>
      </c>
      <c r="C15126" s="121">
        <v>13</v>
      </c>
      <c r="D15126" s="734">
        <v>138.6995513527045</v>
      </c>
      <c r="E15126" s="733"/>
    </row>
    <row r="15127" spans="2:5">
      <c r="B15127" s="121">
        <v>1276</v>
      </c>
      <c r="C15127" s="121">
        <v>1</v>
      </c>
      <c r="D15127" s="734">
        <v>5</v>
      </c>
      <c r="E15127" s="733"/>
    </row>
    <row r="15128" spans="2:5">
      <c r="B15128" s="121">
        <v>1276</v>
      </c>
      <c r="C15128" s="121">
        <v>2</v>
      </c>
      <c r="D15128" s="734">
        <v>102.74788729931927</v>
      </c>
      <c r="E15128" s="733"/>
    </row>
    <row r="15129" spans="2:5">
      <c r="B15129" s="121">
        <v>1276</v>
      </c>
      <c r="C15129" s="121">
        <v>3</v>
      </c>
      <c r="D15129" s="734">
        <v>117.79986528528144</v>
      </c>
      <c r="E15129" s="733"/>
    </row>
    <row r="15130" spans="2:5">
      <c r="B15130" s="121">
        <v>1276</v>
      </c>
      <c r="C15130" s="121">
        <v>4</v>
      </c>
      <c r="D15130" s="734">
        <v>143.53668020405149</v>
      </c>
      <c r="E15130" s="733"/>
    </row>
    <row r="15131" spans="2:5">
      <c r="B15131" s="121">
        <v>1276</v>
      </c>
      <c r="C15131" s="121">
        <v>5</v>
      </c>
      <c r="D15131" s="734">
        <v>137.28024075013261</v>
      </c>
      <c r="E15131" s="733"/>
    </row>
    <row r="15132" spans="2:5">
      <c r="B15132" s="121">
        <v>1276</v>
      </c>
      <c r="C15132" s="121">
        <v>6</v>
      </c>
      <c r="D15132" s="734">
        <v>137.30243243710186</v>
      </c>
      <c r="E15132" s="733"/>
    </row>
    <row r="15133" spans="2:5">
      <c r="B15133" s="121">
        <v>1276</v>
      </c>
      <c r="C15133" s="121">
        <v>7</v>
      </c>
      <c r="D15133" s="734">
        <v>139.71714646844148</v>
      </c>
      <c r="E15133" s="733"/>
    </row>
    <row r="15134" spans="2:5">
      <c r="B15134" s="121">
        <v>1276</v>
      </c>
      <c r="C15134" s="121">
        <v>8</v>
      </c>
      <c r="D15134" s="734">
        <v>138.47756841030423</v>
      </c>
      <c r="E15134" s="733"/>
    </row>
    <row r="15135" spans="2:5">
      <c r="B15135" s="121">
        <v>1276</v>
      </c>
      <c r="C15135" s="121">
        <v>9</v>
      </c>
      <c r="D15135" s="734">
        <v>143.72493350282022</v>
      </c>
      <c r="E15135" s="733"/>
    </row>
    <row r="15136" spans="2:5">
      <c r="B15136" s="121">
        <v>1276</v>
      </c>
      <c r="C15136" s="121">
        <v>10</v>
      </c>
      <c r="D15136" s="734">
        <v>142.51421526476082</v>
      </c>
      <c r="E15136" s="733"/>
    </row>
    <row r="15137" spans="2:5">
      <c r="B15137" s="121">
        <v>1276</v>
      </c>
      <c r="C15137" s="121">
        <v>11</v>
      </c>
      <c r="D15137" s="734">
        <v>143.25314056939325</v>
      </c>
      <c r="E15137" s="733"/>
    </row>
    <row r="15138" spans="2:5">
      <c r="B15138" s="121">
        <v>1276</v>
      </c>
      <c r="C15138" s="121">
        <v>12</v>
      </c>
      <c r="D15138" s="734">
        <v>140.33986401825564</v>
      </c>
      <c r="E15138" s="733"/>
    </row>
    <row r="15139" spans="2:5">
      <c r="B15139" s="121">
        <v>1276</v>
      </c>
      <c r="C15139" s="121">
        <v>13</v>
      </c>
      <c r="D15139" s="734">
        <v>139.82691920227057</v>
      </c>
      <c r="E15139" s="733"/>
    </row>
    <row r="15140" spans="2:5">
      <c r="B15140" s="121">
        <v>1276</v>
      </c>
      <c r="C15140" s="121">
        <v>14</v>
      </c>
      <c r="D15140" s="734">
        <v>139.96430377652624</v>
      </c>
      <c r="E15140" s="733"/>
    </row>
    <row r="15141" spans="2:5">
      <c r="B15141" s="121">
        <v>1276</v>
      </c>
      <c r="C15141" s="121">
        <v>15</v>
      </c>
      <c r="D15141" s="734">
        <v>134.95279623338465</v>
      </c>
      <c r="E15141" s="733"/>
    </row>
    <row r="15142" spans="2:5">
      <c r="B15142" s="121">
        <v>1277</v>
      </c>
      <c r="C15142" s="121">
        <v>1</v>
      </c>
      <c r="D15142" s="734">
        <v>5</v>
      </c>
      <c r="E15142" s="733"/>
    </row>
    <row r="15143" spans="2:5">
      <c r="B15143" s="121">
        <v>1277</v>
      </c>
      <c r="C15143" s="121">
        <v>2</v>
      </c>
      <c r="D15143" s="734">
        <v>100.77729731039331</v>
      </c>
      <c r="E15143" s="733"/>
    </row>
    <row r="15144" spans="2:5">
      <c r="B15144" s="121">
        <v>1277</v>
      </c>
      <c r="C15144" s="121">
        <v>3</v>
      </c>
      <c r="D15144" s="734">
        <v>125.28540393344657</v>
      </c>
      <c r="E15144" s="733"/>
    </row>
    <row r="15145" spans="2:5">
      <c r="B15145" s="121">
        <v>1277</v>
      </c>
      <c r="C15145" s="121">
        <v>4</v>
      </c>
      <c r="D15145" s="734">
        <v>143.47949136000125</v>
      </c>
      <c r="E15145" s="733"/>
    </row>
    <row r="15146" spans="2:5">
      <c r="B15146" s="121">
        <v>1277</v>
      </c>
      <c r="C15146" s="121">
        <v>5</v>
      </c>
      <c r="D15146" s="734">
        <v>144.43655608626852</v>
      </c>
      <c r="E15146" s="733"/>
    </row>
    <row r="15147" spans="2:5">
      <c r="B15147" s="121">
        <v>1277</v>
      </c>
      <c r="C15147" s="121">
        <v>6</v>
      </c>
      <c r="D15147" s="734">
        <v>141.71566090552423</v>
      </c>
      <c r="E15147" s="733"/>
    </row>
    <row r="15148" spans="2:5">
      <c r="B15148" s="121">
        <v>1278</v>
      </c>
      <c r="C15148" s="121">
        <v>1</v>
      </c>
      <c r="D15148" s="734">
        <v>5</v>
      </c>
      <c r="E15148" s="733"/>
    </row>
    <row r="15149" spans="2:5">
      <c r="B15149" s="121">
        <v>1279</v>
      </c>
      <c r="C15149" s="121">
        <v>1</v>
      </c>
      <c r="D15149" s="734">
        <v>5</v>
      </c>
      <c r="E15149" s="733"/>
    </row>
    <row r="15150" spans="2:5">
      <c r="B15150" s="121">
        <v>1279</v>
      </c>
      <c r="C15150" s="121">
        <v>2</v>
      </c>
      <c r="D15150" s="734">
        <v>98.120955264233231</v>
      </c>
      <c r="E15150" s="733"/>
    </row>
    <row r="15151" spans="2:5">
      <c r="B15151" s="121">
        <v>1279</v>
      </c>
      <c r="C15151" s="121">
        <v>3</v>
      </c>
      <c r="D15151" s="734">
        <v>120.07672792740793</v>
      </c>
      <c r="E15151" s="733"/>
    </row>
    <row r="15152" spans="2:5">
      <c r="B15152" s="121">
        <v>1279</v>
      </c>
      <c r="C15152" s="121">
        <v>4</v>
      </c>
      <c r="D15152" s="734">
        <v>145.64567192294948</v>
      </c>
      <c r="E15152" s="733"/>
    </row>
    <row r="15153" spans="2:5">
      <c r="B15153" s="121">
        <v>1279</v>
      </c>
      <c r="C15153" s="121">
        <v>5</v>
      </c>
      <c r="D15153" s="734">
        <v>139.07210242589397</v>
      </c>
      <c r="E15153" s="733"/>
    </row>
    <row r="15154" spans="2:5">
      <c r="B15154" s="121">
        <v>1279</v>
      </c>
      <c r="C15154" s="121">
        <v>6</v>
      </c>
      <c r="D15154" s="734">
        <v>134.75244104888409</v>
      </c>
      <c r="E15154" s="733"/>
    </row>
    <row r="15155" spans="2:5">
      <c r="B15155" s="121">
        <v>1279</v>
      </c>
      <c r="C15155" s="121">
        <v>7</v>
      </c>
      <c r="D15155" s="734">
        <v>144.99455802740135</v>
      </c>
      <c r="E15155" s="733"/>
    </row>
    <row r="15156" spans="2:5">
      <c r="B15156" s="121">
        <v>1279</v>
      </c>
      <c r="C15156" s="121">
        <v>8</v>
      </c>
      <c r="D15156" s="734">
        <v>135.73252261600163</v>
      </c>
      <c r="E15156" s="733"/>
    </row>
    <row r="15157" spans="2:5">
      <c r="B15157" s="121">
        <v>1279</v>
      </c>
      <c r="C15157" s="121">
        <v>9</v>
      </c>
      <c r="D15157" s="734">
        <v>141.85795927556481</v>
      </c>
      <c r="E15157" s="733"/>
    </row>
    <row r="15158" spans="2:5">
      <c r="B15158" s="121">
        <v>1279</v>
      </c>
      <c r="C15158" s="121">
        <v>10</v>
      </c>
      <c r="D15158" s="734">
        <v>134.0496810328377</v>
      </c>
      <c r="E15158" s="733"/>
    </row>
    <row r="15159" spans="2:5">
      <c r="B15159" s="121">
        <v>1279</v>
      </c>
      <c r="C15159" s="121">
        <v>11</v>
      </c>
      <c r="D15159" s="734">
        <v>134.73000089912699</v>
      </c>
      <c r="E15159" s="733"/>
    </row>
    <row r="15160" spans="2:5">
      <c r="B15160" s="121">
        <v>1279</v>
      </c>
      <c r="C15160" s="121">
        <v>12</v>
      </c>
      <c r="D15160" s="734">
        <v>137.82488928255177</v>
      </c>
      <c r="E15160" s="733"/>
    </row>
    <row r="15161" spans="2:5">
      <c r="B15161" s="121">
        <v>1279</v>
      </c>
      <c r="C15161" s="121">
        <v>13</v>
      </c>
      <c r="D15161" s="734">
        <v>137.59762947560705</v>
      </c>
      <c r="E15161" s="733"/>
    </row>
    <row r="15162" spans="2:5">
      <c r="B15162" s="121">
        <v>1280</v>
      </c>
      <c r="C15162" s="121">
        <v>1</v>
      </c>
      <c r="D15162" s="734">
        <v>5</v>
      </c>
      <c r="E15162" s="733"/>
    </row>
    <row r="15163" spans="2:5">
      <c r="B15163" s="121">
        <v>1280</v>
      </c>
      <c r="C15163" s="121">
        <v>2</v>
      </c>
      <c r="D15163" s="734">
        <v>98.351496547324075</v>
      </c>
      <c r="E15163" s="733"/>
    </row>
    <row r="15164" spans="2:5">
      <c r="B15164" s="121">
        <v>1280</v>
      </c>
      <c r="C15164" s="121">
        <v>3</v>
      </c>
      <c r="D15164" s="734">
        <v>117.49202289984655</v>
      </c>
      <c r="E15164" s="733"/>
    </row>
    <row r="15165" spans="2:5">
      <c r="B15165" s="121">
        <v>1280</v>
      </c>
      <c r="C15165" s="121">
        <v>4</v>
      </c>
      <c r="D15165" s="734">
        <v>139.90446478813621</v>
      </c>
      <c r="E15165" s="733"/>
    </row>
    <row r="15166" spans="2:5">
      <c r="B15166" s="121">
        <v>1281</v>
      </c>
      <c r="C15166" s="121">
        <v>1</v>
      </c>
      <c r="D15166" s="734">
        <v>5</v>
      </c>
      <c r="E15166" s="733"/>
    </row>
    <row r="15167" spans="2:5">
      <c r="B15167" s="121">
        <v>1281</v>
      </c>
      <c r="C15167" s="121">
        <v>2</v>
      </c>
      <c r="D15167" s="734">
        <v>102.7083760028044</v>
      </c>
      <c r="E15167" s="733"/>
    </row>
    <row r="15168" spans="2:5">
      <c r="B15168" s="121">
        <v>1281</v>
      </c>
      <c r="C15168" s="121">
        <v>3</v>
      </c>
      <c r="D15168" s="734">
        <v>114.21808111756388</v>
      </c>
      <c r="E15168" s="733"/>
    </row>
    <row r="15169" spans="2:5">
      <c r="B15169" s="121">
        <v>1282</v>
      </c>
      <c r="C15169" s="121">
        <v>1</v>
      </c>
      <c r="D15169" s="734">
        <v>5</v>
      </c>
      <c r="E15169" s="733"/>
    </row>
    <row r="15170" spans="2:5">
      <c r="B15170" s="121">
        <v>1282</v>
      </c>
      <c r="C15170" s="121">
        <v>2</v>
      </c>
      <c r="D15170" s="734">
        <v>101.99083198613428</v>
      </c>
      <c r="E15170" s="733"/>
    </row>
    <row r="15171" spans="2:5">
      <c r="B15171" s="121">
        <v>1282</v>
      </c>
      <c r="C15171" s="121">
        <v>3</v>
      </c>
      <c r="D15171" s="734">
        <v>121.67325499552993</v>
      </c>
      <c r="E15171" s="733"/>
    </row>
    <row r="15172" spans="2:5">
      <c r="B15172" s="121">
        <v>1282</v>
      </c>
      <c r="C15172" s="121">
        <v>4</v>
      </c>
      <c r="D15172" s="734">
        <v>144.7147816700614</v>
      </c>
      <c r="E15172" s="733"/>
    </row>
    <row r="15173" spans="2:5">
      <c r="B15173" s="121">
        <v>1282</v>
      </c>
      <c r="C15173" s="121">
        <v>5</v>
      </c>
      <c r="D15173" s="734">
        <v>142.46179277195674</v>
      </c>
      <c r="E15173" s="733"/>
    </row>
    <row r="15174" spans="2:5">
      <c r="B15174" s="121">
        <v>1282</v>
      </c>
      <c r="C15174" s="121">
        <v>6</v>
      </c>
      <c r="D15174" s="734">
        <v>135.24866099675944</v>
      </c>
      <c r="E15174" s="733"/>
    </row>
    <row r="15175" spans="2:5">
      <c r="B15175" s="121">
        <v>1282</v>
      </c>
      <c r="C15175" s="121">
        <v>7</v>
      </c>
      <c r="D15175" s="734">
        <v>141.35039796779472</v>
      </c>
      <c r="E15175" s="733"/>
    </row>
    <row r="15176" spans="2:5">
      <c r="B15176" s="121">
        <v>1282</v>
      </c>
      <c r="C15176" s="121">
        <v>8</v>
      </c>
      <c r="D15176" s="734">
        <v>144.89456675031718</v>
      </c>
      <c r="E15176" s="733"/>
    </row>
    <row r="15177" spans="2:5">
      <c r="B15177" s="121">
        <v>1282</v>
      </c>
      <c r="C15177" s="121">
        <v>9</v>
      </c>
      <c r="D15177" s="734">
        <v>135.95897298417344</v>
      </c>
      <c r="E15177" s="733"/>
    </row>
    <row r="15178" spans="2:5">
      <c r="B15178" s="121">
        <v>1282</v>
      </c>
      <c r="C15178" s="121">
        <v>10</v>
      </c>
      <c r="D15178" s="734">
        <v>140.72160926187865</v>
      </c>
      <c r="E15178" s="733"/>
    </row>
    <row r="15179" spans="2:5">
      <c r="B15179" s="121">
        <v>1283</v>
      </c>
      <c r="C15179" s="121">
        <v>1</v>
      </c>
      <c r="D15179" s="734">
        <v>5</v>
      </c>
      <c r="E15179" s="733"/>
    </row>
    <row r="15180" spans="2:5">
      <c r="B15180" s="121">
        <v>1283</v>
      </c>
      <c r="C15180" s="121">
        <v>2</v>
      </c>
      <c r="D15180" s="734">
        <v>103.32107165052243</v>
      </c>
      <c r="E15180" s="733"/>
    </row>
    <row r="15181" spans="2:5">
      <c r="B15181" s="121">
        <v>1283</v>
      </c>
      <c r="C15181" s="121">
        <v>3</v>
      </c>
      <c r="D15181" s="734">
        <v>120.73246517571702</v>
      </c>
      <c r="E15181" s="733"/>
    </row>
    <row r="15182" spans="2:5">
      <c r="B15182" s="121">
        <v>1284</v>
      </c>
      <c r="C15182" s="121">
        <v>1</v>
      </c>
      <c r="D15182" s="734">
        <v>5</v>
      </c>
      <c r="E15182" s="733"/>
    </row>
    <row r="15183" spans="2:5">
      <c r="B15183" s="121">
        <v>1284</v>
      </c>
      <c r="C15183" s="121">
        <v>2</v>
      </c>
      <c r="D15183" s="734">
        <v>97.100167573240014</v>
      </c>
      <c r="E15183" s="733"/>
    </row>
    <row r="15184" spans="2:5">
      <c r="B15184" s="121">
        <v>1284</v>
      </c>
      <c r="C15184" s="121">
        <v>3</v>
      </c>
      <c r="D15184" s="734">
        <v>122.93751165883293</v>
      </c>
      <c r="E15184" s="733"/>
    </row>
    <row r="15185" spans="2:5">
      <c r="B15185" s="121">
        <v>1284</v>
      </c>
      <c r="C15185" s="121">
        <v>4</v>
      </c>
      <c r="D15185" s="734">
        <v>146.75244313850504</v>
      </c>
      <c r="E15185" s="733"/>
    </row>
    <row r="15186" spans="2:5">
      <c r="B15186" s="121">
        <v>1284</v>
      </c>
      <c r="C15186" s="121">
        <v>5</v>
      </c>
      <c r="D15186" s="734">
        <v>141.802660832084</v>
      </c>
      <c r="E15186" s="733"/>
    </row>
    <row r="15187" spans="2:5">
      <c r="B15187" s="121">
        <v>1284</v>
      </c>
      <c r="C15187" s="121">
        <v>6</v>
      </c>
      <c r="D15187" s="734">
        <v>145.91406021325301</v>
      </c>
      <c r="E15187" s="733"/>
    </row>
    <row r="15188" spans="2:5">
      <c r="B15188" s="121">
        <v>1284</v>
      </c>
      <c r="C15188" s="121">
        <v>7</v>
      </c>
      <c r="D15188" s="734">
        <v>134.75286358133766</v>
      </c>
      <c r="E15188" s="733"/>
    </row>
    <row r="15189" spans="2:5">
      <c r="B15189" s="121">
        <v>1284</v>
      </c>
      <c r="C15189" s="121">
        <v>8</v>
      </c>
      <c r="D15189" s="734">
        <v>140.66254906949158</v>
      </c>
      <c r="E15189" s="733"/>
    </row>
    <row r="15190" spans="2:5">
      <c r="B15190" s="121">
        <v>1284</v>
      </c>
      <c r="C15190" s="121">
        <v>9</v>
      </c>
      <c r="D15190" s="734">
        <v>146.7172133346879</v>
      </c>
      <c r="E15190" s="733"/>
    </row>
    <row r="15191" spans="2:5">
      <c r="B15191" s="121">
        <v>1284</v>
      </c>
      <c r="C15191" s="121">
        <v>10</v>
      </c>
      <c r="D15191" s="734">
        <v>137.45809978449816</v>
      </c>
      <c r="E15191" s="733"/>
    </row>
    <row r="15192" spans="2:5">
      <c r="B15192" s="121">
        <v>1284</v>
      </c>
      <c r="C15192" s="121">
        <v>11</v>
      </c>
      <c r="D15192" s="734">
        <v>143.46434494559034</v>
      </c>
      <c r="E15192" s="733"/>
    </row>
    <row r="15193" spans="2:5">
      <c r="B15193" s="121">
        <v>1284</v>
      </c>
      <c r="C15193" s="121">
        <v>12</v>
      </c>
      <c r="D15193" s="734">
        <v>145.9434170252529</v>
      </c>
      <c r="E15193" s="733"/>
    </row>
    <row r="15194" spans="2:5">
      <c r="B15194" s="121">
        <v>1285</v>
      </c>
      <c r="C15194" s="121">
        <v>1</v>
      </c>
      <c r="D15194" s="734">
        <v>5</v>
      </c>
      <c r="E15194" s="733"/>
    </row>
    <row r="15195" spans="2:5">
      <c r="B15195" s="121">
        <v>1286</v>
      </c>
      <c r="C15195" s="121">
        <v>1</v>
      </c>
      <c r="D15195" s="734">
        <v>5</v>
      </c>
      <c r="E15195" s="733"/>
    </row>
    <row r="15196" spans="2:5">
      <c r="B15196" s="121">
        <v>1286</v>
      </c>
      <c r="C15196" s="121">
        <v>2</v>
      </c>
      <c r="D15196" s="734">
        <v>102.10764997861436</v>
      </c>
      <c r="E15196" s="733"/>
    </row>
    <row r="15197" spans="2:5">
      <c r="B15197" s="121">
        <v>1287</v>
      </c>
      <c r="C15197" s="121">
        <v>1</v>
      </c>
      <c r="D15197" s="734">
        <v>5</v>
      </c>
      <c r="E15197" s="733"/>
    </row>
    <row r="15198" spans="2:5">
      <c r="B15198" s="121">
        <v>1287</v>
      </c>
      <c r="C15198" s="121">
        <v>2</v>
      </c>
      <c r="D15198" s="734">
        <v>95.126134889213816</v>
      </c>
      <c r="E15198" s="733"/>
    </row>
    <row r="15199" spans="2:5">
      <c r="B15199" s="121">
        <v>1287</v>
      </c>
      <c r="C15199" s="121">
        <v>3</v>
      </c>
      <c r="D15199" s="734">
        <v>119.45527832666707</v>
      </c>
      <c r="E15199" s="733"/>
    </row>
    <row r="15200" spans="2:5">
      <c r="B15200" s="121">
        <v>1287</v>
      </c>
      <c r="C15200" s="121">
        <v>4</v>
      </c>
      <c r="D15200" s="734">
        <v>139.73380827112743</v>
      </c>
      <c r="E15200" s="733"/>
    </row>
    <row r="15201" spans="2:5">
      <c r="B15201" s="121">
        <v>1288</v>
      </c>
      <c r="C15201" s="121">
        <v>1</v>
      </c>
      <c r="D15201" s="734">
        <v>5</v>
      </c>
      <c r="E15201" s="733"/>
    </row>
    <row r="15202" spans="2:5">
      <c r="B15202" s="121">
        <v>1288</v>
      </c>
      <c r="C15202" s="121">
        <v>2</v>
      </c>
      <c r="D15202" s="734">
        <v>96.594909183644745</v>
      </c>
      <c r="E15202" s="733"/>
    </row>
    <row r="15203" spans="2:5">
      <c r="B15203" s="121">
        <v>1288</v>
      </c>
      <c r="C15203" s="121">
        <v>3</v>
      </c>
      <c r="D15203" s="734">
        <v>121.48575952958861</v>
      </c>
      <c r="E15203" s="733"/>
    </row>
    <row r="15204" spans="2:5">
      <c r="B15204" s="121">
        <v>1288</v>
      </c>
      <c r="C15204" s="121">
        <v>4</v>
      </c>
      <c r="D15204" s="734">
        <v>141.76386510704972</v>
      </c>
      <c r="E15204" s="733"/>
    </row>
    <row r="15205" spans="2:5">
      <c r="B15205" s="121">
        <v>1288</v>
      </c>
      <c r="C15205" s="121">
        <v>5</v>
      </c>
      <c r="D15205" s="734">
        <v>136.24810300292827</v>
      </c>
      <c r="E15205" s="733"/>
    </row>
    <row r="15206" spans="2:5">
      <c r="B15206" s="121">
        <v>1288</v>
      </c>
      <c r="C15206" s="121">
        <v>6</v>
      </c>
      <c r="D15206" s="734">
        <v>135.03752753203159</v>
      </c>
      <c r="E15206" s="733"/>
    </row>
    <row r="15207" spans="2:5">
      <c r="B15207" s="121">
        <v>1288</v>
      </c>
      <c r="C15207" s="121">
        <v>7</v>
      </c>
      <c r="D15207" s="734">
        <v>139.61460261290659</v>
      </c>
      <c r="E15207" s="733"/>
    </row>
    <row r="15208" spans="2:5">
      <c r="B15208" s="121">
        <v>1288</v>
      </c>
      <c r="C15208" s="121">
        <v>8</v>
      </c>
      <c r="D15208" s="734">
        <v>146.6910727380538</v>
      </c>
      <c r="E15208" s="733"/>
    </row>
    <row r="15209" spans="2:5">
      <c r="B15209" s="121">
        <v>1288</v>
      </c>
      <c r="C15209" s="121">
        <v>9</v>
      </c>
      <c r="D15209" s="734">
        <v>146.58000026035612</v>
      </c>
      <c r="E15209" s="733"/>
    </row>
    <row r="15210" spans="2:5">
      <c r="B15210" s="121">
        <v>1288</v>
      </c>
      <c r="C15210" s="121">
        <v>10</v>
      </c>
      <c r="D15210" s="734">
        <v>138.41308763280375</v>
      </c>
      <c r="E15210" s="733"/>
    </row>
    <row r="15211" spans="2:5">
      <c r="B15211" s="121">
        <v>1288</v>
      </c>
      <c r="C15211" s="121">
        <v>11</v>
      </c>
      <c r="D15211" s="734">
        <v>143.51412617410193</v>
      </c>
      <c r="E15211" s="733"/>
    </row>
    <row r="15212" spans="2:5">
      <c r="B15212" s="121">
        <v>1288</v>
      </c>
      <c r="C15212" s="121">
        <v>12</v>
      </c>
      <c r="D15212" s="734">
        <v>137.19752930118378</v>
      </c>
      <c r="E15212" s="733"/>
    </row>
    <row r="15213" spans="2:5">
      <c r="B15213" s="121">
        <v>1288</v>
      </c>
      <c r="C15213" s="121">
        <v>13</v>
      </c>
      <c r="D15213" s="734">
        <v>141.2162197105437</v>
      </c>
      <c r="E15213" s="733"/>
    </row>
    <row r="15214" spans="2:5">
      <c r="B15214" s="121">
        <v>1288</v>
      </c>
      <c r="C15214" s="121">
        <v>14</v>
      </c>
      <c r="D15214" s="734">
        <v>144.67650870332486</v>
      </c>
      <c r="E15214" s="733"/>
    </row>
    <row r="15215" spans="2:5">
      <c r="B15215" s="121">
        <v>1288</v>
      </c>
      <c r="C15215" s="121">
        <v>15</v>
      </c>
      <c r="D15215" s="734">
        <v>135.865384105668</v>
      </c>
      <c r="E15215" s="733"/>
    </row>
    <row r="15216" spans="2:5">
      <c r="B15216" s="121">
        <v>1288</v>
      </c>
      <c r="C15216" s="121">
        <v>16</v>
      </c>
      <c r="D15216" s="734">
        <v>135.67737900343496</v>
      </c>
      <c r="E15216" s="733"/>
    </row>
    <row r="15217" spans="2:5">
      <c r="B15217" s="121">
        <v>1289</v>
      </c>
      <c r="C15217" s="121">
        <v>1</v>
      </c>
      <c r="D15217" s="734">
        <v>5</v>
      </c>
      <c r="E15217" s="733"/>
    </row>
    <row r="15218" spans="2:5">
      <c r="B15218" s="121">
        <v>1289</v>
      </c>
      <c r="C15218" s="121">
        <v>2</v>
      </c>
      <c r="D15218" s="734">
        <v>98.730314935652913</v>
      </c>
      <c r="E15218" s="733"/>
    </row>
    <row r="15219" spans="2:5">
      <c r="B15219" s="121">
        <v>1289</v>
      </c>
      <c r="C15219" s="121">
        <v>3</v>
      </c>
      <c r="D15219" s="734">
        <v>122.94688224741701</v>
      </c>
      <c r="E15219" s="733"/>
    </row>
    <row r="15220" spans="2:5">
      <c r="B15220" s="121">
        <v>1289</v>
      </c>
      <c r="C15220" s="121">
        <v>4</v>
      </c>
      <c r="D15220" s="734">
        <v>137.64981043720741</v>
      </c>
      <c r="E15220" s="733"/>
    </row>
    <row r="15221" spans="2:5">
      <c r="B15221" s="121">
        <v>1289</v>
      </c>
      <c r="C15221" s="121">
        <v>5</v>
      </c>
      <c r="D15221" s="734">
        <v>141.58469827327366</v>
      </c>
      <c r="E15221" s="733"/>
    </row>
    <row r="15222" spans="2:5">
      <c r="B15222" s="121">
        <v>1289</v>
      </c>
      <c r="C15222" s="121">
        <v>6</v>
      </c>
      <c r="D15222" s="734">
        <v>134.79271785922978</v>
      </c>
      <c r="E15222" s="733"/>
    </row>
    <row r="15223" spans="2:5">
      <c r="B15223" s="121">
        <v>1289</v>
      </c>
      <c r="C15223" s="121">
        <v>7</v>
      </c>
      <c r="D15223" s="734">
        <v>138.06988543645681</v>
      </c>
      <c r="E15223" s="733"/>
    </row>
    <row r="15224" spans="2:5">
      <c r="B15224" s="121">
        <v>1289</v>
      </c>
      <c r="C15224" s="121">
        <v>8</v>
      </c>
      <c r="D15224" s="734">
        <v>136.00333384562711</v>
      </c>
      <c r="E15224" s="733"/>
    </row>
    <row r="15225" spans="2:5">
      <c r="B15225" s="121">
        <v>1289</v>
      </c>
      <c r="C15225" s="121">
        <v>9</v>
      </c>
      <c r="D15225" s="734">
        <v>134.88657604665391</v>
      </c>
      <c r="E15225" s="733"/>
    </row>
    <row r="15226" spans="2:5">
      <c r="B15226" s="121">
        <v>1289</v>
      </c>
      <c r="C15226" s="121">
        <v>10</v>
      </c>
      <c r="D15226" s="734">
        <v>138.20576513234278</v>
      </c>
      <c r="E15226" s="733"/>
    </row>
    <row r="15227" spans="2:5">
      <c r="B15227" s="121">
        <v>1289</v>
      </c>
      <c r="C15227" s="121">
        <v>11</v>
      </c>
      <c r="D15227" s="734">
        <v>135.16623623514309</v>
      </c>
      <c r="E15227" s="733"/>
    </row>
    <row r="15228" spans="2:5">
      <c r="B15228" s="121">
        <v>1289</v>
      </c>
      <c r="C15228" s="121">
        <v>12</v>
      </c>
      <c r="D15228" s="734">
        <v>139.34200936120965</v>
      </c>
      <c r="E15228" s="733"/>
    </row>
    <row r="15229" spans="2:5">
      <c r="B15229" s="121">
        <v>1289</v>
      </c>
      <c r="C15229" s="121">
        <v>13</v>
      </c>
      <c r="D15229" s="734">
        <v>139.95301618371363</v>
      </c>
      <c r="E15229" s="733"/>
    </row>
    <row r="15230" spans="2:5">
      <c r="B15230" s="121">
        <v>1289</v>
      </c>
      <c r="C15230" s="121">
        <v>14</v>
      </c>
      <c r="D15230" s="734">
        <v>143.62099373640828</v>
      </c>
      <c r="E15230" s="733"/>
    </row>
    <row r="15231" spans="2:5">
      <c r="B15231" s="121">
        <v>1289</v>
      </c>
      <c r="C15231" s="121">
        <v>15</v>
      </c>
      <c r="D15231" s="734">
        <v>141.76227411232441</v>
      </c>
      <c r="E15231" s="733"/>
    </row>
    <row r="15232" spans="2:5">
      <c r="B15232" s="121">
        <v>1289</v>
      </c>
      <c r="C15232" s="121">
        <v>16</v>
      </c>
      <c r="D15232" s="734">
        <v>144.25160875480768</v>
      </c>
      <c r="E15232" s="733"/>
    </row>
    <row r="15233" spans="2:5">
      <c r="B15233" s="121">
        <v>1289</v>
      </c>
      <c r="C15233" s="121">
        <v>17</v>
      </c>
      <c r="D15233" s="734">
        <v>140.68954495788498</v>
      </c>
      <c r="E15233" s="733"/>
    </row>
    <row r="15234" spans="2:5">
      <c r="B15234" s="121">
        <v>1289</v>
      </c>
      <c r="C15234" s="121">
        <v>18</v>
      </c>
      <c r="D15234" s="734">
        <v>136.62016167976944</v>
      </c>
      <c r="E15234" s="733"/>
    </row>
    <row r="15235" spans="2:5">
      <c r="B15235" s="121">
        <v>1289</v>
      </c>
      <c r="C15235" s="121">
        <v>19</v>
      </c>
      <c r="D15235" s="734">
        <v>145.7387111384389</v>
      </c>
      <c r="E15235" s="733"/>
    </row>
    <row r="15236" spans="2:5">
      <c r="B15236" s="121">
        <v>1289</v>
      </c>
      <c r="C15236" s="121">
        <v>20</v>
      </c>
      <c r="D15236" s="734">
        <v>136.91594120895229</v>
      </c>
      <c r="E15236" s="733"/>
    </row>
    <row r="15237" spans="2:5">
      <c r="B15237" s="121">
        <v>1289</v>
      </c>
      <c r="C15237" s="121">
        <v>21</v>
      </c>
      <c r="D15237" s="734">
        <v>140.46066857132067</v>
      </c>
      <c r="E15237" s="733"/>
    </row>
    <row r="15238" spans="2:5">
      <c r="B15238" s="121">
        <v>1289</v>
      </c>
      <c r="C15238" s="121">
        <v>22</v>
      </c>
      <c r="D15238" s="734">
        <v>142.97050075981448</v>
      </c>
      <c r="E15238" s="733"/>
    </row>
    <row r="15239" spans="2:5">
      <c r="B15239" s="121">
        <v>1289</v>
      </c>
      <c r="C15239" s="121">
        <v>23</v>
      </c>
      <c r="D15239" s="734">
        <v>141.24368370236289</v>
      </c>
      <c r="E15239" s="733"/>
    </row>
    <row r="15240" spans="2:5">
      <c r="B15240" s="121">
        <v>1289</v>
      </c>
      <c r="C15240" s="121">
        <v>24</v>
      </c>
      <c r="D15240" s="734">
        <v>138.85724808948842</v>
      </c>
      <c r="E15240" s="733"/>
    </row>
    <row r="15241" spans="2:5">
      <c r="B15241" s="121">
        <v>1289</v>
      </c>
      <c r="C15241" s="121">
        <v>25</v>
      </c>
      <c r="D15241" s="734">
        <v>143.09808899118468</v>
      </c>
      <c r="E15241" s="733"/>
    </row>
    <row r="15242" spans="2:5">
      <c r="B15242" s="121">
        <v>1290</v>
      </c>
      <c r="C15242" s="121">
        <v>1</v>
      </c>
      <c r="D15242" s="734">
        <v>5</v>
      </c>
      <c r="E15242" s="733"/>
    </row>
    <row r="15243" spans="2:5">
      <c r="B15243" s="121">
        <v>1290</v>
      </c>
      <c r="C15243" s="121">
        <v>2</v>
      </c>
      <c r="D15243" s="734">
        <v>100.25426921413391</v>
      </c>
      <c r="E15243" s="733"/>
    </row>
    <row r="15244" spans="2:5">
      <c r="B15244" s="121">
        <v>1291</v>
      </c>
      <c r="C15244" s="121">
        <v>1</v>
      </c>
      <c r="D15244" s="734">
        <v>5</v>
      </c>
      <c r="E15244" s="733"/>
    </row>
    <row r="15245" spans="2:5">
      <c r="B15245" s="121">
        <v>1291</v>
      </c>
      <c r="C15245" s="121">
        <v>2</v>
      </c>
      <c r="D15245" s="734">
        <v>94.79373788447549</v>
      </c>
      <c r="E15245" s="733"/>
    </row>
    <row r="15246" spans="2:5">
      <c r="B15246" s="121">
        <v>1291</v>
      </c>
      <c r="C15246" s="121">
        <v>3</v>
      </c>
      <c r="D15246" s="734">
        <v>120.16639991600303</v>
      </c>
      <c r="E15246" s="733"/>
    </row>
    <row r="15247" spans="2:5">
      <c r="B15247" s="121">
        <v>1291</v>
      </c>
      <c r="C15247" s="121">
        <v>4</v>
      </c>
      <c r="D15247" s="734">
        <v>137.0242536117369</v>
      </c>
      <c r="E15247" s="733"/>
    </row>
    <row r="15248" spans="2:5">
      <c r="B15248" s="121">
        <v>1291</v>
      </c>
      <c r="C15248" s="121">
        <v>5</v>
      </c>
      <c r="D15248" s="734">
        <v>140.42895228147671</v>
      </c>
      <c r="E15248" s="733"/>
    </row>
    <row r="15249" spans="2:5">
      <c r="B15249" s="121">
        <v>1291</v>
      </c>
      <c r="C15249" s="121">
        <v>6</v>
      </c>
      <c r="D15249" s="734">
        <v>139.48375011716763</v>
      </c>
      <c r="E15249" s="733"/>
    </row>
    <row r="15250" spans="2:5">
      <c r="B15250" s="121">
        <v>1291</v>
      </c>
      <c r="C15250" s="121">
        <v>7</v>
      </c>
      <c r="D15250" s="734">
        <v>141.94996630238117</v>
      </c>
      <c r="E15250" s="733"/>
    </row>
    <row r="15251" spans="2:5">
      <c r="B15251" s="121">
        <v>1291</v>
      </c>
      <c r="C15251" s="121">
        <v>8</v>
      </c>
      <c r="D15251" s="734">
        <v>135.2922160132787</v>
      </c>
      <c r="E15251" s="733"/>
    </row>
    <row r="15252" spans="2:5">
      <c r="B15252" s="121">
        <v>1291</v>
      </c>
      <c r="C15252" s="121">
        <v>9</v>
      </c>
      <c r="D15252" s="734">
        <v>135.71108146902827</v>
      </c>
      <c r="E15252" s="733"/>
    </row>
    <row r="15253" spans="2:5">
      <c r="B15253" s="121">
        <v>1291</v>
      </c>
      <c r="C15253" s="121">
        <v>10</v>
      </c>
      <c r="D15253" s="734">
        <v>134.32015792425241</v>
      </c>
      <c r="E15253" s="733"/>
    </row>
    <row r="15254" spans="2:5">
      <c r="B15254" s="121">
        <v>1291</v>
      </c>
      <c r="C15254" s="121">
        <v>11</v>
      </c>
      <c r="D15254" s="734">
        <v>146.74259124369803</v>
      </c>
      <c r="E15254" s="733"/>
    </row>
    <row r="15255" spans="2:5">
      <c r="B15255" s="121">
        <v>1291</v>
      </c>
      <c r="C15255" s="121">
        <v>12</v>
      </c>
      <c r="D15255" s="734">
        <v>139.25364381681999</v>
      </c>
      <c r="E15255" s="733"/>
    </row>
    <row r="15256" spans="2:5">
      <c r="B15256" s="121">
        <v>1291</v>
      </c>
      <c r="C15256" s="121">
        <v>13</v>
      </c>
      <c r="D15256" s="734">
        <v>146.06741895690985</v>
      </c>
      <c r="E15256" s="733"/>
    </row>
    <row r="15257" spans="2:5">
      <c r="B15257" s="121">
        <v>1291</v>
      </c>
      <c r="C15257" s="121">
        <v>14</v>
      </c>
      <c r="D15257" s="734">
        <v>137.6824524980513</v>
      </c>
      <c r="E15257" s="733"/>
    </row>
    <row r="15258" spans="2:5">
      <c r="B15258" s="121">
        <v>1291</v>
      </c>
      <c r="C15258" s="121">
        <v>15</v>
      </c>
      <c r="D15258" s="734">
        <v>138.91932122511912</v>
      </c>
      <c r="E15258" s="733"/>
    </row>
    <row r="15259" spans="2:5">
      <c r="B15259" s="121">
        <v>1291</v>
      </c>
      <c r="C15259" s="121">
        <v>16</v>
      </c>
      <c r="D15259" s="734">
        <v>134.24026088104361</v>
      </c>
      <c r="E15259" s="733"/>
    </row>
    <row r="15260" spans="2:5">
      <c r="B15260" s="121">
        <v>1291</v>
      </c>
      <c r="C15260" s="121">
        <v>17</v>
      </c>
      <c r="D15260" s="734">
        <v>144.78251411951842</v>
      </c>
      <c r="E15260" s="733"/>
    </row>
    <row r="15261" spans="2:5">
      <c r="B15261" s="121">
        <v>1291</v>
      </c>
      <c r="C15261" s="121">
        <v>18</v>
      </c>
      <c r="D15261" s="734">
        <v>135.60777116082562</v>
      </c>
      <c r="E15261" s="733"/>
    </row>
    <row r="15262" spans="2:5">
      <c r="B15262" s="121">
        <v>1291</v>
      </c>
      <c r="C15262" s="121">
        <v>19</v>
      </c>
      <c r="D15262" s="734">
        <v>137.25020377305995</v>
      </c>
      <c r="E15262" s="733"/>
    </row>
    <row r="15263" spans="2:5">
      <c r="B15263" s="121">
        <v>1291</v>
      </c>
      <c r="C15263" s="121">
        <v>20</v>
      </c>
      <c r="D15263" s="734">
        <v>137.57317239931649</v>
      </c>
      <c r="E15263" s="733"/>
    </row>
    <row r="15264" spans="2:5">
      <c r="B15264" s="121">
        <v>1291</v>
      </c>
      <c r="C15264" s="121">
        <v>21</v>
      </c>
      <c r="D15264" s="734">
        <v>133.9082599006997</v>
      </c>
      <c r="E15264" s="733"/>
    </row>
    <row r="15265" spans="2:5">
      <c r="B15265" s="121">
        <v>1291</v>
      </c>
      <c r="C15265" s="121">
        <v>22</v>
      </c>
      <c r="D15265" s="734">
        <v>135.38154694110025</v>
      </c>
      <c r="E15265" s="733"/>
    </row>
    <row r="15266" spans="2:5">
      <c r="B15266" s="121">
        <v>1291</v>
      </c>
      <c r="C15266" s="121">
        <v>23</v>
      </c>
      <c r="D15266" s="734">
        <v>137.31078377627068</v>
      </c>
      <c r="E15266" s="733"/>
    </row>
    <row r="15267" spans="2:5">
      <c r="B15267" s="121">
        <v>1291</v>
      </c>
      <c r="C15267" s="121">
        <v>24</v>
      </c>
      <c r="D15267" s="734">
        <v>141.62112782814009</v>
      </c>
      <c r="E15267" s="733"/>
    </row>
    <row r="15268" spans="2:5">
      <c r="B15268" s="121">
        <v>1292</v>
      </c>
      <c r="C15268" s="121">
        <v>1</v>
      </c>
      <c r="D15268" s="734">
        <v>5</v>
      </c>
      <c r="E15268" s="733"/>
    </row>
    <row r="15269" spans="2:5">
      <c r="B15269" s="121">
        <v>1292</v>
      </c>
      <c r="C15269" s="121">
        <v>2</v>
      </c>
      <c r="D15269" s="734">
        <v>96.768542272829848</v>
      </c>
      <c r="E15269" s="733"/>
    </row>
    <row r="15270" spans="2:5">
      <c r="B15270" s="121">
        <v>1292</v>
      </c>
      <c r="C15270" s="121">
        <v>3</v>
      </c>
      <c r="D15270" s="734">
        <v>118.7747177692864</v>
      </c>
      <c r="E15270" s="733"/>
    </row>
    <row r="15271" spans="2:5">
      <c r="B15271" s="121">
        <v>1292</v>
      </c>
      <c r="C15271" s="121">
        <v>4</v>
      </c>
      <c r="D15271" s="734">
        <v>135.55599693329435</v>
      </c>
      <c r="E15271" s="733"/>
    </row>
    <row r="15272" spans="2:5">
      <c r="B15272" s="121">
        <v>1292</v>
      </c>
      <c r="C15272" s="121">
        <v>5</v>
      </c>
      <c r="D15272" s="734">
        <v>135.84536350982441</v>
      </c>
      <c r="E15272" s="733"/>
    </row>
    <row r="15273" spans="2:5">
      <c r="B15273" s="121">
        <v>1292</v>
      </c>
      <c r="C15273" s="121">
        <v>6</v>
      </c>
      <c r="D15273" s="734">
        <v>143.71897330792356</v>
      </c>
      <c r="E15273" s="733"/>
    </row>
    <row r="15274" spans="2:5">
      <c r="B15274" s="121">
        <v>1292</v>
      </c>
      <c r="C15274" s="121">
        <v>7</v>
      </c>
      <c r="D15274" s="734">
        <v>138.56106355486895</v>
      </c>
      <c r="E15274" s="733"/>
    </row>
    <row r="15275" spans="2:5">
      <c r="B15275" s="121">
        <v>1292</v>
      </c>
      <c r="C15275" s="121">
        <v>8</v>
      </c>
      <c r="D15275" s="734">
        <v>138.4842567050882</v>
      </c>
      <c r="E15275" s="733"/>
    </row>
    <row r="15276" spans="2:5">
      <c r="B15276" s="121">
        <v>1292</v>
      </c>
      <c r="C15276" s="121">
        <v>9</v>
      </c>
      <c r="D15276" s="734">
        <v>134.27509650696098</v>
      </c>
      <c r="E15276" s="733"/>
    </row>
    <row r="15277" spans="2:5">
      <c r="B15277" s="121">
        <v>1292</v>
      </c>
      <c r="C15277" s="121">
        <v>10</v>
      </c>
      <c r="D15277" s="734">
        <v>141.79182988337067</v>
      </c>
      <c r="E15277" s="733"/>
    </row>
    <row r="15278" spans="2:5">
      <c r="B15278" s="121">
        <v>1292</v>
      </c>
      <c r="C15278" s="121">
        <v>11</v>
      </c>
      <c r="D15278" s="734">
        <v>144.05597687762389</v>
      </c>
      <c r="E15278" s="733"/>
    </row>
    <row r="15279" spans="2:5">
      <c r="B15279" s="121">
        <v>1292</v>
      </c>
      <c r="C15279" s="121">
        <v>12</v>
      </c>
      <c r="D15279" s="734">
        <v>137.68674760625026</v>
      </c>
      <c r="E15279" s="733"/>
    </row>
    <row r="15280" spans="2:5">
      <c r="B15280" s="121">
        <v>1292</v>
      </c>
      <c r="C15280" s="121">
        <v>13</v>
      </c>
      <c r="D15280" s="734">
        <v>136.37494102424088</v>
      </c>
      <c r="E15280" s="733"/>
    </row>
    <row r="15281" spans="2:5">
      <c r="B15281" s="121">
        <v>1292</v>
      </c>
      <c r="C15281" s="121">
        <v>14</v>
      </c>
      <c r="D15281" s="734">
        <v>137.93377226451017</v>
      </c>
      <c r="E15281" s="733"/>
    </row>
    <row r="15282" spans="2:5">
      <c r="B15282" s="121">
        <v>1292</v>
      </c>
      <c r="C15282" s="121">
        <v>15</v>
      </c>
      <c r="D15282" s="734">
        <v>133.99751007684526</v>
      </c>
      <c r="E15282" s="733"/>
    </row>
    <row r="15283" spans="2:5">
      <c r="B15283" s="121">
        <v>1292</v>
      </c>
      <c r="C15283" s="121">
        <v>16</v>
      </c>
      <c r="D15283" s="734">
        <v>138.73880949931481</v>
      </c>
      <c r="E15283" s="733"/>
    </row>
    <row r="15284" spans="2:5">
      <c r="B15284" s="121">
        <v>1292</v>
      </c>
      <c r="C15284" s="121">
        <v>17</v>
      </c>
      <c r="D15284" s="734">
        <v>142.4920839588161</v>
      </c>
      <c r="E15284" s="733"/>
    </row>
    <row r="15285" spans="2:5">
      <c r="B15285" s="121">
        <v>1292</v>
      </c>
      <c r="C15285" s="121">
        <v>18</v>
      </c>
      <c r="D15285" s="734">
        <v>140.92689029974724</v>
      </c>
      <c r="E15285" s="733"/>
    </row>
    <row r="15286" spans="2:5">
      <c r="B15286" s="121">
        <v>1292</v>
      </c>
      <c r="C15286" s="121">
        <v>19</v>
      </c>
      <c r="D15286" s="734">
        <v>138.81525110053417</v>
      </c>
      <c r="E15286" s="733"/>
    </row>
    <row r="15287" spans="2:5">
      <c r="B15287" s="121">
        <v>1292</v>
      </c>
      <c r="C15287" s="121">
        <v>20</v>
      </c>
      <c r="D15287" s="734">
        <v>144.82519104317348</v>
      </c>
      <c r="E15287" s="733"/>
    </row>
    <row r="15288" spans="2:5">
      <c r="B15288" s="121">
        <v>1292</v>
      </c>
      <c r="C15288" s="121">
        <v>21</v>
      </c>
      <c r="D15288" s="734">
        <v>135.50113560086467</v>
      </c>
      <c r="E15288" s="733"/>
    </row>
    <row r="15289" spans="2:5">
      <c r="B15289" s="121">
        <v>1292</v>
      </c>
      <c r="C15289" s="121">
        <v>22</v>
      </c>
      <c r="D15289" s="734">
        <v>139.65479576225556</v>
      </c>
      <c r="E15289" s="733"/>
    </row>
    <row r="15290" spans="2:5">
      <c r="B15290" s="121">
        <v>1292</v>
      </c>
      <c r="C15290" s="121">
        <v>23</v>
      </c>
      <c r="D15290" s="734">
        <v>142.08064324485107</v>
      </c>
      <c r="E15290" s="733"/>
    </row>
    <row r="15291" spans="2:5">
      <c r="B15291" s="121">
        <v>1292</v>
      </c>
      <c r="C15291" s="121">
        <v>24</v>
      </c>
      <c r="D15291" s="734">
        <v>147.02296423960573</v>
      </c>
      <c r="E15291" s="733"/>
    </row>
    <row r="15292" spans="2:5">
      <c r="B15292" s="121">
        <v>1292</v>
      </c>
      <c r="C15292" s="121">
        <v>25</v>
      </c>
      <c r="D15292" s="734">
        <v>133.98012909694955</v>
      </c>
      <c r="E15292" s="733"/>
    </row>
    <row r="15293" spans="2:5">
      <c r="B15293" s="121">
        <v>1292</v>
      </c>
      <c r="C15293" s="121">
        <v>26</v>
      </c>
      <c r="D15293" s="734">
        <v>142.94167011241984</v>
      </c>
      <c r="E15293" s="733"/>
    </row>
    <row r="15294" spans="2:5">
      <c r="B15294" s="121">
        <v>1292</v>
      </c>
      <c r="C15294" s="121">
        <v>27</v>
      </c>
      <c r="D15294" s="734">
        <v>135.51548019589688</v>
      </c>
      <c r="E15294" s="733"/>
    </row>
    <row r="15295" spans="2:5">
      <c r="B15295" s="121">
        <v>1292</v>
      </c>
      <c r="C15295" s="121">
        <v>28</v>
      </c>
      <c r="D15295" s="734">
        <v>136.82971862023359</v>
      </c>
      <c r="E15295" s="733"/>
    </row>
    <row r="15296" spans="2:5">
      <c r="B15296" s="121">
        <v>1293</v>
      </c>
      <c r="C15296" s="121">
        <v>1</v>
      </c>
      <c r="D15296" s="734">
        <v>5</v>
      </c>
      <c r="E15296" s="733"/>
    </row>
    <row r="15297" spans="2:5">
      <c r="B15297" s="121">
        <v>1293</v>
      </c>
      <c r="C15297" s="121">
        <v>2</v>
      </c>
      <c r="D15297" s="734">
        <v>96.271225896737207</v>
      </c>
      <c r="E15297" s="733"/>
    </row>
    <row r="15298" spans="2:5">
      <c r="B15298" s="121">
        <v>1293</v>
      </c>
      <c r="C15298" s="121">
        <v>3</v>
      </c>
      <c r="D15298" s="734">
        <v>120.14314660497418</v>
      </c>
      <c r="E15298" s="733"/>
    </row>
    <row r="15299" spans="2:5">
      <c r="B15299" s="121">
        <v>1293</v>
      </c>
      <c r="C15299" s="121">
        <v>4</v>
      </c>
      <c r="D15299" s="734">
        <v>134.92221030204766</v>
      </c>
      <c r="E15299" s="733"/>
    </row>
    <row r="15300" spans="2:5">
      <c r="B15300" s="121">
        <v>1293</v>
      </c>
      <c r="C15300" s="121">
        <v>5</v>
      </c>
      <c r="D15300" s="734">
        <v>135.69505845147728</v>
      </c>
      <c r="E15300" s="733"/>
    </row>
    <row r="15301" spans="2:5">
      <c r="B15301" s="121">
        <v>1293</v>
      </c>
      <c r="C15301" s="121">
        <v>6</v>
      </c>
      <c r="D15301" s="734">
        <v>134.45988435142263</v>
      </c>
      <c r="E15301" s="733"/>
    </row>
    <row r="15302" spans="2:5">
      <c r="B15302" s="121">
        <v>1293</v>
      </c>
      <c r="C15302" s="121">
        <v>7</v>
      </c>
      <c r="D15302" s="734">
        <v>139.79598187345687</v>
      </c>
      <c r="E15302" s="733"/>
    </row>
    <row r="15303" spans="2:5">
      <c r="B15303" s="121">
        <v>1293</v>
      </c>
      <c r="C15303" s="121">
        <v>8</v>
      </c>
      <c r="D15303" s="734">
        <v>140.62181349304953</v>
      </c>
      <c r="E15303" s="733"/>
    </row>
    <row r="15304" spans="2:5">
      <c r="B15304" s="121">
        <v>1293</v>
      </c>
      <c r="C15304" s="121">
        <v>9</v>
      </c>
      <c r="D15304" s="734">
        <v>143.96498008792682</v>
      </c>
      <c r="E15304" s="733"/>
    </row>
    <row r="15305" spans="2:5">
      <c r="B15305" s="121">
        <v>1293</v>
      </c>
      <c r="C15305" s="121">
        <v>10</v>
      </c>
      <c r="D15305" s="734">
        <v>139.22241014349279</v>
      </c>
      <c r="E15305" s="733"/>
    </row>
    <row r="15306" spans="2:5">
      <c r="B15306" s="121">
        <v>1293</v>
      </c>
      <c r="C15306" s="121">
        <v>11</v>
      </c>
      <c r="D15306" s="734">
        <v>141.40127067272542</v>
      </c>
      <c r="E15306" s="733"/>
    </row>
    <row r="15307" spans="2:5">
      <c r="B15307" s="121">
        <v>1293</v>
      </c>
      <c r="C15307" s="121">
        <v>12</v>
      </c>
      <c r="D15307" s="734">
        <v>144.34802333461255</v>
      </c>
      <c r="E15307" s="733"/>
    </row>
    <row r="15308" spans="2:5">
      <c r="B15308" s="121">
        <v>1293</v>
      </c>
      <c r="C15308" s="121">
        <v>13</v>
      </c>
      <c r="D15308" s="734">
        <v>141.71884850468103</v>
      </c>
      <c r="E15308" s="733"/>
    </row>
    <row r="15309" spans="2:5">
      <c r="B15309" s="121">
        <v>1293</v>
      </c>
      <c r="C15309" s="121">
        <v>14</v>
      </c>
      <c r="D15309" s="734">
        <v>141.5315775758275</v>
      </c>
      <c r="E15309" s="733"/>
    </row>
    <row r="15310" spans="2:5">
      <c r="B15310" s="121">
        <v>1293</v>
      </c>
      <c r="C15310" s="121">
        <v>15</v>
      </c>
      <c r="D15310" s="734">
        <v>136.29513387068803</v>
      </c>
      <c r="E15310" s="733"/>
    </row>
    <row r="15311" spans="2:5">
      <c r="B15311" s="121">
        <v>1293</v>
      </c>
      <c r="C15311" s="121">
        <v>16</v>
      </c>
      <c r="D15311" s="734">
        <v>146.71567948828846</v>
      </c>
      <c r="E15311" s="733"/>
    </row>
    <row r="15312" spans="2:5">
      <c r="B15312" s="121">
        <v>1293</v>
      </c>
      <c r="C15312" s="121">
        <v>17</v>
      </c>
      <c r="D15312" s="734">
        <v>146.23776713745559</v>
      </c>
      <c r="E15312" s="733"/>
    </row>
    <row r="15313" spans="2:5">
      <c r="B15313" s="121">
        <v>1293</v>
      </c>
      <c r="C15313" s="121">
        <v>18</v>
      </c>
      <c r="D15313" s="734">
        <v>134.20801297023218</v>
      </c>
      <c r="E15313" s="733"/>
    </row>
    <row r="15314" spans="2:5">
      <c r="B15314" s="121">
        <v>1293</v>
      </c>
      <c r="C15314" s="121">
        <v>19</v>
      </c>
      <c r="D15314" s="734">
        <v>141.50445011185701</v>
      </c>
      <c r="E15314" s="733"/>
    </row>
    <row r="15315" spans="2:5">
      <c r="B15315" s="121">
        <v>1293</v>
      </c>
      <c r="C15315" s="121">
        <v>20</v>
      </c>
      <c r="D15315" s="734">
        <v>141.81856147334</v>
      </c>
      <c r="E15315" s="733"/>
    </row>
    <row r="15316" spans="2:5">
      <c r="B15316" s="121">
        <v>1293</v>
      </c>
      <c r="C15316" s="121">
        <v>21</v>
      </c>
      <c r="D15316" s="734">
        <v>142.78009295949639</v>
      </c>
      <c r="E15316" s="733"/>
    </row>
    <row r="15317" spans="2:5">
      <c r="B15317" s="121">
        <v>1293</v>
      </c>
      <c r="C15317" s="121">
        <v>22</v>
      </c>
      <c r="D15317" s="734">
        <v>143.54706260625034</v>
      </c>
      <c r="E15317" s="733"/>
    </row>
    <row r="15318" spans="2:5">
      <c r="B15318" s="121">
        <v>1293</v>
      </c>
      <c r="C15318" s="121">
        <v>23</v>
      </c>
      <c r="D15318" s="734">
        <v>142.73553838934262</v>
      </c>
      <c r="E15318" s="733"/>
    </row>
    <row r="15319" spans="2:5">
      <c r="B15319" s="121">
        <v>1293</v>
      </c>
      <c r="C15319" s="121">
        <v>24</v>
      </c>
      <c r="D15319" s="734">
        <v>145.21359925017677</v>
      </c>
      <c r="E15319" s="733"/>
    </row>
    <row r="15320" spans="2:5">
      <c r="B15320" s="121">
        <v>1293</v>
      </c>
      <c r="C15320" s="121">
        <v>25</v>
      </c>
      <c r="D15320" s="734">
        <v>134.86440296921697</v>
      </c>
      <c r="E15320" s="733"/>
    </row>
    <row r="15321" spans="2:5">
      <c r="B15321" s="121">
        <v>1293</v>
      </c>
      <c r="C15321" s="121">
        <v>26</v>
      </c>
      <c r="D15321" s="734">
        <v>134.22218919542769</v>
      </c>
      <c r="E15321" s="733"/>
    </row>
    <row r="15322" spans="2:5">
      <c r="B15322" s="121">
        <v>1293</v>
      </c>
      <c r="C15322" s="121">
        <v>27</v>
      </c>
      <c r="D15322" s="734">
        <v>140.94739628054307</v>
      </c>
      <c r="E15322" s="733"/>
    </row>
    <row r="15323" spans="2:5">
      <c r="B15323" s="121">
        <v>1293</v>
      </c>
      <c r="C15323" s="121">
        <v>28</v>
      </c>
      <c r="D15323" s="734">
        <v>140.37842035841567</v>
      </c>
      <c r="E15323" s="733"/>
    </row>
    <row r="15324" spans="2:5">
      <c r="B15324" s="121">
        <v>1293</v>
      </c>
      <c r="C15324" s="121">
        <v>29</v>
      </c>
      <c r="D15324" s="734">
        <v>135.80569545382102</v>
      </c>
      <c r="E15324" s="733"/>
    </row>
    <row r="15325" spans="2:5">
      <c r="B15325" s="121">
        <v>1293</v>
      </c>
      <c r="C15325" s="121">
        <v>30</v>
      </c>
      <c r="D15325" s="734">
        <v>133.7121543106953</v>
      </c>
      <c r="E15325" s="733"/>
    </row>
    <row r="15326" spans="2:5">
      <c r="B15326" s="121">
        <v>1293</v>
      </c>
      <c r="C15326" s="121">
        <v>31</v>
      </c>
      <c r="D15326" s="734">
        <v>138.01125942932256</v>
      </c>
      <c r="E15326" s="733"/>
    </row>
    <row r="15327" spans="2:5">
      <c r="B15327" s="121">
        <v>1293</v>
      </c>
      <c r="C15327" s="121">
        <v>32</v>
      </c>
      <c r="D15327" s="734">
        <v>140.66440311658172</v>
      </c>
      <c r="E15327" s="733"/>
    </row>
    <row r="15328" spans="2:5">
      <c r="B15328" s="121">
        <v>1293</v>
      </c>
      <c r="C15328" s="121">
        <v>33</v>
      </c>
      <c r="D15328" s="734">
        <v>138.38950692625977</v>
      </c>
      <c r="E15328" s="733"/>
    </row>
    <row r="15329" spans="2:5">
      <c r="B15329" s="121">
        <v>1293</v>
      </c>
      <c r="C15329" s="121">
        <v>34</v>
      </c>
      <c r="D15329" s="734">
        <v>146.79001726702668</v>
      </c>
      <c r="E15329" s="733"/>
    </row>
    <row r="15330" spans="2:5">
      <c r="B15330" s="121">
        <v>1293</v>
      </c>
      <c r="C15330" s="121">
        <v>35</v>
      </c>
      <c r="D15330" s="734">
        <v>142.25060562748706</v>
      </c>
      <c r="E15330" s="733"/>
    </row>
    <row r="15331" spans="2:5">
      <c r="B15331" s="121">
        <v>1293</v>
      </c>
      <c r="C15331" s="121">
        <v>36</v>
      </c>
      <c r="D15331" s="734">
        <v>139.89986771306923</v>
      </c>
      <c r="E15331" s="733"/>
    </row>
    <row r="15332" spans="2:5">
      <c r="B15332" s="121">
        <v>1294</v>
      </c>
      <c r="C15332" s="121">
        <v>1</v>
      </c>
      <c r="D15332" s="734">
        <v>5</v>
      </c>
      <c r="E15332" s="733"/>
    </row>
    <row r="15333" spans="2:5">
      <c r="B15333" s="121">
        <v>1294</v>
      </c>
      <c r="C15333" s="121">
        <v>2</v>
      </c>
      <c r="D15333" s="734">
        <v>94.141756176584749</v>
      </c>
      <c r="E15333" s="733"/>
    </row>
    <row r="15334" spans="2:5">
      <c r="B15334" s="121">
        <v>1294</v>
      </c>
      <c r="C15334" s="121">
        <v>3</v>
      </c>
      <c r="D15334" s="734">
        <v>125.46504800885806</v>
      </c>
      <c r="E15334" s="733"/>
    </row>
    <row r="15335" spans="2:5">
      <c r="B15335" s="121">
        <v>1294</v>
      </c>
      <c r="C15335" s="121">
        <v>4</v>
      </c>
      <c r="D15335" s="734">
        <v>144.39075937870058</v>
      </c>
      <c r="E15335" s="733"/>
    </row>
    <row r="15336" spans="2:5">
      <c r="B15336" s="121">
        <v>1294</v>
      </c>
      <c r="C15336" s="121">
        <v>5</v>
      </c>
      <c r="D15336" s="734">
        <v>138.96164341338041</v>
      </c>
      <c r="E15336" s="733"/>
    </row>
    <row r="15337" spans="2:5">
      <c r="B15337" s="121">
        <v>1294</v>
      </c>
      <c r="C15337" s="121">
        <v>6</v>
      </c>
      <c r="D15337" s="734">
        <v>137.40380684417849</v>
      </c>
      <c r="E15337" s="733"/>
    </row>
    <row r="15338" spans="2:5">
      <c r="B15338" s="121">
        <v>1295</v>
      </c>
      <c r="C15338" s="121">
        <v>1</v>
      </c>
      <c r="D15338" s="734">
        <v>5</v>
      </c>
      <c r="E15338" s="733"/>
    </row>
    <row r="15339" spans="2:5">
      <c r="B15339" s="121">
        <v>1295</v>
      </c>
      <c r="C15339" s="121">
        <v>2</v>
      </c>
      <c r="D15339" s="734">
        <v>96.067179452269187</v>
      </c>
      <c r="E15339" s="733"/>
    </row>
    <row r="15340" spans="2:5">
      <c r="B15340" s="121">
        <v>1295</v>
      </c>
      <c r="C15340" s="121">
        <v>3</v>
      </c>
      <c r="D15340" s="734">
        <v>125.01113346021309</v>
      </c>
      <c r="E15340" s="733"/>
    </row>
    <row r="15341" spans="2:5">
      <c r="B15341" s="121">
        <v>1295</v>
      </c>
      <c r="C15341" s="121">
        <v>4</v>
      </c>
      <c r="D15341" s="734">
        <v>136.86656200751457</v>
      </c>
      <c r="E15341" s="733"/>
    </row>
    <row r="15342" spans="2:5">
      <c r="B15342" s="121">
        <v>1295</v>
      </c>
      <c r="C15342" s="121">
        <v>5</v>
      </c>
      <c r="D15342" s="734">
        <v>145.86890013814039</v>
      </c>
      <c r="E15342" s="733"/>
    </row>
    <row r="15343" spans="2:5">
      <c r="B15343" s="121">
        <v>1295</v>
      </c>
      <c r="C15343" s="121">
        <v>6</v>
      </c>
      <c r="D15343" s="734">
        <v>144.27522405271344</v>
      </c>
      <c r="E15343" s="733"/>
    </row>
    <row r="15344" spans="2:5">
      <c r="B15344" s="121">
        <v>1295</v>
      </c>
      <c r="C15344" s="121">
        <v>7</v>
      </c>
      <c r="D15344" s="734">
        <v>138.99580148455408</v>
      </c>
      <c r="E15344" s="733"/>
    </row>
    <row r="15345" spans="2:5">
      <c r="B15345" s="121">
        <v>1295</v>
      </c>
      <c r="C15345" s="121">
        <v>8</v>
      </c>
      <c r="D15345" s="734">
        <v>138.90381455353585</v>
      </c>
      <c r="E15345" s="733"/>
    </row>
    <row r="15346" spans="2:5">
      <c r="B15346" s="121">
        <v>1295</v>
      </c>
      <c r="C15346" s="121">
        <v>9</v>
      </c>
      <c r="D15346" s="734">
        <v>146.74278486162311</v>
      </c>
      <c r="E15346" s="733"/>
    </row>
    <row r="15347" spans="2:5">
      <c r="B15347" s="121">
        <v>1295</v>
      </c>
      <c r="C15347" s="121">
        <v>10</v>
      </c>
      <c r="D15347" s="734">
        <v>141.56275306569219</v>
      </c>
      <c r="E15347" s="733"/>
    </row>
    <row r="15348" spans="2:5">
      <c r="B15348" s="121">
        <v>1295</v>
      </c>
      <c r="C15348" s="121">
        <v>11</v>
      </c>
      <c r="D15348" s="734">
        <v>137.68709982563644</v>
      </c>
      <c r="E15348" s="733"/>
    </row>
    <row r="15349" spans="2:5">
      <c r="B15349" s="121">
        <v>1296</v>
      </c>
      <c r="C15349" s="121">
        <v>1</v>
      </c>
      <c r="D15349" s="734">
        <v>5</v>
      </c>
      <c r="E15349" s="733"/>
    </row>
    <row r="15350" spans="2:5">
      <c r="B15350" s="121">
        <v>1297</v>
      </c>
      <c r="C15350" s="121">
        <v>1</v>
      </c>
      <c r="D15350" s="734">
        <v>5</v>
      </c>
      <c r="E15350" s="733"/>
    </row>
    <row r="15351" spans="2:5">
      <c r="B15351" s="121">
        <v>1297</v>
      </c>
      <c r="C15351" s="121">
        <v>2</v>
      </c>
      <c r="D15351" s="734">
        <v>99.856978189842536</v>
      </c>
      <c r="E15351" s="733"/>
    </row>
    <row r="15352" spans="2:5">
      <c r="B15352" s="121">
        <v>1297</v>
      </c>
      <c r="C15352" s="121">
        <v>3</v>
      </c>
      <c r="D15352" s="734">
        <v>119.04056837918465</v>
      </c>
      <c r="E15352" s="733"/>
    </row>
    <row r="15353" spans="2:5">
      <c r="B15353" s="121">
        <v>1297</v>
      </c>
      <c r="C15353" s="121">
        <v>4</v>
      </c>
      <c r="D15353" s="734">
        <v>142.24136995854735</v>
      </c>
      <c r="E15353" s="733"/>
    </row>
    <row r="15354" spans="2:5">
      <c r="B15354" s="121">
        <v>1297</v>
      </c>
      <c r="C15354" s="121">
        <v>5</v>
      </c>
      <c r="D15354" s="734">
        <v>139.72090286922574</v>
      </c>
      <c r="E15354" s="733"/>
    </row>
    <row r="15355" spans="2:5">
      <c r="B15355" s="121">
        <v>1297</v>
      </c>
      <c r="C15355" s="121">
        <v>6</v>
      </c>
      <c r="D15355" s="734">
        <v>139.45765382965001</v>
      </c>
      <c r="E15355" s="733"/>
    </row>
    <row r="15356" spans="2:5">
      <c r="B15356" s="121">
        <v>1297</v>
      </c>
      <c r="C15356" s="121">
        <v>7</v>
      </c>
      <c r="D15356" s="734">
        <v>142.48514690635977</v>
      </c>
      <c r="E15356" s="733"/>
    </row>
    <row r="15357" spans="2:5">
      <c r="B15357" s="121">
        <v>1297</v>
      </c>
      <c r="C15357" s="121">
        <v>8</v>
      </c>
      <c r="D15357" s="734">
        <v>146.68183604603422</v>
      </c>
      <c r="E15357" s="733"/>
    </row>
    <row r="15358" spans="2:5">
      <c r="B15358" s="121">
        <v>1297</v>
      </c>
      <c r="C15358" s="121">
        <v>9</v>
      </c>
      <c r="D15358" s="734">
        <v>136.46762212749258</v>
      </c>
      <c r="E15358" s="733"/>
    </row>
    <row r="15359" spans="2:5">
      <c r="B15359" s="121">
        <v>1297</v>
      </c>
      <c r="C15359" s="121">
        <v>10</v>
      </c>
      <c r="D15359" s="734">
        <v>143.84098236019577</v>
      </c>
      <c r="E15359" s="733"/>
    </row>
    <row r="15360" spans="2:5">
      <c r="B15360" s="121">
        <v>1297</v>
      </c>
      <c r="C15360" s="121">
        <v>11</v>
      </c>
      <c r="D15360" s="734">
        <v>138.76857221286397</v>
      </c>
      <c r="E15360" s="733"/>
    </row>
    <row r="15361" spans="2:5">
      <c r="B15361" s="121">
        <v>1297</v>
      </c>
      <c r="C15361" s="121">
        <v>12</v>
      </c>
      <c r="D15361" s="734">
        <v>140.74336913031007</v>
      </c>
      <c r="E15361" s="733"/>
    </row>
    <row r="15362" spans="2:5">
      <c r="B15362" s="121">
        <v>1297</v>
      </c>
      <c r="C15362" s="121">
        <v>13</v>
      </c>
      <c r="D15362" s="734">
        <v>141.47158298472823</v>
      </c>
      <c r="E15362" s="733"/>
    </row>
    <row r="15363" spans="2:5">
      <c r="B15363" s="121">
        <v>1297</v>
      </c>
      <c r="C15363" s="121">
        <v>14</v>
      </c>
      <c r="D15363" s="734">
        <v>136.53994365999444</v>
      </c>
      <c r="E15363" s="733"/>
    </row>
    <row r="15364" spans="2:5">
      <c r="B15364" s="121">
        <v>1297</v>
      </c>
      <c r="C15364" s="121">
        <v>15</v>
      </c>
      <c r="D15364" s="734">
        <v>135.8953630689328</v>
      </c>
      <c r="E15364" s="733"/>
    </row>
    <row r="15365" spans="2:5">
      <c r="B15365" s="121">
        <v>1297</v>
      </c>
      <c r="C15365" s="121">
        <v>16</v>
      </c>
      <c r="D15365" s="734">
        <v>140.72315147448154</v>
      </c>
      <c r="E15365" s="733"/>
    </row>
    <row r="15366" spans="2:5">
      <c r="B15366" s="121">
        <v>1297</v>
      </c>
      <c r="C15366" s="121">
        <v>17</v>
      </c>
      <c r="D15366" s="734">
        <v>144.45980175062471</v>
      </c>
      <c r="E15366" s="733"/>
    </row>
    <row r="15367" spans="2:5">
      <c r="B15367" s="121">
        <v>1297</v>
      </c>
      <c r="C15367" s="121">
        <v>18</v>
      </c>
      <c r="D15367" s="734">
        <v>144.7263277006542</v>
      </c>
      <c r="E15367" s="733"/>
    </row>
    <row r="15368" spans="2:5">
      <c r="B15368" s="121">
        <v>1297</v>
      </c>
      <c r="C15368" s="121">
        <v>19</v>
      </c>
      <c r="D15368" s="734">
        <v>141.24252854318658</v>
      </c>
      <c r="E15368" s="733"/>
    </row>
    <row r="15369" spans="2:5">
      <c r="B15369" s="121">
        <v>1297</v>
      </c>
      <c r="C15369" s="121">
        <v>20</v>
      </c>
      <c r="D15369" s="734">
        <v>137.64067774354399</v>
      </c>
      <c r="E15369" s="733"/>
    </row>
    <row r="15370" spans="2:5">
      <c r="B15370" s="121">
        <v>1297</v>
      </c>
      <c r="C15370" s="121">
        <v>21</v>
      </c>
      <c r="D15370" s="734">
        <v>145.62302677694143</v>
      </c>
      <c r="E15370" s="733"/>
    </row>
    <row r="15371" spans="2:5">
      <c r="B15371" s="121">
        <v>1297</v>
      </c>
      <c r="C15371" s="121">
        <v>22</v>
      </c>
      <c r="D15371" s="734">
        <v>135.31456284433634</v>
      </c>
      <c r="E15371" s="733"/>
    </row>
    <row r="15372" spans="2:5">
      <c r="B15372" s="121">
        <v>1297</v>
      </c>
      <c r="C15372" s="121">
        <v>23</v>
      </c>
      <c r="D15372" s="734">
        <v>140.22639929765978</v>
      </c>
      <c r="E15372" s="733"/>
    </row>
    <row r="15373" spans="2:5">
      <c r="B15373" s="121">
        <v>1297</v>
      </c>
      <c r="C15373" s="121">
        <v>24</v>
      </c>
      <c r="D15373" s="734">
        <v>137.59741052785779</v>
      </c>
      <c r="E15373" s="733"/>
    </row>
    <row r="15374" spans="2:5">
      <c r="B15374" s="121">
        <v>1297</v>
      </c>
      <c r="C15374" s="121">
        <v>25</v>
      </c>
      <c r="D15374" s="734">
        <v>140.91608559732938</v>
      </c>
      <c r="E15374" s="733"/>
    </row>
    <row r="15375" spans="2:5">
      <c r="B15375" s="121">
        <v>1297</v>
      </c>
      <c r="C15375" s="121">
        <v>26</v>
      </c>
      <c r="D15375" s="734">
        <v>142.66901687432926</v>
      </c>
      <c r="E15375" s="733"/>
    </row>
    <row r="15376" spans="2:5">
      <c r="B15376" s="121">
        <v>1297</v>
      </c>
      <c r="C15376" s="121">
        <v>27</v>
      </c>
      <c r="D15376" s="734">
        <v>140.78307630279784</v>
      </c>
      <c r="E15376" s="733"/>
    </row>
    <row r="15377" spans="2:5">
      <c r="B15377" s="121">
        <v>1298</v>
      </c>
      <c r="C15377" s="121">
        <v>1</v>
      </c>
      <c r="D15377" s="734">
        <v>5</v>
      </c>
      <c r="E15377" s="733"/>
    </row>
    <row r="15378" spans="2:5">
      <c r="B15378" s="121">
        <v>1298</v>
      </c>
      <c r="C15378" s="121">
        <v>2</v>
      </c>
      <c r="D15378" s="734">
        <v>103.27323002265061</v>
      </c>
      <c r="E15378" s="733"/>
    </row>
    <row r="15379" spans="2:5">
      <c r="B15379" s="121">
        <v>1298</v>
      </c>
      <c r="C15379" s="121">
        <v>3</v>
      </c>
      <c r="D15379" s="734">
        <v>115.8272129654503</v>
      </c>
      <c r="E15379" s="733"/>
    </row>
    <row r="15380" spans="2:5">
      <c r="B15380" s="121">
        <v>1298</v>
      </c>
      <c r="C15380" s="121">
        <v>4</v>
      </c>
      <c r="D15380" s="734">
        <v>137.96173396966648</v>
      </c>
      <c r="E15380" s="733"/>
    </row>
    <row r="15381" spans="2:5">
      <c r="B15381" s="121">
        <v>1298</v>
      </c>
      <c r="C15381" s="121">
        <v>5</v>
      </c>
      <c r="D15381" s="734">
        <v>142.32410162682515</v>
      </c>
      <c r="E15381" s="733"/>
    </row>
    <row r="15382" spans="2:5">
      <c r="B15382" s="121">
        <v>1298</v>
      </c>
      <c r="C15382" s="121">
        <v>6</v>
      </c>
      <c r="D15382" s="734">
        <v>136.23948654760426</v>
      </c>
      <c r="E15382" s="733"/>
    </row>
    <row r="15383" spans="2:5">
      <c r="B15383" s="121">
        <v>1298</v>
      </c>
      <c r="C15383" s="121">
        <v>7</v>
      </c>
      <c r="D15383" s="734">
        <v>137.41333048392076</v>
      </c>
      <c r="E15383" s="733"/>
    </row>
    <row r="15384" spans="2:5">
      <c r="B15384" s="121">
        <v>1298</v>
      </c>
      <c r="C15384" s="121">
        <v>8</v>
      </c>
      <c r="D15384" s="734">
        <v>144.79956253317826</v>
      </c>
      <c r="E15384" s="733"/>
    </row>
    <row r="15385" spans="2:5">
      <c r="B15385" s="121">
        <v>1298</v>
      </c>
      <c r="C15385" s="121">
        <v>9</v>
      </c>
      <c r="D15385" s="734">
        <v>135.66725296766683</v>
      </c>
      <c r="E15385" s="733"/>
    </row>
    <row r="15386" spans="2:5">
      <c r="B15386" s="121">
        <v>1298</v>
      </c>
      <c r="C15386" s="121">
        <v>10</v>
      </c>
      <c r="D15386" s="734">
        <v>144.46285999394971</v>
      </c>
      <c r="E15386" s="733"/>
    </row>
    <row r="15387" spans="2:5">
      <c r="B15387" s="121">
        <v>1298</v>
      </c>
      <c r="C15387" s="121">
        <v>11</v>
      </c>
      <c r="D15387" s="734">
        <v>140.53118833718611</v>
      </c>
      <c r="E15387" s="733"/>
    </row>
    <row r="15388" spans="2:5">
      <c r="B15388" s="121">
        <v>1298</v>
      </c>
      <c r="C15388" s="121">
        <v>12</v>
      </c>
      <c r="D15388" s="734">
        <v>144.66400968851934</v>
      </c>
      <c r="E15388" s="733"/>
    </row>
    <row r="15389" spans="2:5">
      <c r="B15389" s="121">
        <v>1298</v>
      </c>
      <c r="C15389" s="121">
        <v>13</v>
      </c>
      <c r="D15389" s="734">
        <v>146.25510072513407</v>
      </c>
      <c r="E15389" s="733"/>
    </row>
    <row r="15390" spans="2:5">
      <c r="B15390" s="121">
        <v>1298</v>
      </c>
      <c r="C15390" s="121">
        <v>14</v>
      </c>
      <c r="D15390" s="734">
        <v>136.3541640326585</v>
      </c>
      <c r="E15390" s="733"/>
    </row>
    <row r="15391" spans="2:5">
      <c r="B15391" s="121">
        <v>1298</v>
      </c>
      <c r="C15391" s="121">
        <v>15</v>
      </c>
      <c r="D15391" s="734">
        <v>139.18604388515081</v>
      </c>
      <c r="E15391" s="733"/>
    </row>
    <row r="15392" spans="2:5">
      <c r="B15392" s="121">
        <v>1298</v>
      </c>
      <c r="C15392" s="121">
        <v>16</v>
      </c>
      <c r="D15392" s="734">
        <v>145.33021097537042</v>
      </c>
      <c r="E15392" s="733"/>
    </row>
    <row r="15393" spans="2:5">
      <c r="B15393" s="121">
        <v>1298</v>
      </c>
      <c r="C15393" s="121">
        <v>17</v>
      </c>
      <c r="D15393" s="734">
        <v>142.75469368797778</v>
      </c>
      <c r="E15393" s="733"/>
    </row>
    <row r="15394" spans="2:5">
      <c r="B15394" s="121">
        <v>1298</v>
      </c>
      <c r="C15394" s="121">
        <v>18</v>
      </c>
      <c r="D15394" s="734">
        <v>138.21913433571564</v>
      </c>
      <c r="E15394" s="733"/>
    </row>
    <row r="15395" spans="2:5">
      <c r="B15395" s="121">
        <v>1298</v>
      </c>
      <c r="C15395" s="121">
        <v>19</v>
      </c>
      <c r="D15395" s="734">
        <v>145.6368042242805</v>
      </c>
      <c r="E15395" s="733"/>
    </row>
    <row r="15396" spans="2:5">
      <c r="B15396" s="121">
        <v>1298</v>
      </c>
      <c r="C15396" s="121">
        <v>20</v>
      </c>
      <c r="D15396" s="734">
        <v>139.78439779204996</v>
      </c>
      <c r="E15396" s="733"/>
    </row>
    <row r="15397" spans="2:5">
      <c r="B15397" s="121">
        <v>1298</v>
      </c>
      <c r="C15397" s="121">
        <v>21</v>
      </c>
      <c r="D15397" s="734">
        <v>136.60159638935519</v>
      </c>
      <c r="E15397" s="733"/>
    </row>
    <row r="15398" spans="2:5">
      <c r="B15398" s="121">
        <v>1298</v>
      </c>
      <c r="C15398" s="121">
        <v>22</v>
      </c>
      <c r="D15398" s="734">
        <v>136.04037248737922</v>
      </c>
      <c r="E15398" s="733"/>
    </row>
    <row r="15399" spans="2:5">
      <c r="B15399" s="121">
        <v>1298</v>
      </c>
      <c r="C15399" s="121">
        <v>23</v>
      </c>
      <c r="D15399" s="734">
        <v>146.79756485601621</v>
      </c>
      <c r="E15399" s="733"/>
    </row>
    <row r="15400" spans="2:5">
      <c r="B15400" s="121">
        <v>1298</v>
      </c>
      <c r="C15400" s="121">
        <v>24</v>
      </c>
      <c r="D15400" s="734">
        <v>134.8466390352703</v>
      </c>
      <c r="E15400" s="733"/>
    </row>
    <row r="15401" spans="2:5">
      <c r="B15401" s="121">
        <v>1298</v>
      </c>
      <c r="C15401" s="121">
        <v>25</v>
      </c>
      <c r="D15401" s="734">
        <v>145.22139323265691</v>
      </c>
      <c r="E15401" s="733"/>
    </row>
    <row r="15402" spans="2:5">
      <c r="B15402" s="121">
        <v>1298</v>
      </c>
      <c r="C15402" s="121">
        <v>26</v>
      </c>
      <c r="D15402" s="734">
        <v>134.66071746822803</v>
      </c>
      <c r="E15402" s="733"/>
    </row>
    <row r="15403" spans="2:5">
      <c r="B15403" s="121">
        <v>1298</v>
      </c>
      <c r="C15403" s="121">
        <v>27</v>
      </c>
      <c r="D15403" s="734">
        <v>139.70973324455261</v>
      </c>
      <c r="E15403" s="733"/>
    </row>
    <row r="15404" spans="2:5">
      <c r="B15404" s="121">
        <v>1298</v>
      </c>
      <c r="C15404" s="121">
        <v>28</v>
      </c>
      <c r="D15404" s="734">
        <v>143.72050920121828</v>
      </c>
      <c r="E15404" s="733"/>
    </row>
    <row r="15405" spans="2:5">
      <c r="B15405" s="121">
        <v>1298</v>
      </c>
      <c r="C15405" s="121">
        <v>29</v>
      </c>
      <c r="D15405" s="734">
        <v>136.0465092340342</v>
      </c>
      <c r="E15405" s="733"/>
    </row>
    <row r="15406" spans="2:5">
      <c r="B15406" s="121">
        <v>1298</v>
      </c>
      <c r="C15406" s="121">
        <v>30</v>
      </c>
      <c r="D15406" s="734">
        <v>136.17704469127679</v>
      </c>
      <c r="E15406" s="733"/>
    </row>
    <row r="15407" spans="2:5">
      <c r="B15407" s="121">
        <v>1298</v>
      </c>
      <c r="C15407" s="121">
        <v>31</v>
      </c>
      <c r="D15407" s="734">
        <v>144.55775621068634</v>
      </c>
      <c r="E15407" s="733"/>
    </row>
    <row r="15408" spans="2:5">
      <c r="B15408" s="121">
        <v>1298</v>
      </c>
      <c r="C15408" s="121">
        <v>32</v>
      </c>
      <c r="D15408" s="734">
        <v>141.74286859974089</v>
      </c>
      <c r="E15408" s="733"/>
    </row>
    <row r="15409" spans="2:5">
      <c r="B15409" s="121">
        <v>1298</v>
      </c>
      <c r="C15409" s="121">
        <v>33</v>
      </c>
      <c r="D15409" s="734">
        <v>144.92144548114061</v>
      </c>
      <c r="E15409" s="733"/>
    </row>
    <row r="15410" spans="2:5">
      <c r="B15410" s="121">
        <v>1298</v>
      </c>
      <c r="C15410" s="121">
        <v>34</v>
      </c>
      <c r="D15410" s="734">
        <v>138.25721972556144</v>
      </c>
      <c r="E15410" s="733"/>
    </row>
    <row r="15411" spans="2:5">
      <c r="B15411" s="121">
        <v>1298</v>
      </c>
      <c r="C15411" s="121">
        <v>35</v>
      </c>
      <c r="D15411" s="734">
        <v>146.04704485028802</v>
      </c>
      <c r="E15411" s="733"/>
    </row>
    <row r="15412" spans="2:5">
      <c r="B15412" s="121">
        <v>1298</v>
      </c>
      <c r="C15412" s="121">
        <v>36</v>
      </c>
      <c r="D15412" s="734">
        <v>134.56234055728305</v>
      </c>
      <c r="E15412" s="733"/>
    </row>
    <row r="15413" spans="2:5">
      <c r="B15413" s="121">
        <v>1299</v>
      </c>
      <c r="C15413" s="121">
        <v>1</v>
      </c>
      <c r="D15413" s="734">
        <v>5</v>
      </c>
      <c r="E15413" s="733"/>
    </row>
    <row r="15414" spans="2:5">
      <c r="B15414" s="121">
        <v>1299</v>
      </c>
      <c r="C15414" s="121">
        <v>2</v>
      </c>
      <c r="D15414" s="734">
        <v>99.034688572641414</v>
      </c>
      <c r="E15414" s="733"/>
    </row>
    <row r="15415" spans="2:5">
      <c r="B15415" s="121">
        <v>1299</v>
      </c>
      <c r="C15415" s="121">
        <v>3</v>
      </c>
      <c r="D15415" s="734">
        <v>123.52428646236483</v>
      </c>
      <c r="E15415" s="733"/>
    </row>
    <row r="15416" spans="2:5">
      <c r="B15416" s="121">
        <v>1299</v>
      </c>
      <c r="C15416" s="121">
        <v>4</v>
      </c>
      <c r="D15416" s="734">
        <v>144.65233599853147</v>
      </c>
      <c r="E15416" s="733"/>
    </row>
    <row r="15417" spans="2:5">
      <c r="B15417" s="121">
        <v>1299</v>
      </c>
      <c r="C15417" s="121">
        <v>5</v>
      </c>
      <c r="D15417" s="734">
        <v>141.69741953652581</v>
      </c>
      <c r="E15417" s="733"/>
    </row>
    <row r="15418" spans="2:5">
      <c r="B15418" s="121">
        <v>1299</v>
      </c>
      <c r="C15418" s="121">
        <v>6</v>
      </c>
      <c r="D15418" s="734">
        <v>145.9568853092338</v>
      </c>
      <c r="E15418" s="733"/>
    </row>
    <row r="15419" spans="2:5">
      <c r="B15419" s="121">
        <v>1300</v>
      </c>
      <c r="C15419" s="121">
        <v>1</v>
      </c>
      <c r="D15419" s="734">
        <v>5</v>
      </c>
      <c r="E15419" s="733"/>
    </row>
    <row r="15420" spans="2:5">
      <c r="B15420" s="121">
        <v>1300</v>
      </c>
      <c r="C15420" s="121">
        <v>2</v>
      </c>
      <c r="D15420" s="734">
        <v>97.050308664290753</v>
      </c>
      <c r="E15420" s="733"/>
    </row>
    <row r="15421" spans="2:5">
      <c r="B15421" s="121">
        <v>1300</v>
      </c>
      <c r="C15421" s="121">
        <v>3</v>
      </c>
      <c r="D15421" s="734">
        <v>121.66374831375394</v>
      </c>
      <c r="E15421" s="733"/>
    </row>
    <row r="15422" spans="2:5">
      <c r="B15422" s="121">
        <v>1300</v>
      </c>
      <c r="C15422" s="121">
        <v>4</v>
      </c>
      <c r="D15422" s="734">
        <v>137.91990044984328</v>
      </c>
      <c r="E15422" s="733"/>
    </row>
    <row r="15423" spans="2:5">
      <c r="B15423" s="121">
        <v>1300</v>
      </c>
      <c r="C15423" s="121">
        <v>5</v>
      </c>
      <c r="D15423" s="734">
        <v>144.24189962520254</v>
      </c>
      <c r="E15423" s="733"/>
    </row>
    <row r="15424" spans="2:5">
      <c r="B15424" s="121">
        <v>1300</v>
      </c>
      <c r="C15424" s="121">
        <v>6</v>
      </c>
      <c r="D15424" s="734">
        <v>142.77735816385427</v>
      </c>
      <c r="E15424" s="733"/>
    </row>
    <row r="15425" spans="2:5">
      <c r="B15425" s="121">
        <v>1300</v>
      </c>
      <c r="C15425" s="121">
        <v>7</v>
      </c>
      <c r="D15425" s="734">
        <v>136.53695475586892</v>
      </c>
      <c r="E15425" s="733"/>
    </row>
    <row r="15426" spans="2:5">
      <c r="B15426" s="121">
        <v>1300</v>
      </c>
      <c r="C15426" s="121">
        <v>8</v>
      </c>
      <c r="D15426" s="734">
        <v>140.47717235044644</v>
      </c>
      <c r="E15426" s="733"/>
    </row>
    <row r="15427" spans="2:5">
      <c r="B15427" s="121">
        <v>1300</v>
      </c>
      <c r="C15427" s="121">
        <v>9</v>
      </c>
      <c r="D15427" s="734">
        <v>133.96519506595374</v>
      </c>
      <c r="E15427" s="733"/>
    </row>
    <row r="15428" spans="2:5">
      <c r="B15428" s="121">
        <v>1300</v>
      </c>
      <c r="C15428" s="121">
        <v>10</v>
      </c>
      <c r="D15428" s="734">
        <v>136.86638458732665</v>
      </c>
      <c r="E15428" s="733"/>
    </row>
    <row r="15429" spans="2:5">
      <c r="B15429" s="121">
        <v>1300</v>
      </c>
      <c r="C15429" s="121">
        <v>11</v>
      </c>
      <c r="D15429" s="734">
        <v>146.93896044070823</v>
      </c>
      <c r="E15429" s="733"/>
    </row>
    <row r="15430" spans="2:5">
      <c r="B15430" s="121">
        <v>1300</v>
      </c>
      <c r="C15430" s="121">
        <v>12</v>
      </c>
      <c r="D15430" s="734">
        <v>137.94962498303335</v>
      </c>
      <c r="E15430" s="733"/>
    </row>
    <row r="15431" spans="2:5">
      <c r="B15431" s="121">
        <v>1300</v>
      </c>
      <c r="C15431" s="121">
        <v>13</v>
      </c>
      <c r="D15431" s="734">
        <v>135.7254748826158</v>
      </c>
      <c r="E15431" s="733"/>
    </row>
    <row r="15432" spans="2:5">
      <c r="B15432" s="121">
        <v>1300</v>
      </c>
      <c r="C15432" s="121">
        <v>14</v>
      </c>
      <c r="D15432" s="734">
        <v>137.76984041599781</v>
      </c>
      <c r="E15432" s="733"/>
    </row>
    <row r="15433" spans="2:5">
      <c r="B15433" s="121">
        <v>1300</v>
      </c>
      <c r="C15433" s="121">
        <v>15</v>
      </c>
      <c r="D15433" s="734">
        <v>144.66053709396405</v>
      </c>
      <c r="E15433" s="733"/>
    </row>
    <row r="15434" spans="2:5">
      <c r="B15434" s="121">
        <v>1300</v>
      </c>
      <c r="C15434" s="121">
        <v>16</v>
      </c>
      <c r="D15434" s="734">
        <v>144.09745206223968</v>
      </c>
      <c r="E15434" s="733"/>
    </row>
    <row r="15435" spans="2:5">
      <c r="B15435" s="121">
        <v>1300</v>
      </c>
      <c r="C15435" s="121">
        <v>17</v>
      </c>
      <c r="D15435" s="734">
        <v>144.91805719416138</v>
      </c>
      <c r="E15435" s="733"/>
    </row>
    <row r="15436" spans="2:5">
      <c r="B15436" s="121">
        <v>1300</v>
      </c>
      <c r="C15436" s="121">
        <v>18</v>
      </c>
      <c r="D15436" s="734">
        <v>136.68470038765292</v>
      </c>
      <c r="E15436" s="733"/>
    </row>
    <row r="15437" spans="2:5">
      <c r="B15437" s="121">
        <v>1300</v>
      </c>
      <c r="C15437" s="121">
        <v>19</v>
      </c>
      <c r="D15437" s="734">
        <v>143.95227126784596</v>
      </c>
      <c r="E15437" s="733"/>
    </row>
    <row r="15438" spans="2:5">
      <c r="B15438" s="121">
        <v>1300</v>
      </c>
      <c r="C15438" s="121">
        <v>20</v>
      </c>
      <c r="D15438" s="734">
        <v>134.22959803267756</v>
      </c>
      <c r="E15438" s="733"/>
    </row>
    <row r="15439" spans="2:5">
      <c r="B15439" s="121">
        <v>1300</v>
      </c>
      <c r="C15439" s="121">
        <v>21</v>
      </c>
      <c r="D15439" s="734">
        <v>142.77730696578661</v>
      </c>
      <c r="E15439" s="733"/>
    </row>
    <row r="15440" spans="2:5">
      <c r="B15440" s="121">
        <v>1300</v>
      </c>
      <c r="C15440" s="121">
        <v>22</v>
      </c>
      <c r="D15440" s="734">
        <v>139.72532311829508</v>
      </c>
      <c r="E15440" s="733"/>
    </row>
    <row r="15441" spans="2:5">
      <c r="B15441" s="121">
        <v>1300</v>
      </c>
      <c r="C15441" s="121">
        <v>23</v>
      </c>
      <c r="D15441" s="734">
        <v>141.70793010239279</v>
      </c>
      <c r="E15441" s="733"/>
    </row>
    <row r="15442" spans="2:5">
      <c r="B15442" s="121">
        <v>1300</v>
      </c>
      <c r="C15442" s="121">
        <v>24</v>
      </c>
      <c r="D15442" s="734">
        <v>139.53124609243247</v>
      </c>
      <c r="E15442" s="733"/>
    </row>
    <row r="15443" spans="2:5">
      <c r="B15443" s="121">
        <v>1300</v>
      </c>
      <c r="C15443" s="121">
        <v>25</v>
      </c>
      <c r="D15443" s="734">
        <v>143.67558237562619</v>
      </c>
      <c r="E15443" s="733"/>
    </row>
    <row r="15444" spans="2:5">
      <c r="B15444" s="121">
        <v>1300</v>
      </c>
      <c r="C15444" s="121">
        <v>26</v>
      </c>
      <c r="D15444" s="734">
        <v>138.65644595694999</v>
      </c>
      <c r="E15444" s="733"/>
    </row>
    <row r="15445" spans="2:5">
      <c r="B15445" s="121">
        <v>1300</v>
      </c>
      <c r="C15445" s="121">
        <v>27</v>
      </c>
      <c r="D15445" s="734">
        <v>140.22842802258876</v>
      </c>
      <c r="E15445" s="733"/>
    </row>
    <row r="15446" spans="2:5">
      <c r="B15446" s="121">
        <v>1300</v>
      </c>
      <c r="C15446" s="121">
        <v>28</v>
      </c>
      <c r="D15446" s="734">
        <v>143.09184243316693</v>
      </c>
      <c r="E15446" s="733"/>
    </row>
    <row r="15447" spans="2:5">
      <c r="B15447" s="121">
        <v>1300</v>
      </c>
      <c r="C15447" s="121">
        <v>29</v>
      </c>
      <c r="D15447" s="734">
        <v>140.50546846524173</v>
      </c>
      <c r="E15447" s="733"/>
    </row>
    <row r="15448" spans="2:5">
      <c r="B15448" s="121">
        <v>1300</v>
      </c>
      <c r="C15448" s="121">
        <v>30</v>
      </c>
      <c r="D15448" s="734">
        <v>134.94755782232397</v>
      </c>
      <c r="E15448" s="733"/>
    </row>
    <row r="15449" spans="2:5">
      <c r="B15449" s="121">
        <v>1300</v>
      </c>
      <c r="C15449" s="121">
        <v>31</v>
      </c>
      <c r="D15449" s="734">
        <v>138.72717354876374</v>
      </c>
      <c r="E15449" s="733"/>
    </row>
    <row r="15450" spans="2:5">
      <c r="B15450" s="121">
        <v>1300</v>
      </c>
      <c r="C15450" s="121">
        <v>32</v>
      </c>
      <c r="D15450" s="734">
        <v>137.2520290466787</v>
      </c>
      <c r="E15450" s="733"/>
    </row>
    <row r="15451" spans="2:5">
      <c r="B15451" s="121">
        <v>1300</v>
      </c>
      <c r="C15451" s="121">
        <v>33</v>
      </c>
      <c r="D15451" s="734">
        <v>135.24800151834017</v>
      </c>
      <c r="E15451" s="733"/>
    </row>
    <row r="15452" spans="2:5">
      <c r="B15452" s="121">
        <v>1300</v>
      </c>
      <c r="C15452" s="121">
        <v>34</v>
      </c>
      <c r="D15452" s="734">
        <v>135.90073137722075</v>
      </c>
      <c r="E15452" s="733"/>
    </row>
    <row r="15453" spans="2:5">
      <c r="B15453" s="121">
        <v>1300</v>
      </c>
      <c r="C15453" s="121">
        <v>35</v>
      </c>
      <c r="D15453" s="734">
        <v>142.44148824263033</v>
      </c>
      <c r="E15453" s="733"/>
    </row>
    <row r="15454" spans="2:5">
      <c r="B15454" s="121">
        <v>1300</v>
      </c>
      <c r="C15454" s="121">
        <v>36</v>
      </c>
      <c r="D15454" s="734">
        <v>144.58984658619931</v>
      </c>
      <c r="E15454" s="733"/>
    </row>
    <row r="15455" spans="2:5">
      <c r="B15455" s="121">
        <v>1301</v>
      </c>
      <c r="C15455" s="121">
        <v>1</v>
      </c>
      <c r="D15455" s="734">
        <v>5</v>
      </c>
      <c r="E15455" s="733"/>
    </row>
    <row r="15456" spans="2:5">
      <c r="B15456" s="121">
        <v>1301</v>
      </c>
      <c r="C15456" s="121">
        <v>2</v>
      </c>
      <c r="D15456" s="734">
        <v>103.23854672689039</v>
      </c>
      <c r="E15456" s="733"/>
    </row>
    <row r="15457" spans="2:5">
      <c r="B15457" s="121">
        <v>1301</v>
      </c>
      <c r="C15457" s="121">
        <v>3</v>
      </c>
      <c r="D15457" s="734">
        <v>122.90381707293848</v>
      </c>
      <c r="E15457" s="733"/>
    </row>
    <row r="15458" spans="2:5">
      <c r="B15458" s="121">
        <v>1301</v>
      </c>
      <c r="C15458" s="121">
        <v>4</v>
      </c>
      <c r="D15458" s="734">
        <v>146.84471904811113</v>
      </c>
      <c r="E15458" s="733"/>
    </row>
    <row r="15459" spans="2:5">
      <c r="B15459" s="121">
        <v>1301</v>
      </c>
      <c r="C15459" s="121">
        <v>5</v>
      </c>
      <c r="D15459" s="734">
        <v>137.64624704837595</v>
      </c>
      <c r="E15459" s="733"/>
    </row>
    <row r="15460" spans="2:5">
      <c r="B15460" s="121">
        <v>1301</v>
      </c>
      <c r="C15460" s="121">
        <v>6</v>
      </c>
      <c r="D15460" s="734">
        <v>134.83850891694155</v>
      </c>
      <c r="E15460" s="733"/>
    </row>
    <row r="15461" spans="2:5">
      <c r="B15461" s="121">
        <v>1301</v>
      </c>
      <c r="C15461" s="121">
        <v>7</v>
      </c>
      <c r="D15461" s="734">
        <v>137.73436157053462</v>
      </c>
      <c r="E15461" s="733"/>
    </row>
    <row r="15462" spans="2:5">
      <c r="B15462" s="121">
        <v>1301</v>
      </c>
      <c r="C15462" s="121">
        <v>8</v>
      </c>
      <c r="D15462" s="734">
        <v>144.91111913413658</v>
      </c>
      <c r="E15462" s="733"/>
    </row>
    <row r="15463" spans="2:5">
      <c r="B15463" s="121">
        <v>1301</v>
      </c>
      <c r="C15463" s="121">
        <v>9</v>
      </c>
      <c r="D15463" s="734">
        <v>136.61930502429232</v>
      </c>
      <c r="E15463" s="733"/>
    </row>
    <row r="15464" spans="2:5">
      <c r="B15464" s="121">
        <v>1301</v>
      </c>
      <c r="C15464" s="121">
        <v>10</v>
      </c>
      <c r="D15464" s="734">
        <v>146.59314431994554</v>
      </c>
      <c r="E15464" s="733"/>
    </row>
    <row r="15465" spans="2:5">
      <c r="B15465" s="121">
        <v>1301</v>
      </c>
      <c r="C15465" s="121">
        <v>11</v>
      </c>
      <c r="D15465" s="734">
        <v>134.72939488756282</v>
      </c>
      <c r="E15465" s="733"/>
    </row>
    <row r="15466" spans="2:5">
      <c r="B15466" s="121">
        <v>1301</v>
      </c>
      <c r="C15466" s="121">
        <v>12</v>
      </c>
      <c r="D15466" s="734">
        <v>141.8818021671687</v>
      </c>
      <c r="E15466" s="733"/>
    </row>
    <row r="15467" spans="2:5">
      <c r="B15467" s="121">
        <v>1301</v>
      </c>
      <c r="C15467" s="121">
        <v>13</v>
      </c>
      <c r="D15467" s="734">
        <v>145.7480031143358</v>
      </c>
      <c r="E15467" s="733"/>
    </row>
    <row r="15468" spans="2:5">
      <c r="B15468" s="121">
        <v>1301</v>
      </c>
      <c r="C15468" s="121">
        <v>14</v>
      </c>
      <c r="D15468" s="734">
        <v>142.65590262988678</v>
      </c>
      <c r="E15468" s="733"/>
    </row>
    <row r="15469" spans="2:5">
      <c r="B15469" s="121">
        <v>1301</v>
      </c>
      <c r="C15469" s="121">
        <v>15</v>
      </c>
      <c r="D15469" s="734">
        <v>147.08778754363169</v>
      </c>
      <c r="E15469" s="733"/>
    </row>
    <row r="15470" spans="2:5">
      <c r="B15470" s="121">
        <v>1301</v>
      </c>
      <c r="C15470" s="121">
        <v>16</v>
      </c>
      <c r="D15470" s="734">
        <v>135.80623459507981</v>
      </c>
      <c r="E15470" s="733"/>
    </row>
    <row r="15471" spans="2:5">
      <c r="B15471" s="121">
        <v>1302</v>
      </c>
      <c r="C15471" s="121">
        <v>1</v>
      </c>
      <c r="D15471" s="734">
        <v>5</v>
      </c>
      <c r="E15471" s="733"/>
    </row>
    <row r="15472" spans="2:5">
      <c r="B15472" s="121">
        <v>1303</v>
      </c>
      <c r="C15472" s="121">
        <v>1</v>
      </c>
      <c r="D15472" s="734">
        <v>5</v>
      </c>
      <c r="E15472" s="733"/>
    </row>
    <row r="15473" spans="2:5">
      <c r="B15473" s="121">
        <v>1304</v>
      </c>
      <c r="C15473" s="121">
        <v>1</v>
      </c>
      <c r="D15473" s="734">
        <v>5</v>
      </c>
      <c r="E15473" s="733"/>
    </row>
    <row r="15474" spans="2:5">
      <c r="B15474" s="121">
        <v>1305</v>
      </c>
      <c r="C15474" s="121">
        <v>1</v>
      </c>
      <c r="D15474" s="734">
        <v>5</v>
      </c>
      <c r="E15474" s="733"/>
    </row>
    <row r="15475" spans="2:5">
      <c r="B15475" s="121">
        <v>1305</v>
      </c>
      <c r="C15475" s="121">
        <v>2</v>
      </c>
      <c r="D15475" s="734">
        <v>95.40020563982236</v>
      </c>
      <c r="E15475" s="733"/>
    </row>
    <row r="15476" spans="2:5">
      <c r="B15476" s="121">
        <v>1305</v>
      </c>
      <c r="C15476" s="121">
        <v>3</v>
      </c>
      <c r="D15476" s="734">
        <v>122.9531338288725</v>
      </c>
      <c r="E15476" s="733"/>
    </row>
    <row r="15477" spans="2:5">
      <c r="B15477" s="121">
        <v>1305</v>
      </c>
      <c r="C15477" s="121">
        <v>4</v>
      </c>
      <c r="D15477" s="734">
        <v>144.22800122013228</v>
      </c>
      <c r="E15477" s="733"/>
    </row>
    <row r="15478" spans="2:5">
      <c r="B15478" s="121">
        <v>1305</v>
      </c>
      <c r="C15478" s="121">
        <v>5</v>
      </c>
      <c r="D15478" s="734">
        <v>137.45163746550273</v>
      </c>
      <c r="E15478" s="733"/>
    </row>
    <row r="15479" spans="2:5">
      <c r="B15479" s="121">
        <v>1305</v>
      </c>
      <c r="C15479" s="121">
        <v>6</v>
      </c>
      <c r="D15479" s="734">
        <v>143.88878250255866</v>
      </c>
      <c r="E15479" s="733"/>
    </row>
    <row r="15480" spans="2:5">
      <c r="B15480" s="121">
        <v>1305</v>
      </c>
      <c r="C15480" s="121">
        <v>7</v>
      </c>
      <c r="D15480" s="734">
        <v>147.04499809363813</v>
      </c>
      <c r="E15480" s="733"/>
    </row>
    <row r="15481" spans="2:5">
      <c r="B15481" s="121">
        <v>1305</v>
      </c>
      <c r="C15481" s="121">
        <v>8</v>
      </c>
      <c r="D15481" s="734">
        <v>141.84642186785172</v>
      </c>
      <c r="E15481" s="733"/>
    </row>
    <row r="15482" spans="2:5">
      <c r="B15482" s="121">
        <v>1305</v>
      </c>
      <c r="C15482" s="121">
        <v>9</v>
      </c>
      <c r="D15482" s="734">
        <v>136.248799832987</v>
      </c>
      <c r="E15482" s="733"/>
    </row>
    <row r="15483" spans="2:5">
      <c r="B15483" s="121">
        <v>1305</v>
      </c>
      <c r="C15483" s="121">
        <v>10</v>
      </c>
      <c r="D15483" s="734">
        <v>135.42717518788243</v>
      </c>
      <c r="E15483" s="733"/>
    </row>
    <row r="15484" spans="2:5">
      <c r="B15484" s="121">
        <v>1305</v>
      </c>
      <c r="C15484" s="121">
        <v>11</v>
      </c>
      <c r="D15484" s="734">
        <v>134.54758432222971</v>
      </c>
      <c r="E15484" s="733"/>
    </row>
    <row r="15485" spans="2:5">
      <c r="B15485" s="121">
        <v>1305</v>
      </c>
      <c r="C15485" s="121">
        <v>12</v>
      </c>
      <c r="D15485" s="734">
        <v>141.32215940814763</v>
      </c>
      <c r="E15485" s="733"/>
    </row>
    <row r="15486" spans="2:5">
      <c r="B15486" s="121">
        <v>1305</v>
      </c>
      <c r="C15486" s="121">
        <v>13</v>
      </c>
      <c r="D15486" s="734">
        <v>136.83309195556487</v>
      </c>
      <c r="E15486" s="733"/>
    </row>
    <row r="15487" spans="2:5">
      <c r="B15487" s="121">
        <v>1305</v>
      </c>
      <c r="C15487" s="121">
        <v>14</v>
      </c>
      <c r="D15487" s="734">
        <v>139.1893425197056</v>
      </c>
      <c r="E15487" s="733"/>
    </row>
    <row r="15488" spans="2:5">
      <c r="B15488" s="121">
        <v>1305</v>
      </c>
      <c r="C15488" s="121">
        <v>15</v>
      </c>
      <c r="D15488" s="734">
        <v>142.69252403721205</v>
      </c>
      <c r="E15488" s="733"/>
    </row>
    <row r="15489" spans="2:5">
      <c r="B15489" s="121">
        <v>1305</v>
      </c>
      <c r="C15489" s="121">
        <v>16</v>
      </c>
      <c r="D15489" s="734">
        <v>142.65342646614084</v>
      </c>
      <c r="E15489" s="733"/>
    </row>
    <row r="15490" spans="2:5">
      <c r="B15490" s="121">
        <v>1305</v>
      </c>
      <c r="C15490" s="121">
        <v>17</v>
      </c>
      <c r="D15490" s="734">
        <v>138.05313454369357</v>
      </c>
      <c r="E15490" s="733"/>
    </row>
    <row r="15491" spans="2:5">
      <c r="B15491" s="121">
        <v>1305</v>
      </c>
      <c r="C15491" s="121">
        <v>18</v>
      </c>
      <c r="D15491" s="734">
        <v>142.32411702527074</v>
      </c>
      <c r="E15491" s="733"/>
    </row>
    <row r="15492" spans="2:5">
      <c r="B15492" s="121">
        <v>1305</v>
      </c>
      <c r="C15492" s="121">
        <v>19</v>
      </c>
      <c r="D15492" s="734">
        <v>141.74162551846499</v>
      </c>
      <c r="E15492" s="733"/>
    </row>
    <row r="15493" spans="2:5">
      <c r="B15493" s="121">
        <v>1305</v>
      </c>
      <c r="C15493" s="121">
        <v>20</v>
      </c>
      <c r="D15493" s="734">
        <v>142.03688713811164</v>
      </c>
      <c r="E15493" s="733"/>
    </row>
    <row r="15494" spans="2:5">
      <c r="B15494" s="121">
        <v>1305</v>
      </c>
      <c r="C15494" s="121">
        <v>21</v>
      </c>
      <c r="D15494" s="734">
        <v>141.30443122189521</v>
      </c>
      <c r="E15494" s="733"/>
    </row>
    <row r="15495" spans="2:5">
      <c r="B15495" s="121">
        <v>1305</v>
      </c>
      <c r="C15495" s="121">
        <v>22</v>
      </c>
      <c r="D15495" s="734">
        <v>146.49514231736663</v>
      </c>
      <c r="E15495" s="733"/>
    </row>
    <row r="15496" spans="2:5">
      <c r="B15496" s="121">
        <v>1305</v>
      </c>
      <c r="C15496" s="121">
        <v>23</v>
      </c>
      <c r="D15496" s="734">
        <v>142.71353907563557</v>
      </c>
      <c r="E15496" s="733"/>
    </row>
    <row r="15497" spans="2:5">
      <c r="B15497" s="121">
        <v>1305</v>
      </c>
      <c r="C15497" s="121">
        <v>24</v>
      </c>
      <c r="D15497" s="734">
        <v>137.80678798303626</v>
      </c>
      <c r="E15497" s="733"/>
    </row>
    <row r="15498" spans="2:5">
      <c r="B15498" s="121">
        <v>1305</v>
      </c>
      <c r="C15498" s="121">
        <v>25</v>
      </c>
      <c r="D15498" s="734">
        <v>147.03289206490564</v>
      </c>
      <c r="E15498" s="733"/>
    </row>
    <row r="15499" spans="2:5">
      <c r="B15499" s="121">
        <v>1305</v>
      </c>
      <c r="C15499" s="121">
        <v>26</v>
      </c>
      <c r="D15499" s="734">
        <v>143.57618729585627</v>
      </c>
      <c r="E15499" s="733"/>
    </row>
    <row r="15500" spans="2:5">
      <c r="B15500" s="121">
        <v>1305</v>
      </c>
      <c r="C15500" s="121">
        <v>27</v>
      </c>
      <c r="D15500" s="734">
        <v>137.28588495042399</v>
      </c>
      <c r="E15500" s="733"/>
    </row>
    <row r="15501" spans="2:5">
      <c r="B15501" s="121">
        <v>1305</v>
      </c>
      <c r="C15501" s="121">
        <v>28</v>
      </c>
      <c r="D15501" s="734">
        <v>135.71114700169466</v>
      </c>
      <c r="E15501" s="733"/>
    </row>
    <row r="15502" spans="2:5">
      <c r="B15502" s="121">
        <v>1305</v>
      </c>
      <c r="C15502" s="121">
        <v>29</v>
      </c>
      <c r="D15502" s="734">
        <v>146.64396789508191</v>
      </c>
      <c r="E15502" s="733"/>
    </row>
    <row r="15503" spans="2:5">
      <c r="B15503" s="121">
        <v>1305</v>
      </c>
      <c r="C15503" s="121">
        <v>30</v>
      </c>
      <c r="D15503" s="734">
        <v>145.4007202276789</v>
      </c>
      <c r="E15503" s="733"/>
    </row>
    <row r="15504" spans="2:5">
      <c r="B15504" s="121">
        <v>1305</v>
      </c>
      <c r="C15504" s="121">
        <v>31</v>
      </c>
      <c r="D15504" s="734">
        <v>146.73077654884463</v>
      </c>
      <c r="E15504" s="733"/>
    </row>
    <row r="15505" spans="2:5">
      <c r="B15505" s="121">
        <v>1305</v>
      </c>
      <c r="C15505" s="121">
        <v>32</v>
      </c>
      <c r="D15505" s="734">
        <v>133.91539982552484</v>
      </c>
      <c r="E15505" s="733"/>
    </row>
    <row r="15506" spans="2:5">
      <c r="B15506" s="121">
        <v>1305</v>
      </c>
      <c r="C15506" s="121">
        <v>33</v>
      </c>
      <c r="D15506" s="734">
        <v>143.44219631703166</v>
      </c>
      <c r="E15506" s="733"/>
    </row>
    <row r="15507" spans="2:5">
      <c r="B15507" s="121">
        <v>1305</v>
      </c>
      <c r="C15507" s="121">
        <v>34</v>
      </c>
      <c r="D15507" s="734">
        <v>136.98098717768633</v>
      </c>
      <c r="E15507" s="733"/>
    </row>
    <row r="15508" spans="2:5">
      <c r="B15508" s="121">
        <v>1305</v>
      </c>
      <c r="C15508" s="121">
        <v>35</v>
      </c>
      <c r="D15508" s="734">
        <v>144.50957218038644</v>
      </c>
      <c r="E15508" s="733"/>
    </row>
    <row r="15509" spans="2:5">
      <c r="B15509" s="121">
        <v>1305</v>
      </c>
      <c r="C15509" s="121">
        <v>36</v>
      </c>
      <c r="D15509" s="734">
        <v>137.73467380003541</v>
      </c>
      <c r="E15509" s="733"/>
    </row>
    <row r="15510" spans="2:5">
      <c r="B15510" s="121">
        <v>1306</v>
      </c>
      <c r="C15510" s="121">
        <v>1</v>
      </c>
      <c r="D15510" s="734">
        <v>5</v>
      </c>
      <c r="E15510" s="733"/>
    </row>
    <row r="15511" spans="2:5">
      <c r="B15511" s="121">
        <v>1306</v>
      </c>
      <c r="C15511" s="121">
        <v>2</v>
      </c>
      <c r="D15511" s="734">
        <v>101.59805551814767</v>
      </c>
      <c r="E15511" s="733"/>
    </row>
    <row r="15512" spans="2:5">
      <c r="B15512" s="121">
        <v>1306</v>
      </c>
      <c r="C15512" s="121">
        <v>3</v>
      </c>
      <c r="D15512" s="734">
        <v>119.63229128621136</v>
      </c>
      <c r="E15512" s="733"/>
    </row>
    <row r="15513" spans="2:5">
      <c r="B15513" s="121">
        <v>1306</v>
      </c>
      <c r="C15513" s="121">
        <v>4</v>
      </c>
      <c r="D15513" s="734">
        <v>135.98547273678309</v>
      </c>
      <c r="E15513" s="733"/>
    </row>
    <row r="15514" spans="2:5">
      <c r="B15514" s="121">
        <v>1306</v>
      </c>
      <c r="C15514" s="121">
        <v>5</v>
      </c>
      <c r="D15514" s="734">
        <v>143.94134822304287</v>
      </c>
      <c r="E15514" s="733"/>
    </row>
    <row r="15515" spans="2:5">
      <c r="B15515" s="121">
        <v>1306</v>
      </c>
      <c r="C15515" s="121">
        <v>6</v>
      </c>
      <c r="D15515" s="734">
        <v>140.43125106522731</v>
      </c>
      <c r="E15515" s="733"/>
    </row>
    <row r="15516" spans="2:5">
      <c r="B15516" s="121">
        <v>1306</v>
      </c>
      <c r="C15516" s="121">
        <v>7</v>
      </c>
      <c r="D15516" s="734">
        <v>145.49875157054956</v>
      </c>
      <c r="E15516" s="733"/>
    </row>
    <row r="15517" spans="2:5">
      <c r="B15517" s="121">
        <v>1306</v>
      </c>
      <c r="C15517" s="121">
        <v>8</v>
      </c>
      <c r="D15517" s="734">
        <v>135.51280404045701</v>
      </c>
      <c r="E15517" s="733"/>
    </row>
    <row r="15518" spans="2:5">
      <c r="B15518" s="121">
        <v>1306</v>
      </c>
      <c r="C15518" s="121">
        <v>9</v>
      </c>
      <c r="D15518" s="734">
        <v>143.30946187655456</v>
      </c>
      <c r="E15518" s="733"/>
    </row>
    <row r="15519" spans="2:5">
      <c r="B15519" s="121">
        <v>1306</v>
      </c>
      <c r="C15519" s="121">
        <v>10</v>
      </c>
      <c r="D15519" s="734">
        <v>136.22039758321134</v>
      </c>
      <c r="E15519" s="733"/>
    </row>
    <row r="15520" spans="2:5">
      <c r="B15520" s="121">
        <v>1306</v>
      </c>
      <c r="C15520" s="121">
        <v>11</v>
      </c>
      <c r="D15520" s="734">
        <v>143.78305538478472</v>
      </c>
      <c r="E15520" s="733"/>
    </row>
    <row r="15521" spans="2:5">
      <c r="B15521" s="121">
        <v>1306</v>
      </c>
      <c r="C15521" s="121">
        <v>12</v>
      </c>
      <c r="D15521" s="734">
        <v>134.32532849241792</v>
      </c>
      <c r="E15521" s="733"/>
    </row>
    <row r="15522" spans="2:5">
      <c r="B15522" s="121">
        <v>1306</v>
      </c>
      <c r="C15522" s="121">
        <v>13</v>
      </c>
      <c r="D15522" s="734">
        <v>134.29908692752747</v>
      </c>
      <c r="E15522" s="733"/>
    </row>
    <row r="15523" spans="2:5">
      <c r="B15523" s="121">
        <v>1306</v>
      </c>
      <c r="C15523" s="121">
        <v>14</v>
      </c>
      <c r="D15523" s="734">
        <v>145.94315291268987</v>
      </c>
      <c r="E15523" s="733"/>
    </row>
    <row r="15524" spans="2:5">
      <c r="B15524" s="121">
        <v>1306</v>
      </c>
      <c r="C15524" s="121">
        <v>15</v>
      </c>
      <c r="D15524" s="734">
        <v>141.83296497411948</v>
      </c>
      <c r="E15524" s="733"/>
    </row>
    <row r="15525" spans="2:5">
      <c r="B15525" s="121">
        <v>1306</v>
      </c>
      <c r="C15525" s="121">
        <v>16</v>
      </c>
      <c r="D15525" s="734">
        <v>134.85284341084665</v>
      </c>
      <c r="E15525" s="733"/>
    </row>
    <row r="15526" spans="2:5">
      <c r="B15526" s="121">
        <v>1306</v>
      </c>
      <c r="C15526" s="121">
        <v>17</v>
      </c>
      <c r="D15526" s="734">
        <v>139.30030838910741</v>
      </c>
      <c r="E15526" s="733"/>
    </row>
    <row r="15527" spans="2:5">
      <c r="B15527" s="121">
        <v>1306</v>
      </c>
      <c r="C15527" s="121">
        <v>18</v>
      </c>
      <c r="D15527" s="734">
        <v>143.38195372779859</v>
      </c>
      <c r="E15527" s="733"/>
    </row>
    <row r="15528" spans="2:5">
      <c r="B15528" s="121">
        <v>1306</v>
      </c>
      <c r="C15528" s="121">
        <v>19</v>
      </c>
      <c r="D15528" s="734">
        <v>145.28775762169423</v>
      </c>
      <c r="E15528" s="733"/>
    </row>
    <row r="15529" spans="2:5">
      <c r="B15529" s="121">
        <v>1306</v>
      </c>
      <c r="C15529" s="121">
        <v>20</v>
      </c>
      <c r="D15529" s="734">
        <v>135.68401716065125</v>
      </c>
      <c r="E15529" s="733"/>
    </row>
    <row r="15530" spans="2:5">
      <c r="B15530" s="121">
        <v>1307</v>
      </c>
      <c r="C15530" s="121">
        <v>1</v>
      </c>
      <c r="D15530" s="734">
        <v>5</v>
      </c>
      <c r="E15530" s="733"/>
    </row>
    <row r="15531" spans="2:5">
      <c r="B15531" s="121">
        <v>1307</v>
      </c>
      <c r="C15531" s="121">
        <v>2</v>
      </c>
      <c r="D15531" s="734">
        <v>100.13004576969395</v>
      </c>
      <c r="E15531" s="733"/>
    </row>
    <row r="15532" spans="2:5">
      <c r="B15532" s="121">
        <v>1307</v>
      </c>
      <c r="C15532" s="121">
        <v>3</v>
      </c>
      <c r="D15532" s="734">
        <v>118.19490097152998</v>
      </c>
      <c r="E15532" s="733"/>
    </row>
    <row r="15533" spans="2:5">
      <c r="B15533" s="121">
        <v>1307</v>
      </c>
      <c r="C15533" s="121">
        <v>4</v>
      </c>
      <c r="D15533" s="734">
        <v>143.06229451799467</v>
      </c>
      <c r="E15533" s="733"/>
    </row>
    <row r="15534" spans="2:5">
      <c r="B15534" s="121">
        <v>1307</v>
      </c>
      <c r="C15534" s="121">
        <v>5</v>
      </c>
      <c r="D15534" s="734">
        <v>136.4668347386758</v>
      </c>
      <c r="E15534" s="733"/>
    </row>
    <row r="15535" spans="2:5">
      <c r="B15535" s="121">
        <v>1307</v>
      </c>
      <c r="C15535" s="121">
        <v>6</v>
      </c>
      <c r="D15535" s="734">
        <v>144.6525365102369</v>
      </c>
      <c r="E15535" s="733"/>
    </row>
    <row r="15536" spans="2:5">
      <c r="B15536" s="121">
        <v>1307</v>
      </c>
      <c r="C15536" s="121">
        <v>7</v>
      </c>
      <c r="D15536" s="734">
        <v>143.36780687135069</v>
      </c>
      <c r="E15536" s="733"/>
    </row>
    <row r="15537" spans="2:5">
      <c r="B15537" s="121">
        <v>1307</v>
      </c>
      <c r="C15537" s="121">
        <v>8</v>
      </c>
      <c r="D15537" s="734">
        <v>140.05279496798246</v>
      </c>
      <c r="E15537" s="733"/>
    </row>
    <row r="15538" spans="2:5">
      <c r="B15538" s="121">
        <v>1307</v>
      </c>
      <c r="C15538" s="121">
        <v>9</v>
      </c>
      <c r="D15538" s="734">
        <v>145.26292629751632</v>
      </c>
      <c r="E15538" s="733"/>
    </row>
    <row r="15539" spans="2:5">
      <c r="B15539" s="121">
        <v>1307</v>
      </c>
      <c r="C15539" s="121">
        <v>10</v>
      </c>
      <c r="D15539" s="734">
        <v>134.74732622519335</v>
      </c>
      <c r="E15539" s="733"/>
    </row>
    <row r="15540" spans="2:5">
      <c r="B15540" s="121">
        <v>1307</v>
      </c>
      <c r="C15540" s="121">
        <v>11</v>
      </c>
      <c r="D15540" s="734">
        <v>142.31727839582729</v>
      </c>
      <c r="E15540" s="733"/>
    </row>
    <row r="15541" spans="2:5">
      <c r="B15541" s="121">
        <v>1307</v>
      </c>
      <c r="C15541" s="121">
        <v>12</v>
      </c>
      <c r="D15541" s="734">
        <v>137.41932162549651</v>
      </c>
      <c r="E15541" s="733"/>
    </row>
    <row r="15542" spans="2:5">
      <c r="B15542" s="121">
        <v>1307</v>
      </c>
      <c r="C15542" s="121">
        <v>13</v>
      </c>
      <c r="D15542" s="734">
        <v>139.76662843733942</v>
      </c>
      <c r="E15542" s="733"/>
    </row>
    <row r="15543" spans="2:5">
      <c r="B15543" s="121">
        <v>1307</v>
      </c>
      <c r="C15543" s="121">
        <v>14</v>
      </c>
      <c r="D15543" s="734">
        <v>136.91596704684417</v>
      </c>
      <c r="E15543" s="733"/>
    </row>
    <row r="15544" spans="2:5">
      <c r="B15544" s="121">
        <v>1307</v>
      </c>
      <c r="C15544" s="121">
        <v>15</v>
      </c>
      <c r="D15544" s="734">
        <v>140.77650869988472</v>
      </c>
      <c r="E15544" s="733"/>
    </row>
    <row r="15545" spans="2:5">
      <c r="B15545" s="121">
        <v>1307</v>
      </c>
      <c r="C15545" s="121">
        <v>16</v>
      </c>
      <c r="D15545" s="734">
        <v>145.62685550719678</v>
      </c>
      <c r="E15545" s="733"/>
    </row>
    <row r="15546" spans="2:5">
      <c r="B15546" s="121">
        <v>1307</v>
      </c>
      <c r="C15546" s="121">
        <v>17</v>
      </c>
      <c r="D15546" s="734">
        <v>137.84548952975865</v>
      </c>
      <c r="E15546" s="733"/>
    </row>
    <row r="15547" spans="2:5">
      <c r="B15547" s="121">
        <v>1307</v>
      </c>
      <c r="C15547" s="121">
        <v>18</v>
      </c>
      <c r="D15547" s="734">
        <v>144.98205591259935</v>
      </c>
      <c r="E15547" s="733"/>
    </row>
    <row r="15548" spans="2:5">
      <c r="B15548" s="121">
        <v>1307</v>
      </c>
      <c r="C15548" s="121">
        <v>19</v>
      </c>
      <c r="D15548" s="734">
        <v>145.62775311047997</v>
      </c>
      <c r="E15548" s="733"/>
    </row>
    <row r="15549" spans="2:5">
      <c r="B15549" s="121">
        <v>1307</v>
      </c>
      <c r="C15549" s="121">
        <v>20</v>
      </c>
      <c r="D15549" s="734">
        <v>140.22112766347067</v>
      </c>
      <c r="E15549" s="733"/>
    </row>
    <row r="15550" spans="2:5">
      <c r="B15550" s="121">
        <v>1307</v>
      </c>
      <c r="C15550" s="121">
        <v>21</v>
      </c>
      <c r="D15550" s="734">
        <v>134.69644546534192</v>
      </c>
      <c r="E15550" s="733"/>
    </row>
    <row r="15551" spans="2:5">
      <c r="B15551" s="121">
        <v>1307</v>
      </c>
      <c r="C15551" s="121">
        <v>22</v>
      </c>
      <c r="D15551" s="734">
        <v>135.79979178288303</v>
      </c>
      <c r="E15551" s="733"/>
    </row>
    <row r="15552" spans="2:5">
      <c r="B15552" s="121">
        <v>1307</v>
      </c>
      <c r="C15552" s="121">
        <v>23</v>
      </c>
      <c r="D15552" s="734">
        <v>134.19693138152138</v>
      </c>
      <c r="E15552" s="733"/>
    </row>
    <row r="15553" spans="2:5">
      <c r="B15553" s="121">
        <v>1307</v>
      </c>
      <c r="C15553" s="121">
        <v>24</v>
      </c>
      <c r="D15553" s="734">
        <v>142.59218140047659</v>
      </c>
      <c r="E15553" s="733"/>
    </row>
    <row r="15554" spans="2:5">
      <c r="B15554" s="121">
        <v>1307</v>
      </c>
      <c r="C15554" s="121">
        <v>25</v>
      </c>
      <c r="D15554" s="734">
        <v>135.54673366876565</v>
      </c>
      <c r="E15554" s="733"/>
    </row>
    <row r="15555" spans="2:5">
      <c r="B15555" s="121">
        <v>1307</v>
      </c>
      <c r="C15555" s="121">
        <v>26</v>
      </c>
      <c r="D15555" s="734">
        <v>140.80985086644895</v>
      </c>
      <c r="E15555" s="733"/>
    </row>
    <row r="15556" spans="2:5">
      <c r="B15556" s="121">
        <v>1307</v>
      </c>
      <c r="C15556" s="121">
        <v>27</v>
      </c>
      <c r="D15556" s="734">
        <v>136.84738735717244</v>
      </c>
      <c r="E15556" s="733"/>
    </row>
    <row r="15557" spans="2:5">
      <c r="B15557" s="121">
        <v>1307</v>
      </c>
      <c r="C15557" s="121">
        <v>28</v>
      </c>
      <c r="D15557" s="734">
        <v>140.68955774953045</v>
      </c>
      <c r="E15557" s="733"/>
    </row>
    <row r="15558" spans="2:5">
      <c r="B15558" s="121">
        <v>1307</v>
      </c>
      <c r="C15558" s="121">
        <v>29</v>
      </c>
      <c r="D15558" s="734">
        <v>139.00182992802004</v>
      </c>
      <c r="E15558" s="733"/>
    </row>
    <row r="15559" spans="2:5">
      <c r="B15559" s="121">
        <v>1307</v>
      </c>
      <c r="C15559" s="121">
        <v>30</v>
      </c>
      <c r="D15559" s="734">
        <v>142.55155880243697</v>
      </c>
      <c r="E15559" s="733"/>
    </row>
    <row r="15560" spans="2:5">
      <c r="B15560" s="121">
        <v>1307</v>
      </c>
      <c r="C15560" s="121">
        <v>31</v>
      </c>
      <c r="D15560" s="734">
        <v>135.61007129571956</v>
      </c>
      <c r="E15560" s="733"/>
    </row>
    <row r="15561" spans="2:5">
      <c r="B15561" s="121">
        <v>1307</v>
      </c>
      <c r="C15561" s="121">
        <v>32</v>
      </c>
      <c r="D15561" s="734">
        <v>138.45190325035875</v>
      </c>
      <c r="E15561" s="733"/>
    </row>
    <row r="15562" spans="2:5">
      <c r="B15562" s="121">
        <v>1307</v>
      </c>
      <c r="C15562" s="121">
        <v>33</v>
      </c>
      <c r="D15562" s="734">
        <v>146.66764621761476</v>
      </c>
      <c r="E15562" s="733"/>
    </row>
    <row r="15563" spans="2:5">
      <c r="B15563" s="121">
        <v>1307</v>
      </c>
      <c r="C15563" s="121">
        <v>34</v>
      </c>
      <c r="D15563" s="734">
        <v>142.78588344104097</v>
      </c>
      <c r="E15563" s="733"/>
    </row>
    <row r="15564" spans="2:5">
      <c r="B15564" s="121">
        <v>1307</v>
      </c>
      <c r="C15564" s="121">
        <v>35</v>
      </c>
      <c r="D15564" s="734">
        <v>141.71535353970165</v>
      </c>
      <c r="E15564" s="733"/>
    </row>
    <row r="15565" spans="2:5">
      <c r="B15565" s="121">
        <v>1307</v>
      </c>
      <c r="C15565" s="121">
        <v>36</v>
      </c>
      <c r="D15565" s="734">
        <v>136.71743547875971</v>
      </c>
      <c r="E15565" s="733"/>
    </row>
    <row r="15566" spans="2:5">
      <c r="B15566" s="121">
        <v>1308</v>
      </c>
      <c r="C15566" s="121">
        <v>1</v>
      </c>
      <c r="D15566" s="734">
        <v>5</v>
      </c>
      <c r="E15566" s="733"/>
    </row>
    <row r="15567" spans="2:5">
      <c r="B15567" s="121">
        <v>1308</v>
      </c>
      <c r="C15567" s="121">
        <v>2</v>
      </c>
      <c r="D15567" s="734">
        <v>95.35754745174259</v>
      </c>
      <c r="E15567" s="733"/>
    </row>
    <row r="15568" spans="2:5">
      <c r="B15568" s="121">
        <v>1308</v>
      </c>
      <c r="C15568" s="121">
        <v>3</v>
      </c>
      <c r="D15568" s="734">
        <v>121.97990902270612</v>
      </c>
      <c r="E15568" s="733"/>
    </row>
    <row r="15569" spans="2:5">
      <c r="B15569" s="121">
        <v>1308</v>
      </c>
      <c r="C15569" s="121">
        <v>4</v>
      </c>
      <c r="D15569" s="734">
        <v>134.4949984611543</v>
      </c>
      <c r="E15569" s="733"/>
    </row>
    <row r="15570" spans="2:5">
      <c r="B15570" s="121">
        <v>1308</v>
      </c>
      <c r="C15570" s="121">
        <v>5</v>
      </c>
      <c r="D15570" s="734">
        <v>144.01909749950744</v>
      </c>
      <c r="E15570" s="733"/>
    </row>
    <row r="15571" spans="2:5">
      <c r="B15571" s="121">
        <v>1309</v>
      </c>
      <c r="C15571" s="121">
        <v>1</v>
      </c>
      <c r="D15571" s="734">
        <v>5</v>
      </c>
      <c r="E15571" s="733"/>
    </row>
    <row r="15572" spans="2:5">
      <c r="B15572" s="121">
        <v>1310</v>
      </c>
      <c r="C15572" s="121">
        <v>1</v>
      </c>
      <c r="D15572" s="734">
        <v>5</v>
      </c>
      <c r="E15572" s="733"/>
    </row>
    <row r="15573" spans="2:5">
      <c r="B15573" s="121">
        <v>1310</v>
      </c>
      <c r="C15573" s="121">
        <v>2</v>
      </c>
      <c r="D15573" s="734">
        <v>100.19196099520531</v>
      </c>
      <c r="E15573" s="733"/>
    </row>
    <row r="15574" spans="2:5">
      <c r="B15574" s="121">
        <v>1310</v>
      </c>
      <c r="C15574" s="121">
        <v>3</v>
      </c>
      <c r="D15574" s="734">
        <v>123.955005561072</v>
      </c>
      <c r="E15574" s="733"/>
    </row>
    <row r="15575" spans="2:5">
      <c r="B15575" s="121">
        <v>1310</v>
      </c>
      <c r="C15575" s="121">
        <v>4</v>
      </c>
      <c r="D15575" s="734">
        <v>138.45441464299742</v>
      </c>
      <c r="E15575" s="733"/>
    </row>
    <row r="15576" spans="2:5">
      <c r="B15576" s="121">
        <v>1310</v>
      </c>
      <c r="C15576" s="121">
        <v>5</v>
      </c>
      <c r="D15576" s="734">
        <v>135.34435332866295</v>
      </c>
      <c r="E15576" s="733"/>
    </row>
    <row r="15577" spans="2:5">
      <c r="B15577" s="121">
        <v>1310</v>
      </c>
      <c r="C15577" s="121">
        <v>6</v>
      </c>
      <c r="D15577" s="734">
        <v>134.91780826571082</v>
      </c>
      <c r="E15577" s="733"/>
    </row>
    <row r="15578" spans="2:5">
      <c r="B15578" s="121">
        <v>1310</v>
      </c>
      <c r="C15578" s="121">
        <v>7</v>
      </c>
      <c r="D15578" s="734">
        <v>135.93845868673222</v>
      </c>
      <c r="E15578" s="733"/>
    </row>
    <row r="15579" spans="2:5">
      <c r="B15579" s="121">
        <v>1310</v>
      </c>
      <c r="C15579" s="121">
        <v>8</v>
      </c>
      <c r="D15579" s="734">
        <v>144.83766247021657</v>
      </c>
      <c r="E15579" s="733"/>
    </row>
    <row r="15580" spans="2:5">
      <c r="B15580" s="121">
        <v>1310</v>
      </c>
      <c r="C15580" s="121">
        <v>9</v>
      </c>
      <c r="D15580" s="734">
        <v>136.69289355753128</v>
      </c>
      <c r="E15580" s="733"/>
    </row>
    <row r="15581" spans="2:5">
      <c r="B15581" s="121">
        <v>1310</v>
      </c>
      <c r="C15581" s="121">
        <v>10</v>
      </c>
      <c r="D15581" s="734">
        <v>141.74768490173298</v>
      </c>
      <c r="E15581" s="733"/>
    </row>
    <row r="15582" spans="2:5">
      <c r="B15582" s="121">
        <v>1310</v>
      </c>
      <c r="C15582" s="121">
        <v>11</v>
      </c>
      <c r="D15582" s="734">
        <v>142.93927678374118</v>
      </c>
      <c r="E15582" s="733"/>
    </row>
    <row r="15583" spans="2:5">
      <c r="B15583" s="121">
        <v>1310</v>
      </c>
      <c r="C15583" s="121">
        <v>12</v>
      </c>
      <c r="D15583" s="734">
        <v>135.65343107293009</v>
      </c>
      <c r="E15583" s="733"/>
    </row>
    <row r="15584" spans="2:5">
      <c r="B15584" s="121">
        <v>1310</v>
      </c>
      <c r="C15584" s="121">
        <v>13</v>
      </c>
      <c r="D15584" s="734">
        <v>137.86515124065372</v>
      </c>
      <c r="E15584" s="733"/>
    </row>
    <row r="15585" spans="2:5">
      <c r="B15585" s="121">
        <v>1310</v>
      </c>
      <c r="C15585" s="121">
        <v>14</v>
      </c>
      <c r="D15585" s="734">
        <v>134.47078524363687</v>
      </c>
      <c r="E15585" s="733"/>
    </row>
    <row r="15586" spans="2:5">
      <c r="B15586" s="121">
        <v>1310</v>
      </c>
      <c r="C15586" s="121">
        <v>15</v>
      </c>
      <c r="D15586" s="734">
        <v>142.07862865591684</v>
      </c>
      <c r="E15586" s="733"/>
    </row>
    <row r="15587" spans="2:5">
      <c r="B15587" s="121">
        <v>1310</v>
      </c>
      <c r="C15587" s="121">
        <v>16</v>
      </c>
      <c r="D15587" s="734">
        <v>135.04885851981263</v>
      </c>
      <c r="E15587" s="733"/>
    </row>
    <row r="15588" spans="2:5">
      <c r="B15588" s="121">
        <v>1310</v>
      </c>
      <c r="C15588" s="121">
        <v>17</v>
      </c>
      <c r="D15588" s="734">
        <v>146.71753332410037</v>
      </c>
      <c r="E15588" s="733"/>
    </row>
    <row r="15589" spans="2:5">
      <c r="B15589" s="121">
        <v>1310</v>
      </c>
      <c r="C15589" s="121">
        <v>18</v>
      </c>
      <c r="D15589" s="734">
        <v>142.51168188151217</v>
      </c>
      <c r="E15589" s="733"/>
    </row>
    <row r="15590" spans="2:5">
      <c r="B15590" s="121">
        <v>1310</v>
      </c>
      <c r="C15590" s="121">
        <v>19</v>
      </c>
      <c r="D15590" s="734">
        <v>146.87410609062891</v>
      </c>
      <c r="E15590" s="733"/>
    </row>
    <row r="15591" spans="2:5">
      <c r="B15591" s="121">
        <v>1310</v>
      </c>
      <c r="C15591" s="121">
        <v>20</v>
      </c>
      <c r="D15591" s="734">
        <v>142.33972006969094</v>
      </c>
      <c r="E15591" s="733"/>
    </row>
    <row r="15592" spans="2:5">
      <c r="B15592" s="121">
        <v>1310</v>
      </c>
      <c r="C15592" s="121">
        <v>21</v>
      </c>
      <c r="D15592" s="734">
        <v>144.74268512162078</v>
      </c>
      <c r="E15592" s="733"/>
    </row>
    <row r="15593" spans="2:5">
      <c r="B15593" s="121">
        <v>1310</v>
      </c>
      <c r="C15593" s="121">
        <v>22</v>
      </c>
      <c r="D15593" s="734">
        <v>138.03742466069781</v>
      </c>
      <c r="E15593" s="733"/>
    </row>
    <row r="15594" spans="2:5">
      <c r="B15594" s="121">
        <v>1310</v>
      </c>
      <c r="C15594" s="121">
        <v>23</v>
      </c>
      <c r="D15594" s="734">
        <v>139.52220338782874</v>
      </c>
      <c r="E15594" s="733"/>
    </row>
    <row r="15595" spans="2:5">
      <c r="B15595" s="121">
        <v>1310</v>
      </c>
      <c r="C15595" s="121">
        <v>24</v>
      </c>
      <c r="D15595" s="734">
        <v>143.87925807931254</v>
      </c>
      <c r="E15595" s="733"/>
    </row>
    <row r="15596" spans="2:5">
      <c r="B15596" s="121">
        <v>1310</v>
      </c>
      <c r="C15596" s="121">
        <v>25</v>
      </c>
      <c r="D15596" s="734">
        <v>134.87009777085146</v>
      </c>
      <c r="E15596" s="733"/>
    </row>
    <row r="15597" spans="2:5">
      <c r="B15597" s="121">
        <v>1310</v>
      </c>
      <c r="C15597" s="121">
        <v>26</v>
      </c>
      <c r="D15597" s="734">
        <v>135.82225507637526</v>
      </c>
      <c r="E15597" s="733"/>
    </row>
    <row r="15598" spans="2:5">
      <c r="B15598" s="121">
        <v>1310</v>
      </c>
      <c r="C15598" s="121">
        <v>27</v>
      </c>
      <c r="D15598" s="734">
        <v>140.64868526653729</v>
      </c>
      <c r="E15598" s="733"/>
    </row>
    <row r="15599" spans="2:5">
      <c r="B15599" s="121">
        <v>1310</v>
      </c>
      <c r="C15599" s="121">
        <v>28</v>
      </c>
      <c r="D15599" s="734">
        <v>139.78632441124915</v>
      </c>
      <c r="E15599" s="733"/>
    </row>
    <row r="15600" spans="2:5">
      <c r="B15600" s="121">
        <v>1311</v>
      </c>
      <c r="C15600" s="121">
        <v>1</v>
      </c>
      <c r="D15600" s="734">
        <v>5</v>
      </c>
      <c r="E15600" s="733"/>
    </row>
    <row r="15601" spans="2:5">
      <c r="B15601" s="121">
        <v>1311</v>
      </c>
      <c r="C15601" s="121">
        <v>2</v>
      </c>
      <c r="D15601" s="734">
        <v>95.250916821537785</v>
      </c>
      <c r="E15601" s="733"/>
    </row>
    <row r="15602" spans="2:5">
      <c r="B15602" s="121">
        <v>1311</v>
      </c>
      <c r="C15602" s="121">
        <v>3</v>
      </c>
      <c r="D15602" s="734">
        <v>115.32885091496829</v>
      </c>
      <c r="E15602" s="733"/>
    </row>
    <row r="15603" spans="2:5">
      <c r="B15603" s="121">
        <v>1311</v>
      </c>
      <c r="C15603" s="121">
        <v>4</v>
      </c>
      <c r="D15603" s="734">
        <v>140.75941563379692</v>
      </c>
      <c r="E15603" s="733"/>
    </row>
    <row r="15604" spans="2:5">
      <c r="B15604" s="121">
        <v>1311</v>
      </c>
      <c r="C15604" s="121">
        <v>5</v>
      </c>
      <c r="D15604" s="734">
        <v>139.23495110488361</v>
      </c>
      <c r="E15604" s="733"/>
    </row>
    <row r="15605" spans="2:5">
      <c r="B15605" s="121">
        <v>1311</v>
      </c>
      <c r="C15605" s="121">
        <v>6</v>
      </c>
      <c r="D15605" s="734">
        <v>140.29470906366916</v>
      </c>
      <c r="E15605" s="733"/>
    </row>
    <row r="15606" spans="2:5">
      <c r="B15606" s="121">
        <v>1311</v>
      </c>
      <c r="C15606" s="121">
        <v>7</v>
      </c>
      <c r="D15606" s="734">
        <v>136.91514298539136</v>
      </c>
      <c r="E15606" s="733"/>
    </row>
    <row r="15607" spans="2:5">
      <c r="B15607" s="121">
        <v>1311</v>
      </c>
      <c r="C15607" s="121">
        <v>8</v>
      </c>
      <c r="D15607" s="734">
        <v>135.04942688401485</v>
      </c>
      <c r="E15607" s="733"/>
    </row>
    <row r="15608" spans="2:5">
      <c r="B15608" s="121">
        <v>1311</v>
      </c>
      <c r="C15608" s="121">
        <v>9</v>
      </c>
      <c r="D15608" s="734">
        <v>142.77669439549504</v>
      </c>
      <c r="E15608" s="733"/>
    </row>
    <row r="15609" spans="2:5">
      <c r="B15609" s="121">
        <v>1311</v>
      </c>
      <c r="C15609" s="121">
        <v>10</v>
      </c>
      <c r="D15609" s="734">
        <v>139.71354849893285</v>
      </c>
      <c r="E15609" s="733"/>
    </row>
    <row r="15610" spans="2:5">
      <c r="B15610" s="121">
        <v>1311</v>
      </c>
      <c r="C15610" s="121">
        <v>11</v>
      </c>
      <c r="D15610" s="734">
        <v>145.55300704019464</v>
      </c>
      <c r="E15610" s="733"/>
    </row>
    <row r="15611" spans="2:5">
      <c r="B15611" s="121">
        <v>1311</v>
      </c>
      <c r="C15611" s="121">
        <v>12</v>
      </c>
      <c r="D15611" s="734">
        <v>138.33912915935724</v>
      </c>
      <c r="E15611" s="733"/>
    </row>
    <row r="15612" spans="2:5">
      <c r="B15612" s="121">
        <v>1311</v>
      </c>
      <c r="C15612" s="121">
        <v>13</v>
      </c>
      <c r="D15612" s="734">
        <v>135.55213669461673</v>
      </c>
      <c r="E15612" s="733"/>
    </row>
    <row r="15613" spans="2:5">
      <c r="B15613" s="121">
        <v>1311</v>
      </c>
      <c r="C15613" s="121">
        <v>14</v>
      </c>
      <c r="D15613" s="734">
        <v>134.95568228997195</v>
      </c>
      <c r="E15613" s="733"/>
    </row>
    <row r="15614" spans="2:5">
      <c r="B15614" s="121">
        <v>1311</v>
      </c>
      <c r="C15614" s="121">
        <v>15</v>
      </c>
      <c r="D15614" s="734">
        <v>138.77140104670872</v>
      </c>
      <c r="E15614" s="733"/>
    </row>
    <row r="15615" spans="2:5">
      <c r="B15615" s="121">
        <v>1311</v>
      </c>
      <c r="C15615" s="121">
        <v>16</v>
      </c>
      <c r="D15615" s="734">
        <v>136.75210516868071</v>
      </c>
      <c r="E15615" s="733"/>
    </row>
    <row r="15616" spans="2:5">
      <c r="B15616" s="121">
        <v>1311</v>
      </c>
      <c r="C15616" s="121">
        <v>17</v>
      </c>
      <c r="D15616" s="734">
        <v>143.69569407779568</v>
      </c>
      <c r="E15616" s="733"/>
    </row>
    <row r="15617" spans="2:5">
      <c r="B15617" s="121">
        <v>1311</v>
      </c>
      <c r="C15617" s="121">
        <v>18</v>
      </c>
      <c r="D15617" s="734">
        <v>143.31521529655873</v>
      </c>
      <c r="E15617" s="733"/>
    </row>
    <row r="15618" spans="2:5">
      <c r="B15618" s="121">
        <v>1311</v>
      </c>
      <c r="C15618" s="121">
        <v>19</v>
      </c>
      <c r="D15618" s="734">
        <v>143.91030659632528</v>
      </c>
      <c r="E15618" s="733"/>
    </row>
    <row r="15619" spans="2:5">
      <c r="B15619" s="121">
        <v>1311</v>
      </c>
      <c r="C15619" s="121">
        <v>20</v>
      </c>
      <c r="D15619" s="734">
        <v>136.38786224480978</v>
      </c>
      <c r="E15619" s="733"/>
    </row>
    <row r="15620" spans="2:5">
      <c r="B15620" s="121">
        <v>1311</v>
      </c>
      <c r="C15620" s="121">
        <v>21</v>
      </c>
      <c r="D15620" s="734">
        <v>144.47145748349618</v>
      </c>
      <c r="E15620" s="733"/>
    </row>
    <row r="15621" spans="2:5">
      <c r="B15621" s="121">
        <v>1311</v>
      </c>
      <c r="C15621" s="121">
        <v>22</v>
      </c>
      <c r="D15621" s="734">
        <v>144.01785652798907</v>
      </c>
      <c r="E15621" s="733"/>
    </row>
    <row r="15622" spans="2:5">
      <c r="B15622" s="121">
        <v>1311</v>
      </c>
      <c r="C15622" s="121">
        <v>23</v>
      </c>
      <c r="D15622" s="734">
        <v>146.48151518681001</v>
      </c>
      <c r="E15622" s="733"/>
    </row>
    <row r="15623" spans="2:5">
      <c r="B15623" s="121">
        <v>1312</v>
      </c>
      <c r="C15623" s="121">
        <v>1</v>
      </c>
      <c r="D15623" s="734">
        <v>5</v>
      </c>
      <c r="E15623" s="733"/>
    </row>
    <row r="15624" spans="2:5">
      <c r="B15624" s="121">
        <v>1312</v>
      </c>
      <c r="C15624" s="121">
        <v>2</v>
      </c>
      <c r="D15624" s="734">
        <v>97.111244344914056</v>
      </c>
      <c r="E15624" s="733"/>
    </row>
    <row r="15625" spans="2:5">
      <c r="B15625" s="121">
        <v>1312</v>
      </c>
      <c r="C15625" s="121">
        <v>3</v>
      </c>
      <c r="D15625" s="734">
        <v>114.97099120995448</v>
      </c>
      <c r="E15625" s="733"/>
    </row>
    <row r="15626" spans="2:5">
      <c r="B15626" s="121">
        <v>1312</v>
      </c>
      <c r="C15626" s="121">
        <v>4</v>
      </c>
      <c r="D15626" s="734">
        <v>145.33158950726306</v>
      </c>
      <c r="E15626" s="733"/>
    </row>
    <row r="15627" spans="2:5">
      <c r="B15627" s="121">
        <v>1312</v>
      </c>
      <c r="C15627" s="121">
        <v>5</v>
      </c>
      <c r="D15627" s="734">
        <v>141.77165113370785</v>
      </c>
      <c r="E15627" s="733"/>
    </row>
    <row r="15628" spans="2:5">
      <c r="B15628" s="121">
        <v>1312</v>
      </c>
      <c r="C15628" s="121">
        <v>6</v>
      </c>
      <c r="D15628" s="734">
        <v>141.99932217004994</v>
      </c>
      <c r="E15628" s="733"/>
    </row>
    <row r="15629" spans="2:5">
      <c r="B15629" s="121">
        <v>1312</v>
      </c>
      <c r="C15629" s="121">
        <v>7</v>
      </c>
      <c r="D15629" s="734">
        <v>140.87415702924346</v>
      </c>
      <c r="E15629" s="733"/>
    </row>
    <row r="15630" spans="2:5">
      <c r="B15630" s="121">
        <v>1312</v>
      </c>
      <c r="C15630" s="121">
        <v>8</v>
      </c>
      <c r="D15630" s="734">
        <v>146.88714503590484</v>
      </c>
      <c r="E15630" s="733"/>
    </row>
    <row r="15631" spans="2:5">
      <c r="B15631" s="121">
        <v>1312</v>
      </c>
      <c r="C15631" s="121">
        <v>9</v>
      </c>
      <c r="D15631" s="734">
        <v>135.69796399596729</v>
      </c>
      <c r="E15631" s="733"/>
    </row>
    <row r="15632" spans="2:5">
      <c r="B15632" s="121">
        <v>1312</v>
      </c>
      <c r="C15632" s="121">
        <v>10</v>
      </c>
      <c r="D15632" s="734">
        <v>142.59380492392793</v>
      </c>
      <c r="E15632" s="733"/>
    </row>
    <row r="15633" spans="2:5">
      <c r="B15633" s="121">
        <v>1312</v>
      </c>
      <c r="C15633" s="121">
        <v>11</v>
      </c>
      <c r="D15633" s="734">
        <v>145.56536022016894</v>
      </c>
      <c r="E15633" s="733"/>
    </row>
    <row r="15634" spans="2:5">
      <c r="B15634" s="121">
        <v>1312</v>
      </c>
      <c r="C15634" s="121">
        <v>12</v>
      </c>
      <c r="D15634" s="734">
        <v>135.57931892927277</v>
      </c>
      <c r="E15634" s="733"/>
    </row>
    <row r="15635" spans="2:5">
      <c r="B15635" s="121">
        <v>1313</v>
      </c>
      <c r="C15635" s="121">
        <v>1</v>
      </c>
      <c r="D15635" s="734">
        <v>5</v>
      </c>
      <c r="E15635" s="733"/>
    </row>
    <row r="15636" spans="2:5">
      <c r="B15636" s="121">
        <v>1314</v>
      </c>
      <c r="C15636" s="121">
        <v>1</v>
      </c>
      <c r="D15636" s="734">
        <v>5</v>
      </c>
      <c r="E15636" s="733"/>
    </row>
    <row r="15637" spans="2:5">
      <c r="B15637" s="121">
        <v>1314</v>
      </c>
      <c r="C15637" s="121">
        <v>2</v>
      </c>
      <c r="D15637" s="734">
        <v>94.981190974866834</v>
      </c>
      <c r="E15637" s="733"/>
    </row>
    <row r="15638" spans="2:5">
      <c r="B15638" s="121">
        <v>1315</v>
      </c>
      <c r="C15638" s="121">
        <v>1</v>
      </c>
      <c r="D15638" s="734">
        <v>5</v>
      </c>
      <c r="E15638" s="733"/>
    </row>
    <row r="15639" spans="2:5">
      <c r="B15639" s="121">
        <v>1315</v>
      </c>
      <c r="C15639" s="121">
        <v>2</v>
      </c>
      <c r="D15639" s="734">
        <v>97.939545660152916</v>
      </c>
      <c r="E15639" s="733"/>
    </row>
    <row r="15640" spans="2:5">
      <c r="B15640" s="121">
        <v>1315</v>
      </c>
      <c r="C15640" s="121">
        <v>3</v>
      </c>
      <c r="D15640" s="734">
        <v>115.00439964358341</v>
      </c>
      <c r="E15640" s="733"/>
    </row>
    <row r="15641" spans="2:5">
      <c r="B15641" s="121">
        <v>1316</v>
      </c>
      <c r="C15641" s="121">
        <v>1</v>
      </c>
      <c r="D15641" s="734">
        <v>5</v>
      </c>
      <c r="E15641" s="733"/>
    </row>
    <row r="15642" spans="2:5">
      <c r="B15642" s="121">
        <v>1317</v>
      </c>
      <c r="C15642" s="121">
        <v>1</v>
      </c>
      <c r="D15642" s="734">
        <v>5</v>
      </c>
      <c r="E15642" s="733"/>
    </row>
    <row r="15643" spans="2:5">
      <c r="B15643" s="121">
        <v>1317</v>
      </c>
      <c r="C15643" s="121">
        <v>2</v>
      </c>
      <c r="D15643" s="734">
        <v>97.053043075940366</v>
      </c>
      <c r="E15643" s="733"/>
    </row>
    <row r="15644" spans="2:5">
      <c r="B15644" s="121">
        <v>1317</v>
      </c>
      <c r="C15644" s="121">
        <v>3</v>
      </c>
      <c r="D15644" s="734">
        <v>117.91002084375474</v>
      </c>
      <c r="E15644" s="733"/>
    </row>
    <row r="15645" spans="2:5">
      <c r="B15645" s="121">
        <v>1317</v>
      </c>
      <c r="C15645" s="121">
        <v>4</v>
      </c>
      <c r="D15645" s="734">
        <v>140.49243877194789</v>
      </c>
      <c r="E15645" s="733"/>
    </row>
    <row r="15646" spans="2:5">
      <c r="B15646" s="121">
        <v>1317</v>
      </c>
      <c r="C15646" s="121">
        <v>5</v>
      </c>
      <c r="D15646" s="734">
        <v>141.2443681474941</v>
      </c>
      <c r="E15646" s="733"/>
    </row>
    <row r="15647" spans="2:5">
      <c r="B15647" s="121">
        <v>1317</v>
      </c>
      <c r="C15647" s="121">
        <v>6</v>
      </c>
      <c r="D15647" s="734">
        <v>139.69132979570045</v>
      </c>
      <c r="E15647" s="733"/>
    </row>
    <row r="15648" spans="2:5">
      <c r="B15648" s="121">
        <v>1317</v>
      </c>
      <c r="C15648" s="121">
        <v>7</v>
      </c>
      <c r="D15648" s="734">
        <v>136.32849654612241</v>
      </c>
      <c r="E15648" s="733"/>
    </row>
    <row r="15649" spans="2:5">
      <c r="B15649" s="121">
        <v>1317</v>
      </c>
      <c r="C15649" s="121">
        <v>8</v>
      </c>
      <c r="D15649" s="734">
        <v>136.98648420500413</v>
      </c>
      <c r="E15649" s="733"/>
    </row>
    <row r="15650" spans="2:5">
      <c r="B15650" s="121">
        <v>1317</v>
      </c>
      <c r="C15650" s="121">
        <v>9</v>
      </c>
      <c r="D15650" s="734">
        <v>137.66056929337478</v>
      </c>
      <c r="E15650" s="733"/>
    </row>
    <row r="15651" spans="2:5">
      <c r="B15651" s="121">
        <v>1317</v>
      </c>
      <c r="C15651" s="121">
        <v>10</v>
      </c>
      <c r="D15651" s="734">
        <v>143.00294396169892</v>
      </c>
      <c r="E15651" s="733"/>
    </row>
    <row r="15652" spans="2:5">
      <c r="B15652" s="121">
        <v>1317</v>
      </c>
      <c r="C15652" s="121">
        <v>11</v>
      </c>
      <c r="D15652" s="734">
        <v>138.72565842036039</v>
      </c>
      <c r="E15652" s="733"/>
    </row>
    <row r="15653" spans="2:5">
      <c r="B15653" s="121">
        <v>1317</v>
      </c>
      <c r="C15653" s="121">
        <v>12</v>
      </c>
      <c r="D15653" s="734">
        <v>140.62381166843448</v>
      </c>
      <c r="E15653" s="733"/>
    </row>
    <row r="15654" spans="2:5">
      <c r="B15654" s="121">
        <v>1317</v>
      </c>
      <c r="C15654" s="121">
        <v>13</v>
      </c>
      <c r="D15654" s="734">
        <v>146.75331262703665</v>
      </c>
      <c r="E15654" s="733"/>
    </row>
    <row r="15655" spans="2:5">
      <c r="B15655" s="121">
        <v>1317</v>
      </c>
      <c r="C15655" s="121">
        <v>14</v>
      </c>
      <c r="D15655" s="734">
        <v>142.22526525348928</v>
      </c>
      <c r="E15655" s="733"/>
    </row>
    <row r="15656" spans="2:5">
      <c r="B15656" s="121">
        <v>1317</v>
      </c>
      <c r="C15656" s="121">
        <v>15</v>
      </c>
      <c r="D15656" s="734">
        <v>143.29397054475987</v>
      </c>
      <c r="E15656" s="733"/>
    </row>
    <row r="15657" spans="2:5">
      <c r="B15657" s="121">
        <v>1317</v>
      </c>
      <c r="C15657" s="121">
        <v>16</v>
      </c>
      <c r="D15657" s="734">
        <v>138.82290034262934</v>
      </c>
      <c r="E15657" s="733"/>
    </row>
    <row r="15658" spans="2:5">
      <c r="B15658" s="121">
        <v>1317</v>
      </c>
      <c r="C15658" s="121">
        <v>17</v>
      </c>
      <c r="D15658" s="734">
        <v>136.5171760923545</v>
      </c>
      <c r="E15658" s="733"/>
    </row>
    <row r="15659" spans="2:5">
      <c r="B15659" s="121">
        <v>1317</v>
      </c>
      <c r="C15659" s="121">
        <v>18</v>
      </c>
      <c r="D15659" s="734">
        <v>144.75947729978867</v>
      </c>
      <c r="E15659" s="733"/>
    </row>
    <row r="15660" spans="2:5">
      <c r="B15660" s="121">
        <v>1317</v>
      </c>
      <c r="C15660" s="121">
        <v>19</v>
      </c>
      <c r="D15660" s="734">
        <v>139.70607641469226</v>
      </c>
      <c r="E15660" s="733"/>
    </row>
    <row r="15661" spans="2:5">
      <c r="B15661" s="121">
        <v>1317</v>
      </c>
      <c r="C15661" s="121">
        <v>20</v>
      </c>
      <c r="D15661" s="734">
        <v>142.27919791940337</v>
      </c>
      <c r="E15661" s="733"/>
    </row>
    <row r="15662" spans="2:5">
      <c r="B15662" s="121">
        <v>1317</v>
      </c>
      <c r="C15662" s="121">
        <v>21</v>
      </c>
      <c r="D15662" s="734">
        <v>145.78362366143656</v>
      </c>
      <c r="E15662" s="733"/>
    </row>
    <row r="15663" spans="2:5">
      <c r="B15663" s="121">
        <v>1317</v>
      </c>
      <c r="C15663" s="121">
        <v>22</v>
      </c>
      <c r="D15663" s="734">
        <v>143.77590949744405</v>
      </c>
      <c r="E15663" s="733"/>
    </row>
    <row r="15664" spans="2:5">
      <c r="B15664" s="121">
        <v>1317</v>
      </c>
      <c r="C15664" s="121">
        <v>23</v>
      </c>
      <c r="D15664" s="734">
        <v>143.86254579557149</v>
      </c>
      <c r="E15664" s="733"/>
    </row>
    <row r="15665" spans="2:5">
      <c r="B15665" s="121">
        <v>1317</v>
      </c>
      <c r="C15665" s="121">
        <v>24</v>
      </c>
      <c r="D15665" s="734">
        <v>137.45660065395344</v>
      </c>
      <c r="E15665" s="733"/>
    </row>
    <row r="15666" spans="2:5">
      <c r="B15666" s="121">
        <v>1317</v>
      </c>
      <c r="C15666" s="121">
        <v>25</v>
      </c>
      <c r="D15666" s="734">
        <v>141.47537700006438</v>
      </c>
      <c r="E15666" s="733"/>
    </row>
    <row r="15667" spans="2:5">
      <c r="B15667" s="121">
        <v>1317</v>
      </c>
      <c r="C15667" s="121">
        <v>26</v>
      </c>
      <c r="D15667" s="734">
        <v>144.76958207845396</v>
      </c>
      <c r="E15667" s="733"/>
    </row>
    <row r="15668" spans="2:5">
      <c r="B15668" s="121">
        <v>1317</v>
      </c>
      <c r="C15668" s="121">
        <v>27</v>
      </c>
      <c r="D15668" s="734">
        <v>136.91439177438616</v>
      </c>
      <c r="E15668" s="733"/>
    </row>
    <row r="15669" spans="2:5">
      <c r="B15669" s="121">
        <v>1317</v>
      </c>
      <c r="C15669" s="121">
        <v>28</v>
      </c>
      <c r="D15669" s="734">
        <v>143.77439158234498</v>
      </c>
      <c r="E15669" s="733"/>
    </row>
    <row r="15670" spans="2:5">
      <c r="B15670" s="121">
        <v>1317</v>
      </c>
      <c r="C15670" s="121">
        <v>29</v>
      </c>
      <c r="D15670" s="734">
        <v>139.89692354640403</v>
      </c>
      <c r="E15670" s="733"/>
    </row>
    <row r="15671" spans="2:5">
      <c r="B15671" s="121">
        <v>1317</v>
      </c>
      <c r="C15671" s="121">
        <v>30</v>
      </c>
      <c r="D15671" s="734">
        <v>136.47487359230584</v>
      </c>
      <c r="E15671" s="733"/>
    </row>
    <row r="15672" spans="2:5">
      <c r="B15672" s="121">
        <v>1317</v>
      </c>
      <c r="C15672" s="121">
        <v>31</v>
      </c>
      <c r="D15672" s="734">
        <v>146.68036818089038</v>
      </c>
      <c r="E15672" s="733"/>
    </row>
    <row r="15673" spans="2:5">
      <c r="B15673" s="121">
        <v>1317</v>
      </c>
      <c r="C15673" s="121">
        <v>32</v>
      </c>
      <c r="D15673" s="734">
        <v>137.88747755871378</v>
      </c>
      <c r="E15673" s="733"/>
    </row>
    <row r="15674" spans="2:5">
      <c r="B15674" s="121">
        <v>1317</v>
      </c>
      <c r="C15674" s="121">
        <v>33</v>
      </c>
      <c r="D15674" s="734">
        <v>141.30924092667226</v>
      </c>
      <c r="E15674" s="733"/>
    </row>
    <row r="15675" spans="2:5">
      <c r="B15675" s="121">
        <v>1317</v>
      </c>
      <c r="C15675" s="121">
        <v>34</v>
      </c>
      <c r="D15675" s="734">
        <v>133.71303794582926</v>
      </c>
      <c r="E15675" s="733"/>
    </row>
    <row r="15676" spans="2:5">
      <c r="B15676" s="121">
        <v>1317</v>
      </c>
      <c r="C15676" s="121">
        <v>35</v>
      </c>
      <c r="D15676" s="734">
        <v>145.03109512951232</v>
      </c>
      <c r="E15676" s="733"/>
    </row>
    <row r="15677" spans="2:5">
      <c r="B15677" s="121">
        <v>1317</v>
      </c>
      <c r="C15677" s="121">
        <v>36</v>
      </c>
      <c r="D15677" s="734">
        <v>142.45566659239432</v>
      </c>
      <c r="E15677" s="733"/>
    </row>
    <row r="15678" spans="2:5">
      <c r="B15678" s="121">
        <v>1318</v>
      </c>
      <c r="C15678" s="121">
        <v>1</v>
      </c>
      <c r="D15678" s="734">
        <v>5</v>
      </c>
      <c r="E15678" s="733"/>
    </row>
    <row r="15679" spans="2:5">
      <c r="B15679" s="121">
        <v>1318</v>
      </c>
      <c r="C15679" s="121">
        <v>2</v>
      </c>
      <c r="D15679" s="734">
        <v>102.81441501218991</v>
      </c>
      <c r="E15679" s="733"/>
    </row>
    <row r="15680" spans="2:5">
      <c r="B15680" s="121">
        <v>1318</v>
      </c>
      <c r="C15680" s="121">
        <v>3</v>
      </c>
      <c r="D15680" s="734">
        <v>123.87318019503655</v>
      </c>
      <c r="E15680" s="733"/>
    </row>
    <row r="15681" spans="2:5">
      <c r="B15681" s="121">
        <v>1318</v>
      </c>
      <c r="C15681" s="121">
        <v>4</v>
      </c>
      <c r="D15681" s="734">
        <v>146.74434974152672</v>
      </c>
      <c r="E15681" s="733"/>
    </row>
    <row r="15682" spans="2:5">
      <c r="B15682" s="121">
        <v>1319</v>
      </c>
      <c r="C15682" s="121">
        <v>1</v>
      </c>
      <c r="D15682" s="734">
        <v>5</v>
      </c>
      <c r="E15682" s="733"/>
    </row>
    <row r="15683" spans="2:5">
      <c r="B15683" s="121">
        <v>1319</v>
      </c>
      <c r="C15683" s="121">
        <v>2</v>
      </c>
      <c r="D15683" s="734">
        <v>99.578320571742609</v>
      </c>
      <c r="E15683" s="733"/>
    </row>
    <row r="15684" spans="2:5">
      <c r="B15684" s="121">
        <v>1319</v>
      </c>
      <c r="C15684" s="121">
        <v>3</v>
      </c>
      <c r="D15684" s="734">
        <v>122.90577182732081</v>
      </c>
      <c r="E15684" s="733"/>
    </row>
    <row r="15685" spans="2:5">
      <c r="B15685" s="121">
        <v>1319</v>
      </c>
      <c r="C15685" s="121">
        <v>4</v>
      </c>
      <c r="D15685" s="734">
        <v>141.58436142148349</v>
      </c>
      <c r="E15685" s="733"/>
    </row>
    <row r="15686" spans="2:5">
      <c r="B15686" s="121">
        <v>1319</v>
      </c>
      <c r="C15686" s="121">
        <v>5</v>
      </c>
      <c r="D15686" s="734">
        <v>145.57058795016309</v>
      </c>
      <c r="E15686" s="733"/>
    </row>
    <row r="15687" spans="2:5">
      <c r="B15687" s="121">
        <v>1319</v>
      </c>
      <c r="C15687" s="121">
        <v>6</v>
      </c>
      <c r="D15687" s="734">
        <v>137.93940299026804</v>
      </c>
      <c r="E15687" s="733"/>
    </row>
    <row r="15688" spans="2:5">
      <c r="B15688" s="121">
        <v>1319</v>
      </c>
      <c r="C15688" s="121">
        <v>7</v>
      </c>
      <c r="D15688" s="734">
        <v>146.58580619884754</v>
      </c>
      <c r="E15688" s="733"/>
    </row>
    <row r="15689" spans="2:5">
      <c r="B15689" s="121">
        <v>1319</v>
      </c>
      <c r="C15689" s="121">
        <v>8</v>
      </c>
      <c r="D15689" s="734">
        <v>138.60994403839194</v>
      </c>
      <c r="E15689" s="733"/>
    </row>
    <row r="15690" spans="2:5">
      <c r="B15690" s="121">
        <v>1319</v>
      </c>
      <c r="C15690" s="121">
        <v>9</v>
      </c>
      <c r="D15690" s="734">
        <v>134.87593620731352</v>
      </c>
      <c r="E15690" s="733"/>
    </row>
    <row r="15691" spans="2:5">
      <c r="B15691" s="121">
        <v>1319</v>
      </c>
      <c r="C15691" s="121">
        <v>10</v>
      </c>
      <c r="D15691" s="734">
        <v>136.63666926406779</v>
      </c>
      <c r="E15691" s="733"/>
    </row>
    <row r="15692" spans="2:5">
      <c r="B15692" s="121">
        <v>1319</v>
      </c>
      <c r="C15692" s="121">
        <v>11</v>
      </c>
      <c r="D15692" s="734">
        <v>139.59263805824594</v>
      </c>
      <c r="E15692" s="733"/>
    </row>
    <row r="15693" spans="2:5">
      <c r="B15693" s="121">
        <v>1319</v>
      </c>
      <c r="C15693" s="121">
        <v>12</v>
      </c>
      <c r="D15693" s="734">
        <v>140.77149046133439</v>
      </c>
      <c r="E15693" s="733"/>
    </row>
    <row r="15694" spans="2:5">
      <c r="B15694" s="121">
        <v>1319</v>
      </c>
      <c r="C15694" s="121">
        <v>13</v>
      </c>
      <c r="D15694" s="734">
        <v>146.04044385641134</v>
      </c>
      <c r="E15694" s="733"/>
    </row>
    <row r="15695" spans="2:5">
      <c r="B15695" s="121">
        <v>1319</v>
      </c>
      <c r="C15695" s="121">
        <v>14</v>
      </c>
      <c r="D15695" s="734">
        <v>135.91879160154207</v>
      </c>
      <c r="E15695" s="733"/>
    </row>
    <row r="15696" spans="2:5">
      <c r="B15696" s="121">
        <v>1319</v>
      </c>
      <c r="C15696" s="121">
        <v>15</v>
      </c>
      <c r="D15696" s="734">
        <v>135.23880706111154</v>
      </c>
      <c r="E15696" s="733"/>
    </row>
    <row r="15697" spans="2:5">
      <c r="B15697" s="121">
        <v>1319</v>
      </c>
      <c r="C15697" s="121">
        <v>16</v>
      </c>
      <c r="D15697" s="734">
        <v>144.70587639040133</v>
      </c>
      <c r="E15697" s="733"/>
    </row>
    <row r="15698" spans="2:5">
      <c r="B15698" s="121">
        <v>1319</v>
      </c>
      <c r="C15698" s="121">
        <v>17</v>
      </c>
      <c r="D15698" s="734">
        <v>141.57237750110761</v>
      </c>
      <c r="E15698" s="733"/>
    </row>
    <row r="15699" spans="2:5">
      <c r="B15699" s="121">
        <v>1319</v>
      </c>
      <c r="C15699" s="121">
        <v>18</v>
      </c>
      <c r="D15699" s="734">
        <v>134.41857204105733</v>
      </c>
      <c r="E15699" s="733"/>
    </row>
    <row r="15700" spans="2:5">
      <c r="B15700" s="121">
        <v>1319</v>
      </c>
      <c r="C15700" s="121">
        <v>19</v>
      </c>
      <c r="D15700" s="734">
        <v>142.42980083017503</v>
      </c>
      <c r="E15700" s="733"/>
    </row>
    <row r="15701" spans="2:5">
      <c r="B15701" s="121">
        <v>1319</v>
      </c>
      <c r="C15701" s="121">
        <v>20</v>
      </c>
      <c r="D15701" s="734">
        <v>138.36599125203321</v>
      </c>
      <c r="E15701" s="733"/>
    </row>
    <row r="15702" spans="2:5">
      <c r="B15702" s="121">
        <v>1319</v>
      </c>
      <c r="C15702" s="121">
        <v>21</v>
      </c>
      <c r="D15702" s="734">
        <v>136.5774217029157</v>
      </c>
      <c r="E15702" s="733"/>
    </row>
    <row r="15703" spans="2:5">
      <c r="B15703" s="121">
        <v>1319</v>
      </c>
      <c r="C15703" s="121">
        <v>22</v>
      </c>
      <c r="D15703" s="734">
        <v>139.7090776820946</v>
      </c>
      <c r="E15703" s="733"/>
    </row>
    <row r="15704" spans="2:5">
      <c r="B15704" s="121">
        <v>1319</v>
      </c>
      <c r="C15704" s="121">
        <v>23</v>
      </c>
      <c r="D15704" s="734">
        <v>142.97946006722293</v>
      </c>
      <c r="E15704" s="733"/>
    </row>
    <row r="15705" spans="2:5">
      <c r="B15705" s="121">
        <v>1319</v>
      </c>
      <c r="C15705" s="121">
        <v>24</v>
      </c>
      <c r="D15705" s="734">
        <v>143.00103218095057</v>
      </c>
      <c r="E15705" s="733"/>
    </row>
    <row r="15706" spans="2:5">
      <c r="B15706" s="121">
        <v>1319</v>
      </c>
      <c r="C15706" s="121">
        <v>25</v>
      </c>
      <c r="D15706" s="734">
        <v>140.77499620432033</v>
      </c>
      <c r="E15706" s="733"/>
    </row>
    <row r="15707" spans="2:5">
      <c r="B15707" s="121">
        <v>1320</v>
      </c>
      <c r="C15707" s="121">
        <v>1</v>
      </c>
      <c r="D15707" s="734">
        <v>5</v>
      </c>
      <c r="E15707" s="733"/>
    </row>
    <row r="15708" spans="2:5">
      <c r="B15708" s="121">
        <v>1320</v>
      </c>
      <c r="C15708" s="121">
        <v>2</v>
      </c>
      <c r="D15708" s="734">
        <v>95.382225730332266</v>
      </c>
      <c r="E15708" s="733"/>
    </row>
    <row r="15709" spans="2:5">
      <c r="B15709" s="121">
        <v>1320</v>
      </c>
      <c r="C15709" s="121">
        <v>3</v>
      </c>
      <c r="D15709" s="734">
        <v>118.74439615378985</v>
      </c>
      <c r="E15709" s="733"/>
    </row>
    <row r="15710" spans="2:5">
      <c r="B15710" s="121">
        <v>1320</v>
      </c>
      <c r="C15710" s="121">
        <v>4</v>
      </c>
      <c r="D15710" s="734">
        <v>138.76467459539856</v>
      </c>
      <c r="E15710" s="733"/>
    </row>
    <row r="15711" spans="2:5">
      <c r="B15711" s="121">
        <v>1320</v>
      </c>
      <c r="C15711" s="121">
        <v>5</v>
      </c>
      <c r="D15711" s="734">
        <v>143.84121703369186</v>
      </c>
      <c r="E15711" s="733"/>
    </row>
    <row r="15712" spans="2:5">
      <c r="B15712" s="121">
        <v>1320</v>
      </c>
      <c r="C15712" s="121">
        <v>6</v>
      </c>
      <c r="D15712" s="734">
        <v>144.35739358662298</v>
      </c>
      <c r="E15712" s="733"/>
    </row>
    <row r="15713" spans="2:5">
      <c r="B15713" s="121">
        <v>1320</v>
      </c>
      <c r="C15713" s="121">
        <v>7</v>
      </c>
      <c r="D15713" s="734">
        <v>139.73636533083953</v>
      </c>
      <c r="E15713" s="733"/>
    </row>
    <row r="15714" spans="2:5">
      <c r="B15714" s="121">
        <v>1320</v>
      </c>
      <c r="C15714" s="121">
        <v>8</v>
      </c>
      <c r="D15714" s="734">
        <v>135.74263226569647</v>
      </c>
      <c r="E15714" s="733"/>
    </row>
    <row r="15715" spans="2:5">
      <c r="B15715" s="121">
        <v>1320</v>
      </c>
      <c r="C15715" s="121">
        <v>9</v>
      </c>
      <c r="D15715" s="734">
        <v>139.61383040407719</v>
      </c>
      <c r="E15715" s="733"/>
    </row>
    <row r="15716" spans="2:5">
      <c r="B15716" s="121">
        <v>1320</v>
      </c>
      <c r="C15716" s="121">
        <v>10</v>
      </c>
      <c r="D15716" s="734">
        <v>147.09724352652086</v>
      </c>
      <c r="E15716" s="733"/>
    </row>
    <row r="15717" spans="2:5">
      <c r="B15717" s="121">
        <v>1320</v>
      </c>
      <c r="C15717" s="121">
        <v>11</v>
      </c>
      <c r="D15717" s="734">
        <v>139.69043962065567</v>
      </c>
      <c r="E15717" s="733"/>
    </row>
    <row r="15718" spans="2:5">
      <c r="B15718" s="121">
        <v>1320</v>
      </c>
      <c r="C15718" s="121">
        <v>12</v>
      </c>
      <c r="D15718" s="734">
        <v>142.77604411199817</v>
      </c>
      <c r="E15718" s="733"/>
    </row>
    <row r="15719" spans="2:5">
      <c r="B15719" s="121">
        <v>1320</v>
      </c>
      <c r="C15719" s="121">
        <v>13</v>
      </c>
      <c r="D15719" s="734">
        <v>134.71190747263108</v>
      </c>
      <c r="E15719" s="733"/>
    </row>
    <row r="15720" spans="2:5">
      <c r="B15720" s="121">
        <v>1320</v>
      </c>
      <c r="C15720" s="121">
        <v>14</v>
      </c>
      <c r="D15720" s="734">
        <v>136.9643403394696</v>
      </c>
      <c r="E15720" s="733"/>
    </row>
    <row r="15721" spans="2:5">
      <c r="B15721" s="121">
        <v>1320</v>
      </c>
      <c r="C15721" s="121">
        <v>15</v>
      </c>
      <c r="D15721" s="734">
        <v>140.86259574979002</v>
      </c>
      <c r="E15721" s="733"/>
    </row>
    <row r="15722" spans="2:5">
      <c r="B15722" s="121">
        <v>1320</v>
      </c>
      <c r="C15722" s="121">
        <v>16</v>
      </c>
      <c r="D15722" s="734">
        <v>140.9892601365728</v>
      </c>
      <c r="E15722" s="733"/>
    </row>
    <row r="15723" spans="2:5">
      <c r="B15723" s="121">
        <v>1320</v>
      </c>
      <c r="C15723" s="121">
        <v>17</v>
      </c>
      <c r="D15723" s="734">
        <v>140.65008173622385</v>
      </c>
      <c r="E15723" s="733"/>
    </row>
    <row r="15724" spans="2:5">
      <c r="B15724" s="121">
        <v>1320</v>
      </c>
      <c r="C15724" s="121">
        <v>18</v>
      </c>
      <c r="D15724" s="734">
        <v>144.06578986203985</v>
      </c>
      <c r="E15724" s="733"/>
    </row>
    <row r="15725" spans="2:5">
      <c r="B15725" s="121">
        <v>1320</v>
      </c>
      <c r="C15725" s="121">
        <v>19</v>
      </c>
      <c r="D15725" s="734">
        <v>146.36684221948633</v>
      </c>
      <c r="E15725" s="733"/>
    </row>
    <row r="15726" spans="2:5">
      <c r="B15726" s="121">
        <v>1320</v>
      </c>
      <c r="C15726" s="121">
        <v>20</v>
      </c>
      <c r="D15726" s="734">
        <v>137.34850808188898</v>
      </c>
      <c r="E15726" s="733"/>
    </row>
    <row r="15727" spans="2:5">
      <c r="B15727" s="121">
        <v>1320</v>
      </c>
      <c r="C15727" s="121">
        <v>21</v>
      </c>
      <c r="D15727" s="734">
        <v>138.80388819350881</v>
      </c>
      <c r="E15727" s="733"/>
    </row>
    <row r="15728" spans="2:5">
      <c r="B15728" s="121">
        <v>1320</v>
      </c>
      <c r="C15728" s="121">
        <v>22</v>
      </c>
      <c r="D15728" s="734">
        <v>143.65093219045474</v>
      </c>
      <c r="E15728" s="733"/>
    </row>
    <row r="15729" spans="2:5">
      <c r="B15729" s="121">
        <v>1320</v>
      </c>
      <c r="C15729" s="121">
        <v>23</v>
      </c>
      <c r="D15729" s="734">
        <v>145.86261005263881</v>
      </c>
      <c r="E15729" s="733"/>
    </row>
    <row r="15730" spans="2:5">
      <c r="B15730" s="121">
        <v>1320</v>
      </c>
      <c r="C15730" s="121">
        <v>24</v>
      </c>
      <c r="D15730" s="734">
        <v>133.93115720343232</v>
      </c>
      <c r="E15730" s="733"/>
    </row>
    <row r="15731" spans="2:5">
      <c r="B15731" s="121">
        <v>1320</v>
      </c>
      <c r="C15731" s="121">
        <v>25</v>
      </c>
      <c r="D15731" s="734">
        <v>142.77906546221351</v>
      </c>
      <c r="E15731" s="733"/>
    </row>
    <row r="15732" spans="2:5">
      <c r="B15732" s="121">
        <v>1320</v>
      </c>
      <c r="C15732" s="121">
        <v>26</v>
      </c>
      <c r="D15732" s="734">
        <v>146.53946495673645</v>
      </c>
      <c r="E15732" s="733"/>
    </row>
    <row r="15733" spans="2:5">
      <c r="B15733" s="121">
        <v>1320</v>
      </c>
      <c r="C15733" s="121">
        <v>27</v>
      </c>
      <c r="D15733" s="734">
        <v>137.30509267295517</v>
      </c>
      <c r="E15733" s="733"/>
    </row>
    <row r="15734" spans="2:5">
      <c r="B15734" s="121">
        <v>1320</v>
      </c>
      <c r="C15734" s="121">
        <v>28</v>
      </c>
      <c r="D15734" s="734">
        <v>140.78562129374382</v>
      </c>
      <c r="E15734" s="733"/>
    </row>
    <row r="15735" spans="2:5">
      <c r="B15735" s="121">
        <v>1320</v>
      </c>
      <c r="C15735" s="121">
        <v>29</v>
      </c>
      <c r="D15735" s="734">
        <v>134.54085065662065</v>
      </c>
      <c r="E15735" s="733"/>
    </row>
    <row r="15736" spans="2:5">
      <c r="B15736" s="121">
        <v>1320</v>
      </c>
      <c r="C15736" s="121">
        <v>30</v>
      </c>
      <c r="D15736" s="734">
        <v>135.90489732218222</v>
      </c>
      <c r="E15736" s="733"/>
    </row>
    <row r="15737" spans="2:5">
      <c r="B15737" s="121">
        <v>1320</v>
      </c>
      <c r="C15737" s="121">
        <v>31</v>
      </c>
      <c r="D15737" s="734">
        <v>135.50203430360324</v>
      </c>
      <c r="E15737" s="733"/>
    </row>
    <row r="15738" spans="2:5">
      <c r="B15738" s="121">
        <v>1320</v>
      </c>
      <c r="C15738" s="121">
        <v>32</v>
      </c>
      <c r="D15738" s="734">
        <v>133.98099480878813</v>
      </c>
      <c r="E15738" s="733"/>
    </row>
    <row r="15739" spans="2:5">
      <c r="B15739" s="121">
        <v>1320</v>
      </c>
      <c r="C15739" s="121">
        <v>33</v>
      </c>
      <c r="D15739" s="734">
        <v>135.38427839306473</v>
      </c>
      <c r="E15739" s="733"/>
    </row>
    <row r="15740" spans="2:5">
      <c r="B15740" s="121">
        <v>1320</v>
      </c>
      <c r="C15740" s="121">
        <v>34</v>
      </c>
      <c r="D15740" s="734">
        <v>138.29167266214913</v>
      </c>
      <c r="E15740" s="733"/>
    </row>
    <row r="15741" spans="2:5">
      <c r="B15741" s="121">
        <v>1320</v>
      </c>
      <c r="C15741" s="121">
        <v>35</v>
      </c>
      <c r="D15741" s="734">
        <v>135.76356737004554</v>
      </c>
      <c r="E15741" s="733"/>
    </row>
    <row r="15742" spans="2:5">
      <c r="B15742" s="121">
        <v>1320</v>
      </c>
      <c r="C15742" s="121">
        <v>36</v>
      </c>
      <c r="D15742" s="734">
        <v>136.97626959514346</v>
      </c>
      <c r="E15742" s="733"/>
    </row>
    <row r="15743" spans="2:5">
      <c r="B15743" s="121">
        <v>1321</v>
      </c>
      <c r="C15743" s="121">
        <v>1</v>
      </c>
      <c r="D15743" s="734">
        <v>5</v>
      </c>
      <c r="E15743" s="733"/>
    </row>
    <row r="15744" spans="2:5">
      <c r="B15744" s="121">
        <v>1321</v>
      </c>
      <c r="C15744" s="121">
        <v>2</v>
      </c>
      <c r="D15744" s="734">
        <v>101.78110907194649</v>
      </c>
      <c r="E15744" s="733"/>
    </row>
    <row r="15745" spans="2:5">
      <c r="B15745" s="121">
        <v>1322</v>
      </c>
      <c r="C15745" s="121">
        <v>1</v>
      </c>
      <c r="D15745" s="734">
        <v>5</v>
      </c>
      <c r="E15745" s="733"/>
    </row>
    <row r="15746" spans="2:5">
      <c r="B15746" s="121">
        <v>1323</v>
      </c>
      <c r="C15746" s="121">
        <v>1</v>
      </c>
      <c r="D15746" s="734">
        <v>5</v>
      </c>
      <c r="E15746" s="733"/>
    </row>
    <row r="15747" spans="2:5">
      <c r="B15747" s="121">
        <v>1324</v>
      </c>
      <c r="C15747" s="121">
        <v>1</v>
      </c>
      <c r="D15747" s="734">
        <v>5</v>
      </c>
      <c r="E15747" s="733"/>
    </row>
    <row r="15748" spans="2:5">
      <c r="B15748" s="121">
        <v>1324</v>
      </c>
      <c r="C15748" s="121">
        <v>2</v>
      </c>
      <c r="D15748" s="734">
        <v>94.556326220922131</v>
      </c>
      <c r="E15748" s="733"/>
    </row>
    <row r="15749" spans="2:5">
      <c r="B15749" s="121">
        <v>1325</v>
      </c>
      <c r="C15749" s="121">
        <v>1</v>
      </c>
      <c r="D15749" s="734">
        <v>5</v>
      </c>
      <c r="E15749" s="733"/>
    </row>
    <row r="15750" spans="2:5">
      <c r="B15750" s="121">
        <v>1326</v>
      </c>
      <c r="C15750" s="121">
        <v>1</v>
      </c>
      <c r="D15750" s="734">
        <v>5</v>
      </c>
      <c r="E15750" s="733"/>
    </row>
    <row r="15751" spans="2:5">
      <c r="B15751" s="121">
        <v>1326</v>
      </c>
      <c r="C15751" s="121">
        <v>2</v>
      </c>
      <c r="D15751" s="734">
        <v>94.290289652117536</v>
      </c>
      <c r="E15751" s="733"/>
    </row>
    <row r="15752" spans="2:5">
      <c r="B15752" s="121">
        <v>1326</v>
      </c>
      <c r="C15752" s="121">
        <v>3</v>
      </c>
      <c r="D15752" s="734">
        <v>114.50614329536197</v>
      </c>
      <c r="E15752" s="733"/>
    </row>
    <row r="15753" spans="2:5">
      <c r="B15753" s="121">
        <v>1326</v>
      </c>
      <c r="C15753" s="121">
        <v>4</v>
      </c>
      <c r="D15753" s="734">
        <v>144.34446868069793</v>
      </c>
      <c r="E15753" s="733"/>
    </row>
    <row r="15754" spans="2:5">
      <c r="B15754" s="121">
        <v>1326</v>
      </c>
      <c r="C15754" s="121">
        <v>5</v>
      </c>
      <c r="D15754" s="734">
        <v>141.66709902377684</v>
      </c>
      <c r="E15754" s="733"/>
    </row>
    <row r="15755" spans="2:5">
      <c r="B15755" s="121">
        <v>1326</v>
      </c>
      <c r="C15755" s="121">
        <v>6</v>
      </c>
      <c r="D15755" s="734">
        <v>138.42260110566937</v>
      </c>
      <c r="E15755" s="733"/>
    </row>
    <row r="15756" spans="2:5">
      <c r="B15756" s="121">
        <v>1326</v>
      </c>
      <c r="C15756" s="121">
        <v>7</v>
      </c>
      <c r="D15756" s="734">
        <v>140.65702621674617</v>
      </c>
      <c r="E15756" s="733"/>
    </row>
    <row r="15757" spans="2:5">
      <c r="B15757" s="121">
        <v>1326</v>
      </c>
      <c r="C15757" s="121">
        <v>8</v>
      </c>
      <c r="D15757" s="734">
        <v>138.68139313710751</v>
      </c>
      <c r="E15757" s="733"/>
    </row>
    <row r="15758" spans="2:5">
      <c r="B15758" s="121">
        <v>1326</v>
      </c>
      <c r="C15758" s="121">
        <v>9</v>
      </c>
      <c r="D15758" s="734">
        <v>143.71435259143598</v>
      </c>
      <c r="E15758" s="733"/>
    </row>
    <row r="15759" spans="2:5">
      <c r="B15759" s="121">
        <v>1326</v>
      </c>
      <c r="C15759" s="121">
        <v>10</v>
      </c>
      <c r="D15759" s="734">
        <v>138.34595246812296</v>
      </c>
      <c r="E15759" s="733"/>
    </row>
    <row r="15760" spans="2:5">
      <c r="B15760" s="121">
        <v>1327</v>
      </c>
      <c r="C15760" s="121">
        <v>1</v>
      </c>
      <c r="D15760" s="734">
        <v>5</v>
      </c>
      <c r="E15760" s="733"/>
    </row>
    <row r="15761" spans="2:5">
      <c r="B15761" s="121">
        <v>1328</v>
      </c>
      <c r="C15761" s="121">
        <v>1</v>
      </c>
      <c r="D15761" s="734">
        <v>5</v>
      </c>
      <c r="E15761" s="733"/>
    </row>
    <row r="15762" spans="2:5">
      <c r="B15762" s="121">
        <v>1328</v>
      </c>
      <c r="C15762" s="121">
        <v>2</v>
      </c>
      <c r="D15762" s="734">
        <v>95.357198365471049</v>
      </c>
      <c r="E15762" s="733"/>
    </row>
    <row r="15763" spans="2:5">
      <c r="B15763" s="121">
        <v>1328</v>
      </c>
      <c r="C15763" s="121">
        <v>3</v>
      </c>
      <c r="D15763" s="734">
        <v>118.81666163711378</v>
      </c>
      <c r="E15763" s="733"/>
    </row>
    <row r="15764" spans="2:5">
      <c r="B15764" s="121">
        <v>1329</v>
      </c>
      <c r="C15764" s="121">
        <v>1</v>
      </c>
      <c r="D15764" s="734">
        <v>5</v>
      </c>
      <c r="E15764" s="733"/>
    </row>
    <row r="15765" spans="2:5">
      <c r="B15765" s="121">
        <v>1329</v>
      </c>
      <c r="C15765" s="121">
        <v>2</v>
      </c>
      <c r="D15765" s="734">
        <v>96.988520068668819</v>
      </c>
      <c r="E15765" s="733"/>
    </row>
    <row r="15766" spans="2:5">
      <c r="B15766" s="121">
        <v>1329</v>
      </c>
      <c r="C15766" s="121">
        <v>3</v>
      </c>
      <c r="D15766" s="734">
        <v>122.62467653932383</v>
      </c>
      <c r="E15766" s="733"/>
    </row>
    <row r="15767" spans="2:5">
      <c r="B15767" s="121">
        <v>1329</v>
      </c>
      <c r="C15767" s="121">
        <v>4</v>
      </c>
      <c r="D15767" s="734">
        <v>143.30387393392121</v>
      </c>
      <c r="E15767" s="733"/>
    </row>
    <row r="15768" spans="2:5">
      <c r="B15768" s="121">
        <v>1329</v>
      </c>
      <c r="C15768" s="121">
        <v>5</v>
      </c>
      <c r="D15768" s="734">
        <v>135.4819553261589</v>
      </c>
      <c r="E15768" s="733"/>
    </row>
    <row r="15769" spans="2:5">
      <c r="B15769" s="121">
        <v>1329</v>
      </c>
      <c r="C15769" s="121">
        <v>6</v>
      </c>
      <c r="D15769" s="734">
        <v>144.783326852713</v>
      </c>
      <c r="E15769" s="733"/>
    </row>
    <row r="15770" spans="2:5">
      <c r="B15770" s="121">
        <v>1329</v>
      </c>
      <c r="C15770" s="121">
        <v>7</v>
      </c>
      <c r="D15770" s="734">
        <v>143.62070563620009</v>
      </c>
      <c r="E15770" s="733"/>
    </row>
    <row r="15771" spans="2:5">
      <c r="B15771" s="121">
        <v>1329</v>
      </c>
      <c r="C15771" s="121">
        <v>8</v>
      </c>
      <c r="D15771" s="734">
        <v>140.40121674329626</v>
      </c>
      <c r="E15771" s="733"/>
    </row>
    <row r="15772" spans="2:5">
      <c r="B15772" s="121">
        <v>1329</v>
      </c>
      <c r="C15772" s="121">
        <v>9</v>
      </c>
      <c r="D15772" s="734">
        <v>135.88504259597036</v>
      </c>
      <c r="E15772" s="733"/>
    </row>
    <row r="15773" spans="2:5">
      <c r="B15773" s="121">
        <v>1329</v>
      </c>
      <c r="C15773" s="121">
        <v>10</v>
      </c>
      <c r="D15773" s="734">
        <v>135.38793648064754</v>
      </c>
      <c r="E15773" s="733"/>
    </row>
    <row r="15774" spans="2:5">
      <c r="B15774" s="121">
        <v>1329</v>
      </c>
      <c r="C15774" s="121">
        <v>11</v>
      </c>
      <c r="D15774" s="734">
        <v>146.28137637404788</v>
      </c>
      <c r="E15774" s="733"/>
    </row>
    <row r="15775" spans="2:5">
      <c r="B15775" s="121">
        <v>1329</v>
      </c>
      <c r="C15775" s="121">
        <v>12</v>
      </c>
      <c r="D15775" s="734">
        <v>137.29491265713494</v>
      </c>
      <c r="E15775" s="733"/>
    </row>
    <row r="15776" spans="2:5">
      <c r="B15776" s="121">
        <v>1329</v>
      </c>
      <c r="C15776" s="121">
        <v>13</v>
      </c>
      <c r="D15776" s="734">
        <v>142.29827067135605</v>
      </c>
      <c r="E15776" s="733"/>
    </row>
    <row r="15777" spans="2:5">
      <c r="B15777" s="121">
        <v>1329</v>
      </c>
      <c r="C15777" s="121">
        <v>14</v>
      </c>
      <c r="D15777" s="734">
        <v>145.93419206266836</v>
      </c>
      <c r="E15777" s="733"/>
    </row>
    <row r="15778" spans="2:5">
      <c r="B15778" s="121">
        <v>1329</v>
      </c>
      <c r="C15778" s="121">
        <v>15</v>
      </c>
      <c r="D15778" s="734">
        <v>135.70049452151017</v>
      </c>
      <c r="E15778" s="733"/>
    </row>
    <row r="15779" spans="2:5">
      <c r="B15779" s="121">
        <v>1329</v>
      </c>
      <c r="C15779" s="121">
        <v>16</v>
      </c>
      <c r="D15779" s="734">
        <v>133.91845804496296</v>
      </c>
      <c r="E15779" s="733"/>
    </row>
    <row r="15780" spans="2:5">
      <c r="B15780" s="121">
        <v>1329</v>
      </c>
      <c r="C15780" s="121">
        <v>17</v>
      </c>
      <c r="D15780" s="734">
        <v>136.21662730315236</v>
      </c>
      <c r="E15780" s="733"/>
    </row>
    <row r="15781" spans="2:5">
      <c r="B15781" s="121">
        <v>1329</v>
      </c>
      <c r="C15781" s="121">
        <v>18</v>
      </c>
      <c r="D15781" s="734">
        <v>139.77578617183508</v>
      </c>
      <c r="E15781" s="733"/>
    </row>
    <row r="15782" spans="2:5">
      <c r="B15782" s="121">
        <v>1329</v>
      </c>
      <c r="C15782" s="121">
        <v>19</v>
      </c>
      <c r="D15782" s="734">
        <v>137.89957969019034</v>
      </c>
      <c r="E15782" s="733"/>
    </row>
    <row r="15783" spans="2:5">
      <c r="B15783" s="121">
        <v>1329</v>
      </c>
      <c r="C15783" s="121">
        <v>20</v>
      </c>
      <c r="D15783" s="734">
        <v>144.91055470454748</v>
      </c>
      <c r="E15783" s="733"/>
    </row>
    <row r="15784" spans="2:5">
      <c r="B15784" s="121">
        <v>1329</v>
      </c>
      <c r="C15784" s="121">
        <v>21</v>
      </c>
      <c r="D15784" s="734">
        <v>141.31300051473698</v>
      </c>
      <c r="E15784" s="733"/>
    </row>
    <row r="15785" spans="2:5">
      <c r="B15785" s="121">
        <v>1329</v>
      </c>
      <c r="C15785" s="121">
        <v>22</v>
      </c>
      <c r="D15785" s="734">
        <v>141.69010714507127</v>
      </c>
      <c r="E15785" s="733"/>
    </row>
    <row r="15786" spans="2:5">
      <c r="B15786" s="121">
        <v>1329</v>
      </c>
      <c r="C15786" s="121">
        <v>23</v>
      </c>
      <c r="D15786" s="734">
        <v>138.62550250433125</v>
      </c>
      <c r="E15786" s="733"/>
    </row>
    <row r="15787" spans="2:5">
      <c r="B15787" s="121">
        <v>1329</v>
      </c>
      <c r="C15787" s="121">
        <v>24</v>
      </c>
      <c r="D15787" s="734">
        <v>135.78663516949345</v>
      </c>
      <c r="E15787" s="733"/>
    </row>
    <row r="15788" spans="2:5">
      <c r="B15788" s="121">
        <v>1329</v>
      </c>
      <c r="C15788" s="121">
        <v>25</v>
      </c>
      <c r="D15788" s="734">
        <v>137.36543008842207</v>
      </c>
      <c r="E15788" s="733"/>
    </row>
    <row r="15789" spans="2:5">
      <c r="B15789" s="121">
        <v>1329</v>
      </c>
      <c r="C15789" s="121">
        <v>26</v>
      </c>
      <c r="D15789" s="734">
        <v>140.72495543865972</v>
      </c>
      <c r="E15789" s="733"/>
    </row>
    <row r="15790" spans="2:5">
      <c r="B15790" s="121">
        <v>1329</v>
      </c>
      <c r="C15790" s="121">
        <v>27</v>
      </c>
      <c r="D15790" s="734">
        <v>141.46714541353791</v>
      </c>
      <c r="E15790" s="733"/>
    </row>
    <row r="15791" spans="2:5">
      <c r="B15791" s="121">
        <v>1329</v>
      </c>
      <c r="C15791" s="121">
        <v>28</v>
      </c>
      <c r="D15791" s="734">
        <v>144.27774190843445</v>
      </c>
      <c r="E15791" s="733"/>
    </row>
    <row r="15792" spans="2:5">
      <c r="B15792" s="121">
        <v>1329</v>
      </c>
      <c r="C15792" s="121">
        <v>29</v>
      </c>
      <c r="D15792" s="734">
        <v>140.75912623921434</v>
      </c>
      <c r="E15792" s="733"/>
    </row>
    <row r="15793" spans="2:5">
      <c r="B15793" s="121">
        <v>1329</v>
      </c>
      <c r="C15793" s="121">
        <v>30</v>
      </c>
      <c r="D15793" s="734">
        <v>140.71271584853622</v>
      </c>
      <c r="E15793" s="733"/>
    </row>
    <row r="15794" spans="2:5">
      <c r="B15794" s="121">
        <v>1329</v>
      </c>
      <c r="C15794" s="121">
        <v>31</v>
      </c>
      <c r="D15794" s="734">
        <v>144.55846200638265</v>
      </c>
      <c r="E15794" s="733"/>
    </row>
    <row r="15795" spans="2:5">
      <c r="B15795" s="121">
        <v>1329</v>
      </c>
      <c r="C15795" s="121">
        <v>32</v>
      </c>
      <c r="D15795" s="734">
        <v>140.67619622845064</v>
      </c>
      <c r="E15795" s="733"/>
    </row>
    <row r="15796" spans="2:5">
      <c r="B15796" s="121">
        <v>1329</v>
      </c>
      <c r="C15796" s="121">
        <v>33</v>
      </c>
      <c r="D15796" s="734">
        <v>133.74858115994189</v>
      </c>
      <c r="E15796" s="733"/>
    </row>
    <row r="15797" spans="2:5">
      <c r="B15797" s="121">
        <v>1329</v>
      </c>
      <c r="C15797" s="121">
        <v>34</v>
      </c>
      <c r="D15797" s="734">
        <v>143.87443677912574</v>
      </c>
      <c r="E15797" s="733"/>
    </row>
    <row r="15798" spans="2:5">
      <c r="B15798" s="121">
        <v>1329</v>
      </c>
      <c r="C15798" s="121">
        <v>35</v>
      </c>
      <c r="D15798" s="734">
        <v>146.40821368964765</v>
      </c>
      <c r="E15798" s="733"/>
    </row>
    <row r="15799" spans="2:5">
      <c r="B15799" s="121">
        <v>1329</v>
      </c>
      <c r="C15799" s="121">
        <v>36</v>
      </c>
      <c r="D15799" s="734">
        <v>144.70131831863384</v>
      </c>
      <c r="E15799" s="733"/>
    </row>
    <row r="15800" spans="2:5">
      <c r="B15800" s="121">
        <v>1330</v>
      </c>
      <c r="C15800" s="121">
        <v>1</v>
      </c>
      <c r="D15800" s="734">
        <v>5</v>
      </c>
      <c r="E15800" s="733"/>
    </row>
    <row r="15801" spans="2:5">
      <c r="B15801" s="121">
        <v>1331</v>
      </c>
      <c r="C15801" s="121">
        <v>1</v>
      </c>
      <c r="D15801" s="734">
        <v>5</v>
      </c>
      <c r="E15801" s="733"/>
    </row>
    <row r="15802" spans="2:5">
      <c r="B15802" s="121">
        <v>1331</v>
      </c>
      <c r="C15802" s="121">
        <v>2</v>
      </c>
      <c r="D15802" s="734">
        <v>103.11726764538498</v>
      </c>
      <c r="E15802" s="733"/>
    </row>
    <row r="15803" spans="2:5">
      <c r="B15803" s="121">
        <v>1331</v>
      </c>
      <c r="C15803" s="121">
        <v>3</v>
      </c>
      <c r="D15803" s="734">
        <v>124.03225720231083</v>
      </c>
      <c r="E15803" s="733"/>
    </row>
    <row r="15804" spans="2:5">
      <c r="B15804" s="121">
        <v>1331</v>
      </c>
      <c r="C15804" s="121">
        <v>4</v>
      </c>
      <c r="D15804" s="734">
        <v>137.81121486686379</v>
      </c>
      <c r="E15804" s="733"/>
    </row>
    <row r="15805" spans="2:5">
      <c r="B15805" s="121">
        <v>1331</v>
      </c>
      <c r="C15805" s="121">
        <v>5</v>
      </c>
      <c r="D15805" s="734">
        <v>140.92028928385758</v>
      </c>
      <c r="E15805" s="733"/>
    </row>
    <row r="15806" spans="2:5">
      <c r="B15806" s="121">
        <v>1331</v>
      </c>
      <c r="C15806" s="121">
        <v>6</v>
      </c>
      <c r="D15806" s="734">
        <v>143.26182159587466</v>
      </c>
      <c r="E15806" s="733"/>
    </row>
    <row r="15807" spans="2:5">
      <c r="B15807" s="121">
        <v>1331</v>
      </c>
      <c r="C15807" s="121">
        <v>7</v>
      </c>
      <c r="D15807" s="734">
        <v>145.72705892360997</v>
      </c>
      <c r="E15807" s="733"/>
    </row>
    <row r="15808" spans="2:5">
      <c r="B15808" s="121">
        <v>1331</v>
      </c>
      <c r="C15808" s="121">
        <v>8</v>
      </c>
      <c r="D15808" s="734">
        <v>143.74049461542523</v>
      </c>
      <c r="E15808" s="733"/>
    </row>
    <row r="15809" spans="2:5">
      <c r="B15809" s="121">
        <v>1331</v>
      </c>
      <c r="C15809" s="121">
        <v>9</v>
      </c>
      <c r="D15809" s="734">
        <v>141.29530718548074</v>
      </c>
      <c r="E15809" s="733"/>
    </row>
    <row r="15810" spans="2:5">
      <c r="B15810" s="121">
        <v>1331</v>
      </c>
      <c r="C15810" s="121">
        <v>10</v>
      </c>
      <c r="D15810" s="734">
        <v>141.72222088890408</v>
      </c>
      <c r="E15810" s="733"/>
    </row>
    <row r="15811" spans="2:5">
      <c r="B15811" s="121">
        <v>1331</v>
      </c>
      <c r="C15811" s="121">
        <v>11</v>
      </c>
      <c r="D15811" s="734">
        <v>139.28844050096052</v>
      </c>
      <c r="E15811" s="733"/>
    </row>
    <row r="15812" spans="2:5">
      <c r="B15812" s="121">
        <v>1331</v>
      </c>
      <c r="C15812" s="121">
        <v>12</v>
      </c>
      <c r="D15812" s="734">
        <v>138.54121225185148</v>
      </c>
      <c r="E15812" s="733"/>
    </row>
    <row r="15813" spans="2:5">
      <c r="B15813" s="121">
        <v>1331</v>
      </c>
      <c r="C15813" s="121">
        <v>13</v>
      </c>
      <c r="D15813" s="734">
        <v>140.95079558094284</v>
      </c>
      <c r="E15813" s="733"/>
    </row>
    <row r="15814" spans="2:5">
      <c r="B15814" s="121">
        <v>1331</v>
      </c>
      <c r="C15814" s="121">
        <v>14</v>
      </c>
      <c r="D15814" s="734">
        <v>135.33957909622157</v>
      </c>
      <c r="E15814" s="733"/>
    </row>
    <row r="15815" spans="2:5">
      <c r="B15815" s="121">
        <v>1331</v>
      </c>
      <c r="C15815" s="121">
        <v>15</v>
      </c>
      <c r="D15815" s="734">
        <v>137.6046272728052</v>
      </c>
      <c r="E15815" s="733"/>
    </row>
    <row r="15816" spans="2:5">
      <c r="B15816" s="121">
        <v>1331</v>
      </c>
      <c r="C15816" s="121">
        <v>16</v>
      </c>
      <c r="D15816" s="734">
        <v>141.68454144950016</v>
      </c>
      <c r="E15816" s="733"/>
    </row>
    <row r="15817" spans="2:5">
      <c r="B15817" s="121">
        <v>1331</v>
      </c>
      <c r="C15817" s="121">
        <v>17</v>
      </c>
      <c r="D15817" s="734">
        <v>146.55942876603893</v>
      </c>
      <c r="E15817" s="733"/>
    </row>
    <row r="15818" spans="2:5">
      <c r="B15818" s="121">
        <v>1331</v>
      </c>
      <c r="C15818" s="121">
        <v>18</v>
      </c>
      <c r="D15818" s="734">
        <v>141.56880384691979</v>
      </c>
      <c r="E15818" s="733"/>
    </row>
    <row r="15819" spans="2:5">
      <c r="B15819" s="121">
        <v>1331</v>
      </c>
      <c r="C15819" s="121">
        <v>19</v>
      </c>
      <c r="D15819" s="734">
        <v>142.55384928456843</v>
      </c>
      <c r="E15819" s="733"/>
    </row>
    <row r="15820" spans="2:5">
      <c r="B15820" s="121">
        <v>1331</v>
      </c>
      <c r="C15820" s="121">
        <v>20</v>
      </c>
      <c r="D15820" s="734">
        <v>141.87822409069494</v>
      </c>
      <c r="E15820" s="733"/>
    </row>
    <row r="15821" spans="2:5">
      <c r="B15821" s="121">
        <v>1331</v>
      </c>
      <c r="C15821" s="121">
        <v>21</v>
      </c>
      <c r="D15821" s="734">
        <v>141.94088641618617</v>
      </c>
      <c r="E15821" s="733"/>
    </row>
    <row r="15822" spans="2:5">
      <c r="B15822" s="121">
        <v>1331</v>
      </c>
      <c r="C15822" s="121">
        <v>22</v>
      </c>
      <c r="D15822" s="734">
        <v>135.03549645363057</v>
      </c>
      <c r="E15822" s="733"/>
    </row>
    <row r="15823" spans="2:5">
      <c r="B15823" s="121">
        <v>1331</v>
      </c>
      <c r="C15823" s="121">
        <v>23</v>
      </c>
      <c r="D15823" s="734">
        <v>137.67179419749939</v>
      </c>
      <c r="E15823" s="733"/>
    </row>
    <row r="15824" spans="2:5">
      <c r="B15824" s="121">
        <v>1331</v>
      </c>
      <c r="C15824" s="121">
        <v>24</v>
      </c>
      <c r="D15824" s="734">
        <v>136.20105809452377</v>
      </c>
      <c r="E15824" s="733"/>
    </row>
    <row r="15825" spans="2:5">
      <c r="B15825" s="121">
        <v>1331</v>
      </c>
      <c r="C15825" s="121">
        <v>25</v>
      </c>
      <c r="D15825" s="734">
        <v>140.55549909298753</v>
      </c>
      <c r="E15825" s="733"/>
    </row>
    <row r="15826" spans="2:5">
      <c r="B15826" s="121">
        <v>1331</v>
      </c>
      <c r="C15826" s="121">
        <v>26</v>
      </c>
      <c r="D15826" s="734">
        <v>141.73812137883397</v>
      </c>
      <c r="E15826" s="733"/>
    </row>
    <row r="15827" spans="2:5">
      <c r="B15827" s="121">
        <v>1331</v>
      </c>
      <c r="C15827" s="121">
        <v>27</v>
      </c>
      <c r="D15827" s="734">
        <v>145.95456652426648</v>
      </c>
      <c r="E15827" s="733"/>
    </row>
    <row r="15828" spans="2:5">
      <c r="B15828" s="121">
        <v>1331</v>
      </c>
      <c r="C15828" s="121">
        <v>28</v>
      </c>
      <c r="D15828" s="734">
        <v>137.76108248244026</v>
      </c>
      <c r="E15828" s="733"/>
    </row>
    <row r="15829" spans="2:5">
      <c r="B15829" s="121">
        <v>1331</v>
      </c>
      <c r="C15829" s="121">
        <v>29</v>
      </c>
      <c r="D15829" s="734">
        <v>135.44811482721244</v>
      </c>
      <c r="E15829" s="733"/>
    </row>
    <row r="15830" spans="2:5">
      <c r="B15830" s="121">
        <v>1331</v>
      </c>
      <c r="C15830" s="121">
        <v>30</v>
      </c>
      <c r="D15830" s="734">
        <v>143.57475500349415</v>
      </c>
      <c r="E15830" s="733"/>
    </row>
    <row r="15831" spans="2:5">
      <c r="B15831" s="121">
        <v>1331</v>
      </c>
      <c r="C15831" s="121">
        <v>31</v>
      </c>
      <c r="D15831" s="734">
        <v>144.67720692978898</v>
      </c>
      <c r="E15831" s="733"/>
    </row>
    <row r="15832" spans="2:5">
      <c r="B15832" s="121">
        <v>1331</v>
      </c>
      <c r="C15832" s="121">
        <v>32</v>
      </c>
      <c r="D15832" s="734">
        <v>140.55520852663253</v>
      </c>
      <c r="E15832" s="733"/>
    </row>
    <row r="15833" spans="2:5">
      <c r="B15833" s="121">
        <v>1331</v>
      </c>
      <c r="C15833" s="121">
        <v>33</v>
      </c>
      <c r="D15833" s="734">
        <v>138.26924087826546</v>
      </c>
      <c r="E15833" s="733"/>
    </row>
    <row r="15834" spans="2:5">
      <c r="B15834" s="121">
        <v>1332</v>
      </c>
      <c r="C15834" s="121">
        <v>1</v>
      </c>
      <c r="D15834" s="734">
        <v>5</v>
      </c>
      <c r="E15834" s="733"/>
    </row>
    <row r="15835" spans="2:5">
      <c r="B15835" s="121">
        <v>1332</v>
      </c>
      <c r="C15835" s="121">
        <v>2</v>
      </c>
      <c r="D15835" s="734">
        <v>99.147458038789395</v>
      </c>
      <c r="E15835" s="733"/>
    </row>
    <row r="15836" spans="2:5">
      <c r="B15836" s="121">
        <v>1332</v>
      </c>
      <c r="C15836" s="121">
        <v>3</v>
      </c>
      <c r="D15836" s="734">
        <v>120.11496963505219</v>
      </c>
      <c r="E15836" s="733"/>
    </row>
    <row r="15837" spans="2:5">
      <c r="B15837" s="121">
        <v>1332</v>
      </c>
      <c r="C15837" s="121">
        <v>4</v>
      </c>
      <c r="D15837" s="734">
        <v>139.36757067535083</v>
      </c>
      <c r="E15837" s="733"/>
    </row>
    <row r="15838" spans="2:5">
      <c r="B15838" s="121">
        <v>1332</v>
      </c>
      <c r="C15838" s="121">
        <v>5</v>
      </c>
      <c r="D15838" s="734">
        <v>146.53554013616014</v>
      </c>
      <c r="E15838" s="733"/>
    </row>
    <row r="15839" spans="2:5">
      <c r="B15839" s="121">
        <v>1332</v>
      </c>
      <c r="C15839" s="121">
        <v>6</v>
      </c>
      <c r="D15839" s="734">
        <v>145.05468038251939</v>
      </c>
      <c r="E15839" s="733"/>
    </row>
    <row r="15840" spans="2:5">
      <c r="B15840" s="121">
        <v>1332</v>
      </c>
      <c r="C15840" s="121">
        <v>7</v>
      </c>
      <c r="D15840" s="734">
        <v>138.68080810939378</v>
      </c>
      <c r="E15840" s="733"/>
    </row>
    <row r="15841" spans="2:5">
      <c r="B15841" s="121">
        <v>1332</v>
      </c>
      <c r="C15841" s="121">
        <v>8</v>
      </c>
      <c r="D15841" s="734">
        <v>141.75599065181066</v>
      </c>
      <c r="E15841" s="733"/>
    </row>
    <row r="15842" spans="2:5">
      <c r="B15842" s="121">
        <v>1332</v>
      </c>
      <c r="C15842" s="121">
        <v>9</v>
      </c>
      <c r="D15842" s="734">
        <v>142.74385327868498</v>
      </c>
      <c r="E15842" s="733"/>
    </row>
    <row r="15843" spans="2:5">
      <c r="B15843" s="121">
        <v>1332</v>
      </c>
      <c r="C15843" s="121">
        <v>10</v>
      </c>
      <c r="D15843" s="734">
        <v>138.84105779600768</v>
      </c>
      <c r="E15843" s="733"/>
    </row>
    <row r="15844" spans="2:5">
      <c r="B15844" s="121">
        <v>1332</v>
      </c>
      <c r="C15844" s="121">
        <v>11</v>
      </c>
      <c r="D15844" s="734">
        <v>147.01248850581126</v>
      </c>
      <c r="E15844" s="733"/>
    </row>
    <row r="15845" spans="2:5">
      <c r="B15845" s="121">
        <v>1332</v>
      </c>
      <c r="C15845" s="121">
        <v>12</v>
      </c>
      <c r="D15845" s="734">
        <v>137.77374613828914</v>
      </c>
      <c r="E15845" s="733"/>
    </row>
    <row r="15846" spans="2:5">
      <c r="B15846" s="121">
        <v>1332</v>
      </c>
      <c r="C15846" s="121">
        <v>13</v>
      </c>
      <c r="D15846" s="734">
        <v>135.84500619801278</v>
      </c>
      <c r="E15846" s="733"/>
    </row>
    <row r="15847" spans="2:5">
      <c r="B15847" s="121">
        <v>1332</v>
      </c>
      <c r="C15847" s="121">
        <v>14</v>
      </c>
      <c r="D15847" s="734">
        <v>146.80189296151499</v>
      </c>
      <c r="E15847" s="733"/>
    </row>
    <row r="15848" spans="2:5">
      <c r="B15848" s="121">
        <v>1332</v>
      </c>
      <c r="C15848" s="121">
        <v>15</v>
      </c>
      <c r="D15848" s="734">
        <v>146.26934805887308</v>
      </c>
      <c r="E15848" s="733"/>
    </row>
    <row r="15849" spans="2:5">
      <c r="B15849" s="121">
        <v>1332</v>
      </c>
      <c r="C15849" s="121">
        <v>16</v>
      </c>
      <c r="D15849" s="734">
        <v>135.00519016813561</v>
      </c>
      <c r="E15849" s="733"/>
    </row>
    <row r="15850" spans="2:5">
      <c r="B15850" s="121">
        <v>1332</v>
      </c>
      <c r="C15850" s="121">
        <v>17</v>
      </c>
      <c r="D15850" s="734">
        <v>137.94004023384991</v>
      </c>
      <c r="E15850" s="733"/>
    </row>
    <row r="15851" spans="2:5">
      <c r="B15851" s="121">
        <v>1332</v>
      </c>
      <c r="C15851" s="121">
        <v>18</v>
      </c>
      <c r="D15851" s="734">
        <v>140.02820570959923</v>
      </c>
      <c r="E15851" s="733"/>
    </row>
    <row r="15852" spans="2:5">
      <c r="B15852" s="121">
        <v>1332</v>
      </c>
      <c r="C15852" s="121">
        <v>19</v>
      </c>
      <c r="D15852" s="734">
        <v>138.97402374598383</v>
      </c>
      <c r="E15852" s="733"/>
    </row>
    <row r="15853" spans="2:5">
      <c r="B15853" s="121">
        <v>1332</v>
      </c>
      <c r="C15853" s="121">
        <v>20</v>
      </c>
      <c r="D15853" s="734">
        <v>140.84119569116754</v>
      </c>
      <c r="E15853" s="733"/>
    </row>
    <row r="15854" spans="2:5">
      <c r="B15854" s="121">
        <v>1332</v>
      </c>
      <c r="C15854" s="121">
        <v>21</v>
      </c>
      <c r="D15854" s="734">
        <v>145.46195872669992</v>
      </c>
      <c r="E15854" s="733"/>
    </row>
    <row r="15855" spans="2:5">
      <c r="B15855" s="121">
        <v>1332</v>
      </c>
      <c r="C15855" s="121">
        <v>22</v>
      </c>
      <c r="D15855" s="734">
        <v>139.92270447509921</v>
      </c>
      <c r="E15855" s="733"/>
    </row>
    <row r="15856" spans="2:5">
      <c r="B15856" s="121">
        <v>1332</v>
      </c>
      <c r="C15856" s="121">
        <v>23</v>
      </c>
      <c r="D15856" s="734">
        <v>139.9576694801512</v>
      </c>
      <c r="E15856" s="733"/>
    </row>
    <row r="15857" spans="2:5">
      <c r="B15857" s="121">
        <v>1332</v>
      </c>
      <c r="C15857" s="121">
        <v>24</v>
      </c>
      <c r="D15857" s="734">
        <v>145.74803543936849</v>
      </c>
      <c r="E15857" s="733"/>
    </row>
    <row r="15858" spans="2:5">
      <c r="B15858" s="121">
        <v>1332</v>
      </c>
      <c r="C15858" s="121">
        <v>25</v>
      </c>
      <c r="D15858" s="734">
        <v>141.72843484374172</v>
      </c>
      <c r="E15858" s="733"/>
    </row>
    <row r="15859" spans="2:5">
      <c r="B15859" s="121">
        <v>1332</v>
      </c>
      <c r="C15859" s="121">
        <v>26</v>
      </c>
      <c r="D15859" s="734">
        <v>138.77961014690101</v>
      </c>
      <c r="E15859" s="733"/>
    </row>
    <row r="15860" spans="2:5">
      <c r="B15860" s="121">
        <v>1332</v>
      </c>
      <c r="C15860" s="121">
        <v>27</v>
      </c>
      <c r="D15860" s="734">
        <v>138.37601677925412</v>
      </c>
      <c r="E15860" s="733"/>
    </row>
    <row r="15861" spans="2:5">
      <c r="B15861" s="121">
        <v>1332</v>
      </c>
      <c r="C15861" s="121">
        <v>28</v>
      </c>
      <c r="D15861" s="734">
        <v>145.78116161019261</v>
      </c>
      <c r="E15861" s="733"/>
    </row>
    <row r="15862" spans="2:5">
      <c r="B15862" s="121">
        <v>1332</v>
      </c>
      <c r="C15862" s="121">
        <v>29</v>
      </c>
      <c r="D15862" s="734">
        <v>134.99971165403727</v>
      </c>
      <c r="E15862" s="733"/>
    </row>
    <row r="15863" spans="2:5">
      <c r="B15863" s="121">
        <v>1332</v>
      </c>
      <c r="C15863" s="121">
        <v>30</v>
      </c>
      <c r="D15863" s="734">
        <v>134.5472768845222</v>
      </c>
      <c r="E15863" s="733"/>
    </row>
    <row r="15864" spans="2:5">
      <c r="B15864" s="121">
        <v>1332</v>
      </c>
      <c r="C15864" s="121">
        <v>31</v>
      </c>
      <c r="D15864" s="734">
        <v>134.52644077741823</v>
      </c>
      <c r="E15864" s="733"/>
    </row>
    <row r="15865" spans="2:5">
      <c r="B15865" s="121">
        <v>1332</v>
      </c>
      <c r="C15865" s="121">
        <v>32</v>
      </c>
      <c r="D15865" s="734">
        <v>144.07976306481666</v>
      </c>
      <c r="E15865" s="733"/>
    </row>
    <row r="15866" spans="2:5">
      <c r="B15866" s="121">
        <v>1332</v>
      </c>
      <c r="C15866" s="121">
        <v>33</v>
      </c>
      <c r="D15866" s="734">
        <v>135.61699932949315</v>
      </c>
      <c r="E15866" s="733"/>
    </row>
    <row r="15867" spans="2:5">
      <c r="B15867" s="121">
        <v>1332</v>
      </c>
      <c r="C15867" s="121">
        <v>34</v>
      </c>
      <c r="D15867" s="734">
        <v>145.75293822345157</v>
      </c>
      <c r="E15867" s="733"/>
    </row>
    <row r="15868" spans="2:5">
      <c r="B15868" s="121">
        <v>1332</v>
      </c>
      <c r="C15868" s="121">
        <v>35</v>
      </c>
      <c r="D15868" s="734">
        <v>136.33738042867947</v>
      </c>
      <c r="E15868" s="733"/>
    </row>
    <row r="15869" spans="2:5">
      <c r="B15869" s="121">
        <v>1332</v>
      </c>
      <c r="C15869" s="121">
        <v>36</v>
      </c>
      <c r="D15869" s="734">
        <v>145.65085760573544</v>
      </c>
      <c r="E15869" s="733"/>
    </row>
    <row r="15870" spans="2:5">
      <c r="B15870" s="121">
        <v>1333</v>
      </c>
      <c r="C15870" s="121">
        <v>1</v>
      </c>
      <c r="D15870" s="734">
        <v>5</v>
      </c>
      <c r="E15870" s="733"/>
    </row>
    <row r="15871" spans="2:5">
      <c r="B15871" s="121">
        <v>1334</v>
      </c>
      <c r="C15871" s="121">
        <v>1</v>
      </c>
      <c r="D15871" s="734">
        <v>5</v>
      </c>
      <c r="E15871" s="733"/>
    </row>
    <row r="15872" spans="2:5">
      <c r="B15872" s="121">
        <v>1335</v>
      </c>
      <c r="C15872" s="121">
        <v>1</v>
      </c>
      <c r="D15872" s="734">
        <v>5</v>
      </c>
      <c r="E15872" s="733"/>
    </row>
    <row r="15873" spans="2:5">
      <c r="B15873" s="121">
        <v>1335</v>
      </c>
      <c r="C15873" s="121">
        <v>2</v>
      </c>
      <c r="D15873" s="734">
        <v>100.99019704119179</v>
      </c>
      <c r="E15873" s="733"/>
    </row>
    <row r="15874" spans="2:5">
      <c r="B15874" s="121">
        <v>1335</v>
      </c>
      <c r="C15874" s="121">
        <v>3</v>
      </c>
      <c r="D15874" s="734">
        <v>117.82665630749472</v>
      </c>
      <c r="E15874" s="733"/>
    </row>
    <row r="15875" spans="2:5">
      <c r="B15875" s="121">
        <v>1335</v>
      </c>
      <c r="C15875" s="121">
        <v>4</v>
      </c>
      <c r="D15875" s="734">
        <v>135.22490850275852</v>
      </c>
      <c r="E15875" s="733"/>
    </row>
    <row r="15876" spans="2:5">
      <c r="B15876" s="121">
        <v>1335</v>
      </c>
      <c r="C15876" s="121">
        <v>5</v>
      </c>
      <c r="D15876" s="734">
        <v>134.27938608156694</v>
      </c>
      <c r="E15876" s="733"/>
    </row>
    <row r="15877" spans="2:5">
      <c r="B15877" s="121">
        <v>1335</v>
      </c>
      <c r="C15877" s="121">
        <v>6</v>
      </c>
      <c r="D15877" s="734">
        <v>146.68192433625896</v>
      </c>
      <c r="E15877" s="733"/>
    </row>
    <row r="15878" spans="2:5">
      <c r="B15878" s="121">
        <v>1335</v>
      </c>
      <c r="C15878" s="121">
        <v>7</v>
      </c>
      <c r="D15878" s="734">
        <v>139.66363502788883</v>
      </c>
      <c r="E15878" s="733"/>
    </row>
    <row r="15879" spans="2:5">
      <c r="B15879" s="121">
        <v>1335</v>
      </c>
      <c r="C15879" s="121">
        <v>8</v>
      </c>
      <c r="D15879" s="734">
        <v>135.06004151902988</v>
      </c>
      <c r="E15879" s="733"/>
    </row>
    <row r="15880" spans="2:5">
      <c r="B15880" s="121">
        <v>1336</v>
      </c>
      <c r="C15880" s="121">
        <v>1</v>
      </c>
      <c r="D15880" s="734">
        <v>5</v>
      </c>
      <c r="E15880" s="733"/>
    </row>
    <row r="15881" spans="2:5">
      <c r="B15881" s="121">
        <v>1337</v>
      </c>
      <c r="C15881" s="121">
        <v>1</v>
      </c>
      <c r="D15881" s="734">
        <v>5</v>
      </c>
      <c r="E15881" s="733"/>
    </row>
    <row r="15882" spans="2:5">
      <c r="B15882" s="121">
        <v>1338</v>
      </c>
      <c r="C15882" s="121">
        <v>1</v>
      </c>
      <c r="D15882" s="734">
        <v>5</v>
      </c>
      <c r="E15882" s="733"/>
    </row>
    <row r="15883" spans="2:5">
      <c r="B15883" s="121">
        <v>1339</v>
      </c>
      <c r="C15883" s="121">
        <v>1</v>
      </c>
      <c r="D15883" s="734">
        <v>5</v>
      </c>
      <c r="E15883" s="733"/>
    </row>
    <row r="15884" spans="2:5">
      <c r="B15884" s="121">
        <v>1339</v>
      </c>
      <c r="C15884" s="121">
        <v>2</v>
      </c>
      <c r="D15884" s="734">
        <v>95.266235515382917</v>
      </c>
      <c r="E15884" s="733"/>
    </row>
    <row r="15885" spans="2:5">
      <c r="B15885" s="121">
        <v>1339</v>
      </c>
      <c r="C15885" s="121">
        <v>3</v>
      </c>
      <c r="D15885" s="734">
        <v>121.16483213494679</v>
      </c>
      <c r="E15885" s="733"/>
    </row>
    <row r="15886" spans="2:5">
      <c r="B15886" s="121">
        <v>1339</v>
      </c>
      <c r="C15886" s="121">
        <v>4</v>
      </c>
      <c r="D15886" s="734">
        <v>136.39687441448143</v>
      </c>
      <c r="E15886" s="733"/>
    </row>
    <row r="15887" spans="2:5">
      <c r="B15887" s="121">
        <v>1339</v>
      </c>
      <c r="C15887" s="121">
        <v>5</v>
      </c>
      <c r="D15887" s="734">
        <v>135.53938094564435</v>
      </c>
      <c r="E15887" s="733"/>
    </row>
    <row r="15888" spans="2:5">
      <c r="B15888" s="121">
        <v>1339</v>
      </c>
      <c r="C15888" s="121">
        <v>6</v>
      </c>
      <c r="D15888" s="734">
        <v>140.73340285490565</v>
      </c>
      <c r="E15888" s="733"/>
    </row>
    <row r="15889" spans="2:5">
      <c r="B15889" s="121">
        <v>1339</v>
      </c>
      <c r="C15889" s="121">
        <v>7</v>
      </c>
      <c r="D15889" s="734">
        <v>137.2241917917124</v>
      </c>
      <c r="E15889" s="733"/>
    </row>
    <row r="15890" spans="2:5">
      <c r="B15890" s="121">
        <v>1339</v>
      </c>
      <c r="C15890" s="121">
        <v>8</v>
      </c>
      <c r="D15890" s="734">
        <v>135.58732038818343</v>
      </c>
      <c r="E15890" s="733"/>
    </row>
    <row r="15891" spans="2:5">
      <c r="B15891" s="121">
        <v>1339</v>
      </c>
      <c r="C15891" s="121">
        <v>9</v>
      </c>
      <c r="D15891" s="734">
        <v>145.26299766915085</v>
      </c>
      <c r="E15891" s="733"/>
    </row>
    <row r="15892" spans="2:5">
      <c r="B15892" s="121">
        <v>1339</v>
      </c>
      <c r="C15892" s="121">
        <v>10</v>
      </c>
      <c r="D15892" s="734">
        <v>137.3378672571414</v>
      </c>
      <c r="E15892" s="733"/>
    </row>
    <row r="15893" spans="2:5">
      <c r="B15893" s="121">
        <v>1339</v>
      </c>
      <c r="C15893" s="121">
        <v>11</v>
      </c>
      <c r="D15893" s="734">
        <v>146.21522309211349</v>
      </c>
      <c r="E15893" s="733"/>
    </row>
    <row r="15894" spans="2:5">
      <c r="B15894" s="121">
        <v>1339</v>
      </c>
      <c r="C15894" s="121">
        <v>12</v>
      </c>
      <c r="D15894" s="734">
        <v>134.70857126473948</v>
      </c>
      <c r="E15894" s="733"/>
    </row>
    <row r="15895" spans="2:5">
      <c r="B15895" s="121">
        <v>1339</v>
      </c>
      <c r="C15895" s="121">
        <v>13</v>
      </c>
      <c r="D15895" s="734">
        <v>140.55146350550302</v>
      </c>
      <c r="E15895" s="733"/>
    </row>
    <row r="15896" spans="2:5">
      <c r="B15896" s="121">
        <v>1339</v>
      </c>
      <c r="C15896" s="121">
        <v>14</v>
      </c>
      <c r="D15896" s="734">
        <v>144.34016314795298</v>
      </c>
      <c r="E15896" s="733"/>
    </row>
    <row r="15897" spans="2:5">
      <c r="B15897" s="121">
        <v>1340</v>
      </c>
      <c r="C15897" s="121">
        <v>1</v>
      </c>
      <c r="D15897" s="734">
        <v>5</v>
      </c>
      <c r="E15897" s="733"/>
    </row>
    <row r="15898" spans="2:5">
      <c r="B15898" s="121">
        <v>1340</v>
      </c>
      <c r="C15898" s="121">
        <v>2</v>
      </c>
      <c r="D15898" s="734">
        <v>97.17396985617097</v>
      </c>
      <c r="E15898" s="733"/>
    </row>
    <row r="15899" spans="2:5">
      <c r="B15899" s="121">
        <v>1340</v>
      </c>
      <c r="C15899" s="121">
        <v>3</v>
      </c>
      <c r="D15899" s="734">
        <v>115.81486240868898</v>
      </c>
      <c r="E15899" s="733"/>
    </row>
    <row r="15900" spans="2:5">
      <c r="B15900" s="121">
        <v>1340</v>
      </c>
      <c r="C15900" s="121">
        <v>4</v>
      </c>
      <c r="D15900" s="734">
        <v>141.29268547667107</v>
      </c>
      <c r="E15900" s="733"/>
    </row>
    <row r="15901" spans="2:5">
      <c r="B15901" s="121">
        <v>1340</v>
      </c>
      <c r="C15901" s="121">
        <v>5</v>
      </c>
      <c r="D15901" s="734">
        <v>134.75708754272176</v>
      </c>
      <c r="E15901" s="733"/>
    </row>
    <row r="15902" spans="2:5">
      <c r="B15902" s="121">
        <v>1341</v>
      </c>
      <c r="C15902" s="121">
        <v>1</v>
      </c>
      <c r="D15902" s="734">
        <v>5</v>
      </c>
      <c r="E15902" s="733"/>
    </row>
    <row r="15903" spans="2:5">
      <c r="B15903" s="121">
        <v>1341</v>
      </c>
      <c r="C15903" s="121">
        <v>2</v>
      </c>
      <c r="D15903" s="734">
        <v>95.346782854628174</v>
      </c>
      <c r="E15903" s="733"/>
    </row>
    <row r="15904" spans="2:5">
      <c r="B15904" s="121">
        <v>1341</v>
      </c>
      <c r="C15904" s="121">
        <v>3</v>
      </c>
      <c r="D15904" s="734">
        <v>118.75488984871025</v>
      </c>
      <c r="E15904" s="733"/>
    </row>
    <row r="15905" spans="2:5">
      <c r="B15905" s="121">
        <v>1341</v>
      </c>
      <c r="C15905" s="121">
        <v>4</v>
      </c>
      <c r="D15905" s="734">
        <v>138.72099195270746</v>
      </c>
      <c r="E15905" s="733"/>
    </row>
    <row r="15906" spans="2:5">
      <c r="B15906" s="121">
        <v>1341</v>
      </c>
      <c r="C15906" s="121">
        <v>5</v>
      </c>
      <c r="D15906" s="734">
        <v>144.46990146237093</v>
      </c>
      <c r="E15906" s="733"/>
    </row>
    <row r="15907" spans="2:5">
      <c r="B15907" s="121">
        <v>1341</v>
      </c>
      <c r="C15907" s="121">
        <v>6</v>
      </c>
      <c r="D15907" s="734">
        <v>138.76295464238228</v>
      </c>
      <c r="E15907" s="733"/>
    </row>
    <row r="15908" spans="2:5">
      <c r="B15908" s="121">
        <v>1341</v>
      </c>
      <c r="C15908" s="121">
        <v>7</v>
      </c>
      <c r="D15908" s="734">
        <v>141.01650029473819</v>
      </c>
      <c r="E15908" s="733"/>
    </row>
    <row r="15909" spans="2:5">
      <c r="B15909" s="121">
        <v>1341</v>
      </c>
      <c r="C15909" s="121">
        <v>8</v>
      </c>
      <c r="D15909" s="734">
        <v>136.31243772229385</v>
      </c>
      <c r="E15909" s="733"/>
    </row>
    <row r="15910" spans="2:5">
      <c r="B15910" s="121">
        <v>1341</v>
      </c>
      <c r="C15910" s="121">
        <v>9</v>
      </c>
      <c r="D15910" s="734">
        <v>137.21388040754832</v>
      </c>
      <c r="E15910" s="733"/>
    </row>
    <row r="15911" spans="2:5">
      <c r="B15911" s="121">
        <v>1341</v>
      </c>
      <c r="C15911" s="121">
        <v>10</v>
      </c>
      <c r="D15911" s="734">
        <v>135.34127692487453</v>
      </c>
      <c r="E15911" s="733"/>
    </row>
    <row r="15912" spans="2:5">
      <c r="B15912" s="121">
        <v>1341</v>
      </c>
      <c r="C15912" s="121">
        <v>11</v>
      </c>
      <c r="D15912" s="734">
        <v>133.6789494641836</v>
      </c>
      <c r="E15912" s="733"/>
    </row>
    <row r="15913" spans="2:5">
      <c r="B15913" s="121">
        <v>1341</v>
      </c>
      <c r="C15913" s="121">
        <v>12</v>
      </c>
      <c r="D15913" s="734">
        <v>143.28136564528023</v>
      </c>
      <c r="E15913" s="733"/>
    </row>
    <row r="15914" spans="2:5">
      <c r="B15914" s="121">
        <v>1341</v>
      </c>
      <c r="C15914" s="121">
        <v>13</v>
      </c>
      <c r="D15914" s="734">
        <v>136.77619828718281</v>
      </c>
      <c r="E15914" s="733"/>
    </row>
    <row r="15915" spans="2:5">
      <c r="B15915" s="121">
        <v>1341</v>
      </c>
      <c r="C15915" s="121">
        <v>14</v>
      </c>
      <c r="D15915" s="734">
        <v>136.21734647783043</v>
      </c>
      <c r="E15915" s="733"/>
    </row>
    <row r="15916" spans="2:5">
      <c r="B15916" s="121">
        <v>1341</v>
      </c>
      <c r="C15916" s="121">
        <v>15</v>
      </c>
      <c r="D15916" s="734">
        <v>133.92441825245697</v>
      </c>
      <c r="E15916" s="733"/>
    </row>
    <row r="15917" spans="2:5">
      <c r="B15917" s="121">
        <v>1341</v>
      </c>
      <c r="C15917" s="121">
        <v>16</v>
      </c>
      <c r="D15917" s="734">
        <v>134.6007537623411</v>
      </c>
      <c r="E15917" s="733"/>
    </row>
    <row r="15918" spans="2:5">
      <c r="B15918" s="121">
        <v>1341</v>
      </c>
      <c r="C15918" s="121">
        <v>17</v>
      </c>
      <c r="D15918" s="734">
        <v>145.25052853083147</v>
      </c>
      <c r="E15918" s="733"/>
    </row>
    <row r="15919" spans="2:5">
      <c r="B15919" s="121">
        <v>1341</v>
      </c>
      <c r="C15919" s="121">
        <v>18</v>
      </c>
      <c r="D15919" s="734">
        <v>142.45605534874841</v>
      </c>
      <c r="E15919" s="733"/>
    </row>
    <row r="15920" spans="2:5">
      <c r="B15920" s="121">
        <v>1341</v>
      </c>
      <c r="C15920" s="121">
        <v>19</v>
      </c>
      <c r="D15920" s="734">
        <v>142.38502434768697</v>
      </c>
      <c r="E15920" s="733"/>
    </row>
    <row r="15921" spans="2:5">
      <c r="B15921" s="121">
        <v>1341</v>
      </c>
      <c r="C15921" s="121">
        <v>20</v>
      </c>
      <c r="D15921" s="734">
        <v>139.39014698806864</v>
      </c>
      <c r="E15921" s="733"/>
    </row>
    <row r="15922" spans="2:5">
      <c r="B15922" s="121">
        <v>1341</v>
      </c>
      <c r="C15922" s="121">
        <v>21</v>
      </c>
      <c r="D15922" s="734">
        <v>135.81915251635073</v>
      </c>
      <c r="E15922" s="733"/>
    </row>
    <row r="15923" spans="2:5">
      <c r="B15923" s="121">
        <v>1341</v>
      </c>
      <c r="C15923" s="121">
        <v>22</v>
      </c>
      <c r="D15923" s="734">
        <v>139.21200432159145</v>
      </c>
      <c r="E15923" s="733"/>
    </row>
    <row r="15924" spans="2:5">
      <c r="B15924" s="121">
        <v>1341</v>
      </c>
      <c r="C15924" s="121">
        <v>23</v>
      </c>
      <c r="D15924" s="734">
        <v>137.64788373976396</v>
      </c>
      <c r="E15924" s="733"/>
    </row>
    <row r="15925" spans="2:5">
      <c r="B15925" s="121">
        <v>1341</v>
      </c>
      <c r="C15925" s="121">
        <v>24</v>
      </c>
      <c r="D15925" s="734">
        <v>145.36029794941749</v>
      </c>
      <c r="E15925" s="733"/>
    </row>
    <row r="15926" spans="2:5">
      <c r="B15926" s="121">
        <v>1341</v>
      </c>
      <c r="C15926" s="121">
        <v>25</v>
      </c>
      <c r="D15926" s="734">
        <v>141.39055312355782</v>
      </c>
      <c r="E15926" s="733"/>
    </row>
    <row r="15927" spans="2:5">
      <c r="B15927" s="121">
        <v>1341</v>
      </c>
      <c r="C15927" s="121">
        <v>26</v>
      </c>
      <c r="D15927" s="734">
        <v>146.8677059869903</v>
      </c>
      <c r="E15927" s="733"/>
    </row>
    <row r="15928" spans="2:5">
      <c r="B15928" s="121">
        <v>1341</v>
      </c>
      <c r="C15928" s="121">
        <v>27</v>
      </c>
      <c r="D15928" s="734">
        <v>143.7878825485279</v>
      </c>
      <c r="E15928" s="733"/>
    </row>
    <row r="15929" spans="2:5">
      <c r="B15929" s="121">
        <v>1341</v>
      </c>
      <c r="C15929" s="121">
        <v>28</v>
      </c>
      <c r="D15929" s="734">
        <v>139.03679552405143</v>
      </c>
      <c r="E15929" s="733"/>
    </row>
    <row r="15930" spans="2:5">
      <c r="B15930" s="121">
        <v>1341</v>
      </c>
      <c r="C15930" s="121">
        <v>29</v>
      </c>
      <c r="D15930" s="734">
        <v>141.66221720886267</v>
      </c>
      <c r="E15930" s="733"/>
    </row>
    <row r="15931" spans="2:5">
      <c r="B15931" s="121">
        <v>1342</v>
      </c>
      <c r="C15931" s="121">
        <v>1</v>
      </c>
      <c r="D15931" s="734">
        <v>5</v>
      </c>
      <c r="E15931" s="733"/>
    </row>
    <row r="15932" spans="2:5">
      <c r="B15932" s="121">
        <v>1343</v>
      </c>
      <c r="C15932" s="121">
        <v>1</v>
      </c>
      <c r="D15932" s="734">
        <v>5</v>
      </c>
      <c r="E15932" s="733"/>
    </row>
    <row r="15933" spans="2:5">
      <c r="B15933" s="121">
        <v>1343</v>
      </c>
      <c r="C15933" s="121">
        <v>2</v>
      </c>
      <c r="D15933" s="734">
        <v>98.596767168965741</v>
      </c>
      <c r="E15933" s="733"/>
    </row>
    <row r="15934" spans="2:5">
      <c r="B15934" s="121">
        <v>1344</v>
      </c>
      <c r="C15934" s="121">
        <v>1</v>
      </c>
      <c r="D15934" s="734">
        <v>5</v>
      </c>
      <c r="E15934" s="733"/>
    </row>
    <row r="15935" spans="2:5">
      <c r="B15935" s="121">
        <v>1344</v>
      </c>
      <c r="C15935" s="121">
        <v>2</v>
      </c>
      <c r="D15935" s="734">
        <v>97.017038218565062</v>
      </c>
      <c r="E15935" s="733"/>
    </row>
    <row r="15936" spans="2:5">
      <c r="B15936" s="121">
        <v>1344</v>
      </c>
      <c r="C15936" s="121">
        <v>3</v>
      </c>
      <c r="D15936" s="734">
        <v>122.25420111686611</v>
      </c>
      <c r="E15936" s="733"/>
    </row>
    <row r="15937" spans="2:5">
      <c r="B15937" s="121">
        <v>1344</v>
      </c>
      <c r="C15937" s="121">
        <v>4</v>
      </c>
      <c r="D15937" s="734">
        <v>137.33008682300721</v>
      </c>
      <c r="E15937" s="733"/>
    </row>
    <row r="15938" spans="2:5">
      <c r="B15938" s="121">
        <v>1344</v>
      </c>
      <c r="C15938" s="121">
        <v>5</v>
      </c>
      <c r="D15938" s="734">
        <v>143.74443011228081</v>
      </c>
      <c r="E15938" s="733"/>
    </row>
    <row r="15939" spans="2:5">
      <c r="B15939" s="121">
        <v>1344</v>
      </c>
      <c r="C15939" s="121">
        <v>6</v>
      </c>
      <c r="D15939" s="734">
        <v>133.98573602713367</v>
      </c>
      <c r="E15939" s="733"/>
    </row>
    <row r="15940" spans="2:5">
      <c r="B15940" s="121">
        <v>1344</v>
      </c>
      <c r="C15940" s="121">
        <v>7</v>
      </c>
      <c r="D15940" s="734">
        <v>136.39503120049159</v>
      </c>
      <c r="E15940" s="733"/>
    </row>
    <row r="15941" spans="2:5">
      <c r="B15941" s="121">
        <v>1344</v>
      </c>
      <c r="C15941" s="121">
        <v>8</v>
      </c>
      <c r="D15941" s="734">
        <v>137.69919200335926</v>
      </c>
      <c r="E15941" s="733"/>
    </row>
    <row r="15942" spans="2:5">
      <c r="B15942" s="121">
        <v>1344</v>
      </c>
      <c r="C15942" s="121">
        <v>9</v>
      </c>
      <c r="D15942" s="734">
        <v>135.43436878398177</v>
      </c>
      <c r="E15942" s="733"/>
    </row>
    <row r="15943" spans="2:5">
      <c r="B15943" s="121">
        <v>1344</v>
      </c>
      <c r="C15943" s="121">
        <v>10</v>
      </c>
      <c r="D15943" s="734">
        <v>139.08009016715593</v>
      </c>
      <c r="E15943" s="733"/>
    </row>
    <row r="15944" spans="2:5">
      <c r="B15944" s="121">
        <v>1344</v>
      </c>
      <c r="C15944" s="121">
        <v>11</v>
      </c>
      <c r="D15944" s="734">
        <v>141.83655146747549</v>
      </c>
      <c r="E15944" s="733"/>
    </row>
    <row r="15945" spans="2:5">
      <c r="B15945" s="121">
        <v>1344</v>
      </c>
      <c r="C15945" s="121">
        <v>12</v>
      </c>
      <c r="D15945" s="734">
        <v>144.75746723833083</v>
      </c>
      <c r="E15945" s="733"/>
    </row>
    <row r="15946" spans="2:5">
      <c r="B15946" s="121">
        <v>1344</v>
      </c>
      <c r="C15946" s="121">
        <v>13</v>
      </c>
      <c r="D15946" s="734">
        <v>135.7747379522971</v>
      </c>
      <c r="E15946" s="733"/>
    </row>
    <row r="15947" spans="2:5">
      <c r="B15947" s="121">
        <v>1344</v>
      </c>
      <c r="C15947" s="121">
        <v>14</v>
      </c>
      <c r="D15947" s="734">
        <v>143.92428551804628</v>
      </c>
      <c r="E15947" s="733"/>
    </row>
    <row r="15948" spans="2:5">
      <c r="B15948" s="121">
        <v>1345</v>
      </c>
      <c r="C15948" s="121">
        <v>1</v>
      </c>
      <c r="D15948" s="734">
        <v>5</v>
      </c>
      <c r="E15948" s="733"/>
    </row>
    <row r="15949" spans="2:5">
      <c r="B15949" s="121">
        <v>1345</v>
      </c>
      <c r="C15949" s="121">
        <v>2</v>
      </c>
      <c r="D15949" s="734">
        <v>97.018311549916632</v>
      </c>
      <c r="E15949" s="733"/>
    </row>
    <row r="15950" spans="2:5">
      <c r="B15950" s="121">
        <v>1345</v>
      </c>
      <c r="C15950" s="121">
        <v>3</v>
      </c>
      <c r="D15950" s="734">
        <v>120.97588113701056</v>
      </c>
      <c r="E15950" s="733"/>
    </row>
    <row r="15951" spans="2:5">
      <c r="B15951" s="121">
        <v>1345</v>
      </c>
      <c r="C15951" s="121">
        <v>4</v>
      </c>
      <c r="D15951" s="734">
        <v>139.95177250635729</v>
      </c>
      <c r="E15951" s="733"/>
    </row>
    <row r="15952" spans="2:5">
      <c r="B15952" s="121">
        <v>1345</v>
      </c>
      <c r="C15952" s="121">
        <v>5</v>
      </c>
      <c r="D15952" s="734">
        <v>141.30715004653109</v>
      </c>
      <c r="E15952" s="733"/>
    </row>
    <row r="15953" spans="2:5">
      <c r="B15953" s="121">
        <v>1345</v>
      </c>
      <c r="C15953" s="121">
        <v>6</v>
      </c>
      <c r="D15953" s="734">
        <v>143.71910407083425</v>
      </c>
      <c r="E15953" s="733"/>
    </row>
    <row r="15954" spans="2:5">
      <c r="B15954" s="121">
        <v>1345</v>
      </c>
      <c r="C15954" s="121">
        <v>7</v>
      </c>
      <c r="D15954" s="734">
        <v>135.72232932310953</v>
      </c>
      <c r="E15954" s="733"/>
    </row>
    <row r="15955" spans="2:5">
      <c r="B15955" s="121">
        <v>1345</v>
      </c>
      <c r="C15955" s="121">
        <v>8</v>
      </c>
      <c r="D15955" s="734">
        <v>139.97254285407064</v>
      </c>
      <c r="E15955" s="733"/>
    </row>
    <row r="15956" spans="2:5">
      <c r="B15956" s="121">
        <v>1345</v>
      </c>
      <c r="C15956" s="121">
        <v>9</v>
      </c>
      <c r="D15956" s="734">
        <v>142.07734509452703</v>
      </c>
      <c r="E15956" s="733"/>
    </row>
    <row r="15957" spans="2:5">
      <c r="B15957" s="121">
        <v>1346</v>
      </c>
      <c r="C15957" s="121">
        <v>1</v>
      </c>
      <c r="D15957" s="734">
        <v>5</v>
      </c>
      <c r="E15957" s="733"/>
    </row>
    <row r="15958" spans="2:5">
      <c r="B15958" s="121">
        <v>1346</v>
      </c>
      <c r="C15958" s="121">
        <v>2</v>
      </c>
      <c r="D15958" s="734">
        <v>101.22948367678069</v>
      </c>
      <c r="E15958" s="733"/>
    </row>
    <row r="15959" spans="2:5">
      <c r="B15959" s="121">
        <v>1346</v>
      </c>
      <c r="C15959" s="121">
        <v>3</v>
      </c>
      <c r="D15959" s="734">
        <v>123.65575867072339</v>
      </c>
      <c r="E15959" s="733"/>
    </row>
    <row r="15960" spans="2:5">
      <c r="B15960" s="121">
        <v>1346</v>
      </c>
      <c r="C15960" s="121">
        <v>4</v>
      </c>
      <c r="D15960" s="734">
        <v>140.25529694159141</v>
      </c>
      <c r="E15960" s="733"/>
    </row>
    <row r="15961" spans="2:5">
      <c r="B15961" s="121">
        <v>1346</v>
      </c>
      <c r="C15961" s="121">
        <v>5</v>
      </c>
      <c r="D15961" s="734">
        <v>139.02582312294234</v>
      </c>
      <c r="E15961" s="733"/>
    </row>
    <row r="15962" spans="2:5">
      <c r="B15962" s="121">
        <v>1346</v>
      </c>
      <c r="C15962" s="121">
        <v>6</v>
      </c>
      <c r="D15962" s="734">
        <v>140.30445546492328</v>
      </c>
      <c r="E15962" s="733"/>
    </row>
    <row r="15963" spans="2:5">
      <c r="B15963" s="121">
        <v>1346</v>
      </c>
      <c r="C15963" s="121">
        <v>7</v>
      </c>
      <c r="D15963" s="734">
        <v>146.76642846732605</v>
      </c>
      <c r="E15963" s="733"/>
    </row>
    <row r="15964" spans="2:5">
      <c r="B15964" s="121">
        <v>1346</v>
      </c>
      <c r="C15964" s="121">
        <v>8</v>
      </c>
      <c r="D15964" s="734">
        <v>146.54914060053423</v>
      </c>
      <c r="E15964" s="733"/>
    </row>
    <row r="15965" spans="2:5">
      <c r="B15965" s="121">
        <v>1346</v>
      </c>
      <c r="C15965" s="121">
        <v>9</v>
      </c>
      <c r="D15965" s="734">
        <v>145.74711261221336</v>
      </c>
      <c r="E15965" s="733"/>
    </row>
    <row r="15966" spans="2:5">
      <c r="B15966" s="121">
        <v>1346</v>
      </c>
      <c r="C15966" s="121">
        <v>10</v>
      </c>
      <c r="D15966" s="734">
        <v>135.19470970173833</v>
      </c>
      <c r="E15966" s="733"/>
    </row>
    <row r="15967" spans="2:5">
      <c r="B15967" s="121">
        <v>1346</v>
      </c>
      <c r="C15967" s="121">
        <v>11</v>
      </c>
      <c r="D15967" s="734">
        <v>144.3205357496831</v>
      </c>
      <c r="E15967" s="733"/>
    </row>
    <row r="15968" spans="2:5">
      <c r="B15968" s="121">
        <v>1346</v>
      </c>
      <c r="C15968" s="121">
        <v>12</v>
      </c>
      <c r="D15968" s="734">
        <v>140.76111240783013</v>
      </c>
      <c r="E15968" s="733"/>
    </row>
    <row r="15969" spans="2:5">
      <c r="B15969" s="121">
        <v>1346</v>
      </c>
      <c r="C15969" s="121">
        <v>13</v>
      </c>
      <c r="D15969" s="734">
        <v>142.76500654732715</v>
      </c>
      <c r="E15969" s="733"/>
    </row>
    <row r="15970" spans="2:5">
      <c r="B15970" s="121">
        <v>1346</v>
      </c>
      <c r="C15970" s="121">
        <v>14</v>
      </c>
      <c r="D15970" s="734">
        <v>134.79843087761924</v>
      </c>
      <c r="E15970" s="733"/>
    </row>
    <row r="15971" spans="2:5">
      <c r="B15971" s="121">
        <v>1346</v>
      </c>
      <c r="C15971" s="121">
        <v>15</v>
      </c>
      <c r="D15971" s="734">
        <v>137.05033208169513</v>
      </c>
      <c r="E15971" s="733"/>
    </row>
    <row r="15972" spans="2:5">
      <c r="B15972" s="121">
        <v>1346</v>
      </c>
      <c r="C15972" s="121">
        <v>16</v>
      </c>
      <c r="D15972" s="734">
        <v>136.72588747613287</v>
      </c>
      <c r="E15972" s="733"/>
    </row>
    <row r="15973" spans="2:5">
      <c r="B15973" s="121">
        <v>1346</v>
      </c>
      <c r="C15973" s="121">
        <v>17</v>
      </c>
      <c r="D15973" s="734">
        <v>145.26620040056758</v>
      </c>
      <c r="E15973" s="733"/>
    </row>
    <row r="15974" spans="2:5">
      <c r="B15974" s="121">
        <v>1346</v>
      </c>
      <c r="C15974" s="121">
        <v>18</v>
      </c>
      <c r="D15974" s="734">
        <v>144.78344072930307</v>
      </c>
      <c r="E15974" s="733"/>
    </row>
    <row r="15975" spans="2:5">
      <c r="B15975" s="121">
        <v>1346</v>
      </c>
      <c r="C15975" s="121">
        <v>19</v>
      </c>
      <c r="D15975" s="734">
        <v>142.2820559799477</v>
      </c>
      <c r="E15975" s="733"/>
    </row>
    <row r="15976" spans="2:5">
      <c r="B15976" s="121">
        <v>1346</v>
      </c>
      <c r="C15976" s="121">
        <v>20</v>
      </c>
      <c r="D15976" s="734">
        <v>146.88420094014376</v>
      </c>
      <c r="E15976" s="733"/>
    </row>
    <row r="15977" spans="2:5">
      <c r="B15977" s="121">
        <v>1346</v>
      </c>
      <c r="C15977" s="121">
        <v>21</v>
      </c>
      <c r="D15977" s="734">
        <v>139.56824421258884</v>
      </c>
      <c r="E15977" s="733"/>
    </row>
    <row r="15978" spans="2:5">
      <c r="B15978" s="121">
        <v>1346</v>
      </c>
      <c r="C15978" s="121">
        <v>22</v>
      </c>
      <c r="D15978" s="734">
        <v>140.83013341614381</v>
      </c>
      <c r="E15978" s="733"/>
    </row>
    <row r="15979" spans="2:5">
      <c r="B15979" s="121">
        <v>1346</v>
      </c>
      <c r="C15979" s="121">
        <v>23</v>
      </c>
      <c r="D15979" s="734">
        <v>140.77112996498494</v>
      </c>
      <c r="E15979" s="733"/>
    </row>
    <row r="15980" spans="2:5">
      <c r="B15980" s="121">
        <v>1346</v>
      </c>
      <c r="C15980" s="121">
        <v>24</v>
      </c>
      <c r="D15980" s="734">
        <v>143.40854028989597</v>
      </c>
      <c r="E15980" s="733"/>
    </row>
    <row r="15981" spans="2:5">
      <c r="B15981" s="121">
        <v>1346</v>
      </c>
      <c r="C15981" s="121">
        <v>25</v>
      </c>
      <c r="D15981" s="734">
        <v>136.21998544389177</v>
      </c>
      <c r="E15981" s="733"/>
    </row>
    <row r="15982" spans="2:5">
      <c r="B15982" s="121">
        <v>1346</v>
      </c>
      <c r="C15982" s="121">
        <v>26</v>
      </c>
      <c r="D15982" s="734">
        <v>134.31385561305609</v>
      </c>
      <c r="E15982" s="733"/>
    </row>
    <row r="15983" spans="2:5">
      <c r="B15983" s="121">
        <v>1346</v>
      </c>
      <c r="C15983" s="121">
        <v>27</v>
      </c>
      <c r="D15983" s="734">
        <v>141.48307608662299</v>
      </c>
      <c r="E15983" s="733"/>
    </row>
    <row r="15984" spans="2:5">
      <c r="B15984" s="121">
        <v>1346</v>
      </c>
      <c r="C15984" s="121">
        <v>28</v>
      </c>
      <c r="D15984" s="734">
        <v>145.41064642350199</v>
      </c>
      <c r="E15984" s="733"/>
    </row>
    <row r="15985" spans="2:5">
      <c r="B15985" s="121">
        <v>1346</v>
      </c>
      <c r="C15985" s="121">
        <v>29</v>
      </c>
      <c r="D15985" s="734">
        <v>146.97946026948583</v>
      </c>
      <c r="E15985" s="733"/>
    </row>
    <row r="15986" spans="2:5">
      <c r="B15986" s="121">
        <v>1346</v>
      </c>
      <c r="C15986" s="121">
        <v>30</v>
      </c>
      <c r="D15986" s="734">
        <v>145.78648792974781</v>
      </c>
      <c r="E15986" s="733"/>
    </row>
    <row r="15987" spans="2:5">
      <c r="B15987" s="121">
        <v>1346</v>
      </c>
      <c r="C15987" s="121">
        <v>31</v>
      </c>
      <c r="D15987" s="734">
        <v>142.98996675041974</v>
      </c>
      <c r="E15987" s="733"/>
    </row>
    <row r="15988" spans="2:5">
      <c r="B15988" s="121">
        <v>1346</v>
      </c>
      <c r="C15988" s="121">
        <v>32</v>
      </c>
      <c r="D15988" s="734">
        <v>143.08719189274234</v>
      </c>
      <c r="E15988" s="733"/>
    </row>
    <row r="15989" spans="2:5">
      <c r="B15989" s="121">
        <v>1346</v>
      </c>
      <c r="C15989" s="121">
        <v>33</v>
      </c>
      <c r="D15989" s="734">
        <v>136.75840696010621</v>
      </c>
      <c r="E15989" s="733"/>
    </row>
    <row r="15990" spans="2:5">
      <c r="B15990" s="121">
        <v>1346</v>
      </c>
      <c r="C15990" s="121">
        <v>34</v>
      </c>
      <c r="D15990" s="734">
        <v>142.34996264300463</v>
      </c>
      <c r="E15990" s="733"/>
    </row>
    <row r="15991" spans="2:5">
      <c r="B15991" s="121">
        <v>1346</v>
      </c>
      <c r="C15991" s="121">
        <v>35</v>
      </c>
      <c r="D15991" s="734">
        <v>142.9679275015842</v>
      </c>
      <c r="E15991" s="733"/>
    </row>
    <row r="15992" spans="2:5">
      <c r="B15992" s="121">
        <v>1346</v>
      </c>
      <c r="C15992" s="121">
        <v>36</v>
      </c>
      <c r="D15992" s="734">
        <v>142.65074725609782</v>
      </c>
      <c r="E15992" s="733"/>
    </row>
    <row r="15993" spans="2:5">
      <c r="B15993" s="121">
        <v>1347</v>
      </c>
      <c r="C15993" s="121">
        <v>1</v>
      </c>
      <c r="D15993" s="734">
        <v>5</v>
      </c>
      <c r="E15993" s="733"/>
    </row>
    <row r="15994" spans="2:5">
      <c r="B15994" s="121">
        <v>1347</v>
      </c>
      <c r="C15994" s="121">
        <v>2</v>
      </c>
      <c r="D15994" s="734">
        <v>103.02065084364756</v>
      </c>
      <c r="E15994" s="733"/>
    </row>
    <row r="15995" spans="2:5">
      <c r="B15995" s="121">
        <v>1347</v>
      </c>
      <c r="C15995" s="121">
        <v>3</v>
      </c>
      <c r="D15995" s="734">
        <v>118.50457231670077</v>
      </c>
      <c r="E15995" s="733"/>
    </row>
    <row r="15996" spans="2:5">
      <c r="B15996" s="121">
        <v>1347</v>
      </c>
      <c r="C15996" s="121">
        <v>4</v>
      </c>
      <c r="D15996" s="734">
        <v>144.03467215413798</v>
      </c>
      <c r="E15996" s="733"/>
    </row>
    <row r="15997" spans="2:5">
      <c r="B15997" s="121">
        <v>1347</v>
      </c>
      <c r="C15997" s="121">
        <v>5</v>
      </c>
      <c r="D15997" s="734">
        <v>135.89101802769963</v>
      </c>
      <c r="E15997" s="733"/>
    </row>
    <row r="15998" spans="2:5">
      <c r="B15998" s="121">
        <v>1347</v>
      </c>
      <c r="C15998" s="121">
        <v>6</v>
      </c>
      <c r="D15998" s="734">
        <v>134.86816712871794</v>
      </c>
      <c r="E15998" s="733"/>
    </row>
    <row r="15999" spans="2:5">
      <c r="B15999" s="121">
        <v>1347</v>
      </c>
      <c r="C15999" s="121">
        <v>7</v>
      </c>
      <c r="D15999" s="734">
        <v>138.95880907856105</v>
      </c>
      <c r="E15999" s="733"/>
    </row>
    <row r="16000" spans="2:5">
      <c r="B16000" s="121">
        <v>1347</v>
      </c>
      <c r="C16000" s="121">
        <v>8</v>
      </c>
      <c r="D16000" s="734">
        <v>145.73105563901404</v>
      </c>
      <c r="E16000" s="733"/>
    </row>
    <row r="16001" spans="2:5">
      <c r="B16001" s="121">
        <v>1347</v>
      </c>
      <c r="C16001" s="121">
        <v>9</v>
      </c>
      <c r="D16001" s="734">
        <v>136.27882994160797</v>
      </c>
      <c r="E16001" s="733"/>
    </row>
    <row r="16002" spans="2:5">
      <c r="B16002" s="121">
        <v>1347</v>
      </c>
      <c r="C16002" s="121">
        <v>10</v>
      </c>
      <c r="D16002" s="734">
        <v>141.66848091243625</v>
      </c>
      <c r="E16002" s="733"/>
    </row>
    <row r="16003" spans="2:5">
      <c r="B16003" s="121">
        <v>1347</v>
      </c>
      <c r="C16003" s="121">
        <v>11</v>
      </c>
      <c r="D16003" s="734">
        <v>140.26171753412797</v>
      </c>
      <c r="E16003" s="733"/>
    </row>
    <row r="16004" spans="2:5">
      <c r="B16004" s="121">
        <v>1347</v>
      </c>
      <c r="C16004" s="121">
        <v>12</v>
      </c>
      <c r="D16004" s="734">
        <v>142.94420157667113</v>
      </c>
      <c r="E16004" s="733"/>
    </row>
    <row r="16005" spans="2:5">
      <c r="B16005" s="121">
        <v>1347</v>
      </c>
      <c r="C16005" s="121">
        <v>13</v>
      </c>
      <c r="D16005" s="734">
        <v>147.08591694839646</v>
      </c>
      <c r="E16005" s="733"/>
    </row>
    <row r="16006" spans="2:5">
      <c r="B16006" s="121">
        <v>1347</v>
      </c>
      <c r="C16006" s="121">
        <v>14</v>
      </c>
      <c r="D16006" s="734">
        <v>134.02106301880033</v>
      </c>
      <c r="E16006" s="733"/>
    </row>
    <row r="16007" spans="2:5">
      <c r="B16007" s="121">
        <v>1347</v>
      </c>
      <c r="C16007" s="121">
        <v>15</v>
      </c>
      <c r="D16007" s="734">
        <v>144.39147265860325</v>
      </c>
      <c r="E16007" s="733"/>
    </row>
    <row r="16008" spans="2:5">
      <c r="B16008" s="121">
        <v>1347</v>
      </c>
      <c r="C16008" s="121">
        <v>16</v>
      </c>
      <c r="D16008" s="734">
        <v>145.7517904988525</v>
      </c>
      <c r="E16008" s="733"/>
    </row>
    <row r="16009" spans="2:5">
      <c r="B16009" s="121">
        <v>1347</v>
      </c>
      <c r="C16009" s="121">
        <v>17</v>
      </c>
      <c r="D16009" s="734">
        <v>146.68394088906541</v>
      </c>
      <c r="E16009" s="733"/>
    </row>
    <row r="16010" spans="2:5">
      <c r="B16010" s="121">
        <v>1347</v>
      </c>
      <c r="C16010" s="121">
        <v>18</v>
      </c>
      <c r="D16010" s="734">
        <v>137.00084000967377</v>
      </c>
      <c r="E16010" s="733"/>
    </row>
    <row r="16011" spans="2:5">
      <c r="B16011" s="121">
        <v>1347</v>
      </c>
      <c r="C16011" s="121">
        <v>19</v>
      </c>
      <c r="D16011" s="734">
        <v>145.24847249805211</v>
      </c>
      <c r="E16011" s="733"/>
    </row>
    <row r="16012" spans="2:5">
      <c r="B16012" s="121">
        <v>1347</v>
      </c>
      <c r="C16012" s="121">
        <v>20</v>
      </c>
      <c r="D16012" s="734">
        <v>143.1998548932506</v>
      </c>
      <c r="E16012" s="733"/>
    </row>
    <row r="16013" spans="2:5">
      <c r="B16013" s="121">
        <v>1347</v>
      </c>
      <c r="C16013" s="121">
        <v>21</v>
      </c>
      <c r="D16013" s="734">
        <v>133.9808512824695</v>
      </c>
      <c r="E16013" s="733"/>
    </row>
    <row r="16014" spans="2:5">
      <c r="B16014" s="121">
        <v>1347</v>
      </c>
      <c r="C16014" s="121">
        <v>22</v>
      </c>
      <c r="D16014" s="734">
        <v>134.66463032326365</v>
      </c>
      <c r="E16014" s="733"/>
    </row>
    <row r="16015" spans="2:5">
      <c r="B16015" s="121">
        <v>1347</v>
      </c>
      <c r="C16015" s="121">
        <v>23</v>
      </c>
      <c r="D16015" s="734">
        <v>145.3436957727597</v>
      </c>
      <c r="E16015" s="733"/>
    </row>
    <row r="16016" spans="2:5">
      <c r="B16016" s="121">
        <v>1347</v>
      </c>
      <c r="C16016" s="121">
        <v>24</v>
      </c>
      <c r="D16016" s="734">
        <v>133.69783627020377</v>
      </c>
      <c r="E16016" s="733"/>
    </row>
    <row r="16017" spans="2:5">
      <c r="B16017" s="121">
        <v>1347</v>
      </c>
      <c r="C16017" s="121">
        <v>25</v>
      </c>
      <c r="D16017" s="734">
        <v>138.62971653696505</v>
      </c>
      <c r="E16017" s="733"/>
    </row>
    <row r="16018" spans="2:5">
      <c r="B16018" s="121">
        <v>1347</v>
      </c>
      <c r="C16018" s="121">
        <v>26</v>
      </c>
      <c r="D16018" s="734">
        <v>136.55407254697533</v>
      </c>
      <c r="E16018" s="733"/>
    </row>
    <row r="16019" spans="2:5">
      <c r="B16019" s="121">
        <v>1347</v>
      </c>
      <c r="C16019" s="121">
        <v>27</v>
      </c>
      <c r="D16019" s="734">
        <v>136.26058576518582</v>
      </c>
      <c r="E16019" s="733"/>
    </row>
    <row r="16020" spans="2:5">
      <c r="B16020" s="121">
        <v>1347</v>
      </c>
      <c r="C16020" s="121">
        <v>28</v>
      </c>
      <c r="D16020" s="734">
        <v>142.67472028104638</v>
      </c>
      <c r="E16020" s="733"/>
    </row>
    <row r="16021" spans="2:5">
      <c r="B16021" s="121">
        <v>1347</v>
      </c>
      <c r="C16021" s="121">
        <v>29</v>
      </c>
      <c r="D16021" s="734">
        <v>140.5025710193656</v>
      </c>
      <c r="E16021" s="733"/>
    </row>
    <row r="16022" spans="2:5">
      <c r="B16022" s="121">
        <v>1347</v>
      </c>
      <c r="C16022" s="121">
        <v>30</v>
      </c>
      <c r="D16022" s="734">
        <v>142.53448736580421</v>
      </c>
      <c r="E16022" s="733"/>
    </row>
    <row r="16023" spans="2:5">
      <c r="B16023" s="121">
        <v>1347</v>
      </c>
      <c r="C16023" s="121">
        <v>31</v>
      </c>
      <c r="D16023" s="734">
        <v>138.02816754003666</v>
      </c>
      <c r="E16023" s="733"/>
    </row>
    <row r="16024" spans="2:5">
      <c r="B16024" s="121">
        <v>1347</v>
      </c>
      <c r="C16024" s="121">
        <v>32</v>
      </c>
      <c r="D16024" s="734">
        <v>142.59617909177032</v>
      </c>
      <c r="E16024" s="733"/>
    </row>
    <row r="16025" spans="2:5">
      <c r="B16025" s="121">
        <v>1347</v>
      </c>
      <c r="C16025" s="121">
        <v>33</v>
      </c>
      <c r="D16025" s="734">
        <v>135.66906087101478</v>
      </c>
      <c r="E16025" s="733"/>
    </row>
    <row r="16026" spans="2:5">
      <c r="B16026" s="121">
        <v>1347</v>
      </c>
      <c r="C16026" s="121">
        <v>34</v>
      </c>
      <c r="D16026" s="734">
        <v>138.91539664793984</v>
      </c>
      <c r="E16026" s="733"/>
    </row>
    <row r="16027" spans="2:5">
      <c r="B16027" s="121">
        <v>1347</v>
      </c>
      <c r="C16027" s="121">
        <v>35</v>
      </c>
      <c r="D16027" s="734">
        <v>141.7157531602052</v>
      </c>
      <c r="E16027" s="733"/>
    </row>
    <row r="16028" spans="2:5">
      <c r="B16028" s="121">
        <v>1347</v>
      </c>
      <c r="C16028" s="121">
        <v>36</v>
      </c>
      <c r="D16028" s="734">
        <v>141.74310249212982</v>
      </c>
      <c r="E16028" s="733"/>
    </row>
    <row r="16029" spans="2:5">
      <c r="B16029" s="121">
        <v>1348</v>
      </c>
      <c r="C16029" s="121">
        <v>1</v>
      </c>
      <c r="D16029" s="734">
        <v>5</v>
      </c>
      <c r="E16029" s="733"/>
    </row>
    <row r="16030" spans="2:5">
      <c r="B16030" s="121">
        <v>1348</v>
      </c>
      <c r="C16030" s="121">
        <v>2</v>
      </c>
      <c r="D16030" s="734">
        <v>101.61378457139737</v>
      </c>
      <c r="E16030" s="733"/>
    </row>
    <row r="16031" spans="2:5">
      <c r="B16031" s="121">
        <v>1348</v>
      </c>
      <c r="C16031" s="121">
        <v>3</v>
      </c>
      <c r="D16031" s="734">
        <v>122.99056479910524</v>
      </c>
      <c r="E16031" s="733"/>
    </row>
    <row r="16032" spans="2:5">
      <c r="B16032" s="121">
        <v>1348</v>
      </c>
      <c r="C16032" s="121">
        <v>4</v>
      </c>
      <c r="D16032" s="734">
        <v>146.73622756619355</v>
      </c>
      <c r="E16032" s="733"/>
    </row>
    <row r="16033" spans="2:5">
      <c r="B16033" s="121">
        <v>1348</v>
      </c>
      <c r="C16033" s="121">
        <v>5</v>
      </c>
      <c r="D16033" s="734">
        <v>137.25345685644112</v>
      </c>
      <c r="E16033" s="733"/>
    </row>
    <row r="16034" spans="2:5">
      <c r="B16034" s="121">
        <v>1348</v>
      </c>
      <c r="C16034" s="121">
        <v>6</v>
      </c>
      <c r="D16034" s="734">
        <v>138.72126268308958</v>
      </c>
      <c r="E16034" s="733"/>
    </row>
    <row r="16035" spans="2:5">
      <c r="B16035" s="121">
        <v>1348</v>
      </c>
      <c r="C16035" s="121">
        <v>7</v>
      </c>
      <c r="D16035" s="734">
        <v>135.69766057578192</v>
      </c>
      <c r="E16035" s="733"/>
    </row>
    <row r="16036" spans="2:5">
      <c r="B16036" s="121">
        <v>1348</v>
      </c>
      <c r="C16036" s="121">
        <v>8</v>
      </c>
      <c r="D16036" s="734">
        <v>143.58200767309614</v>
      </c>
      <c r="E16036" s="733"/>
    </row>
    <row r="16037" spans="2:5">
      <c r="B16037" s="121">
        <v>1348</v>
      </c>
      <c r="C16037" s="121">
        <v>9</v>
      </c>
      <c r="D16037" s="734">
        <v>145.90414879579649</v>
      </c>
      <c r="E16037" s="733"/>
    </row>
    <row r="16038" spans="2:5">
      <c r="B16038" s="121">
        <v>1348</v>
      </c>
      <c r="C16038" s="121">
        <v>10</v>
      </c>
      <c r="D16038" s="734">
        <v>142.08857333831827</v>
      </c>
      <c r="E16038" s="733"/>
    </row>
    <row r="16039" spans="2:5">
      <c r="B16039" s="121">
        <v>1348</v>
      </c>
      <c r="C16039" s="121">
        <v>11</v>
      </c>
      <c r="D16039" s="734">
        <v>139.81275256127986</v>
      </c>
      <c r="E16039" s="733"/>
    </row>
    <row r="16040" spans="2:5">
      <c r="B16040" s="121">
        <v>1348</v>
      </c>
      <c r="C16040" s="121">
        <v>12</v>
      </c>
      <c r="D16040" s="734">
        <v>136.64704956076505</v>
      </c>
      <c r="E16040" s="733"/>
    </row>
    <row r="16041" spans="2:5">
      <c r="B16041" s="121">
        <v>1348</v>
      </c>
      <c r="C16041" s="121">
        <v>13</v>
      </c>
      <c r="D16041" s="734">
        <v>136.91805621989806</v>
      </c>
      <c r="E16041" s="733"/>
    </row>
    <row r="16042" spans="2:5">
      <c r="B16042" s="121">
        <v>1349</v>
      </c>
      <c r="C16042" s="121">
        <v>1</v>
      </c>
      <c r="D16042" s="734">
        <v>5</v>
      </c>
      <c r="E16042" s="733"/>
    </row>
    <row r="16043" spans="2:5">
      <c r="B16043" s="121">
        <v>1350</v>
      </c>
      <c r="C16043" s="121">
        <v>1</v>
      </c>
      <c r="D16043" s="734">
        <v>5</v>
      </c>
      <c r="E16043" s="733"/>
    </row>
    <row r="16044" spans="2:5">
      <c r="B16044" s="121">
        <v>1351</v>
      </c>
      <c r="C16044" s="121">
        <v>1</v>
      </c>
      <c r="D16044" s="734">
        <v>5</v>
      </c>
      <c r="E16044" s="733"/>
    </row>
    <row r="16045" spans="2:5">
      <c r="B16045" s="121">
        <v>1352</v>
      </c>
      <c r="C16045" s="121">
        <v>1</v>
      </c>
      <c r="D16045" s="734">
        <v>5</v>
      </c>
      <c r="E16045" s="733"/>
    </row>
    <row r="16046" spans="2:5">
      <c r="B16046" s="121">
        <v>1352</v>
      </c>
      <c r="C16046" s="121">
        <v>2</v>
      </c>
      <c r="D16046" s="734">
        <v>95.592249352041264</v>
      </c>
      <c r="E16046" s="733"/>
    </row>
    <row r="16047" spans="2:5">
      <c r="B16047" s="121">
        <v>1352</v>
      </c>
      <c r="C16047" s="121">
        <v>3</v>
      </c>
      <c r="D16047" s="734">
        <v>119.79823540283934</v>
      </c>
      <c r="E16047" s="733"/>
    </row>
    <row r="16048" spans="2:5">
      <c r="B16048" s="121">
        <v>1352</v>
      </c>
      <c r="C16048" s="121">
        <v>4</v>
      </c>
      <c r="D16048" s="734">
        <v>143.88081631978133</v>
      </c>
      <c r="E16048" s="733"/>
    </row>
    <row r="16049" spans="2:5">
      <c r="B16049" s="121">
        <v>1352</v>
      </c>
      <c r="C16049" s="121">
        <v>5</v>
      </c>
      <c r="D16049" s="734">
        <v>145.66827439302105</v>
      </c>
      <c r="E16049" s="733"/>
    </row>
    <row r="16050" spans="2:5">
      <c r="B16050" s="121">
        <v>1352</v>
      </c>
      <c r="C16050" s="121">
        <v>6</v>
      </c>
      <c r="D16050" s="734">
        <v>144.47246374477382</v>
      </c>
      <c r="E16050" s="733"/>
    </row>
    <row r="16051" spans="2:5">
      <c r="B16051" s="121">
        <v>1352</v>
      </c>
      <c r="C16051" s="121">
        <v>7</v>
      </c>
      <c r="D16051" s="734">
        <v>138.23415548346654</v>
      </c>
      <c r="E16051" s="733"/>
    </row>
    <row r="16052" spans="2:5">
      <c r="B16052" s="121">
        <v>1352</v>
      </c>
      <c r="C16052" s="121">
        <v>8</v>
      </c>
      <c r="D16052" s="734">
        <v>146.70506339625931</v>
      </c>
      <c r="E16052" s="733"/>
    </row>
    <row r="16053" spans="2:5">
      <c r="B16053" s="121">
        <v>1352</v>
      </c>
      <c r="C16053" s="121">
        <v>9</v>
      </c>
      <c r="D16053" s="734">
        <v>142.04018646030576</v>
      </c>
      <c r="E16053" s="733"/>
    </row>
    <row r="16054" spans="2:5">
      <c r="B16054" s="121">
        <v>1352</v>
      </c>
      <c r="C16054" s="121">
        <v>10</v>
      </c>
      <c r="D16054" s="734">
        <v>133.95623699605258</v>
      </c>
      <c r="E16054" s="733"/>
    </row>
    <row r="16055" spans="2:5">
      <c r="B16055" s="121">
        <v>1352</v>
      </c>
      <c r="C16055" s="121">
        <v>11</v>
      </c>
      <c r="D16055" s="734">
        <v>135.00938669673502</v>
      </c>
      <c r="E16055" s="733"/>
    </row>
    <row r="16056" spans="2:5">
      <c r="B16056" s="121">
        <v>1352</v>
      </c>
      <c r="C16056" s="121">
        <v>12</v>
      </c>
      <c r="D16056" s="734">
        <v>139.71157457234824</v>
      </c>
      <c r="E16056" s="733"/>
    </row>
    <row r="16057" spans="2:5">
      <c r="B16057" s="121">
        <v>1352</v>
      </c>
      <c r="C16057" s="121">
        <v>13</v>
      </c>
      <c r="D16057" s="734">
        <v>141.60339573566048</v>
      </c>
      <c r="E16057" s="733"/>
    </row>
    <row r="16058" spans="2:5">
      <c r="B16058" s="121">
        <v>1352</v>
      </c>
      <c r="C16058" s="121">
        <v>14</v>
      </c>
      <c r="D16058" s="734">
        <v>141.5746826617227</v>
      </c>
      <c r="E16058" s="733"/>
    </row>
    <row r="16059" spans="2:5">
      <c r="B16059" s="121">
        <v>1352</v>
      </c>
      <c r="C16059" s="121">
        <v>15</v>
      </c>
      <c r="D16059" s="734">
        <v>137.03367568213906</v>
      </c>
      <c r="E16059" s="733"/>
    </row>
    <row r="16060" spans="2:5">
      <c r="B16060" s="121">
        <v>1352</v>
      </c>
      <c r="C16060" s="121">
        <v>16</v>
      </c>
      <c r="D16060" s="734">
        <v>146.8022430349402</v>
      </c>
      <c r="E16060" s="733"/>
    </row>
    <row r="16061" spans="2:5">
      <c r="B16061" s="121">
        <v>1352</v>
      </c>
      <c r="C16061" s="121">
        <v>17</v>
      </c>
      <c r="D16061" s="734">
        <v>143.68953185197284</v>
      </c>
      <c r="E16061" s="733"/>
    </row>
    <row r="16062" spans="2:5">
      <c r="B16062" s="121">
        <v>1352</v>
      </c>
      <c r="C16062" s="121">
        <v>18</v>
      </c>
      <c r="D16062" s="734">
        <v>140.06874018067407</v>
      </c>
      <c r="E16062" s="733"/>
    </row>
    <row r="16063" spans="2:5">
      <c r="B16063" s="121">
        <v>1352</v>
      </c>
      <c r="C16063" s="121">
        <v>19</v>
      </c>
      <c r="D16063" s="734">
        <v>142.82649647300337</v>
      </c>
      <c r="E16063" s="733"/>
    </row>
    <row r="16064" spans="2:5">
      <c r="B16064" s="121">
        <v>1352</v>
      </c>
      <c r="C16064" s="121">
        <v>20</v>
      </c>
      <c r="D16064" s="734">
        <v>139.69417270117555</v>
      </c>
      <c r="E16064" s="733"/>
    </row>
    <row r="16065" spans="2:5">
      <c r="B16065" s="121">
        <v>1352</v>
      </c>
      <c r="C16065" s="121">
        <v>21</v>
      </c>
      <c r="D16065" s="734">
        <v>140.35957494017342</v>
      </c>
      <c r="E16065" s="733"/>
    </row>
    <row r="16066" spans="2:5">
      <c r="B16066" s="121">
        <v>1352</v>
      </c>
      <c r="C16066" s="121">
        <v>22</v>
      </c>
      <c r="D16066" s="734">
        <v>146.30547006605761</v>
      </c>
      <c r="E16066" s="733"/>
    </row>
    <row r="16067" spans="2:5">
      <c r="B16067" s="121">
        <v>1352</v>
      </c>
      <c r="C16067" s="121">
        <v>23</v>
      </c>
      <c r="D16067" s="734">
        <v>134.7339400256509</v>
      </c>
      <c r="E16067" s="733"/>
    </row>
    <row r="16068" spans="2:5">
      <c r="B16068" s="121">
        <v>1352</v>
      </c>
      <c r="C16068" s="121">
        <v>24</v>
      </c>
      <c r="D16068" s="734">
        <v>144.70950401104869</v>
      </c>
      <c r="E16068" s="733"/>
    </row>
    <row r="16069" spans="2:5">
      <c r="B16069" s="121">
        <v>1352</v>
      </c>
      <c r="C16069" s="121">
        <v>25</v>
      </c>
      <c r="D16069" s="734">
        <v>135.71063860462385</v>
      </c>
      <c r="E16069" s="733"/>
    </row>
    <row r="16070" spans="2:5">
      <c r="B16070" s="121">
        <v>1352</v>
      </c>
      <c r="C16070" s="121">
        <v>26</v>
      </c>
      <c r="D16070" s="734">
        <v>140.77920949745607</v>
      </c>
      <c r="E16070" s="733"/>
    </row>
    <row r="16071" spans="2:5">
      <c r="B16071" s="121">
        <v>1352</v>
      </c>
      <c r="C16071" s="121">
        <v>27</v>
      </c>
      <c r="D16071" s="734">
        <v>136.25476939346166</v>
      </c>
      <c r="E16071" s="733"/>
    </row>
    <row r="16072" spans="2:5">
      <c r="B16072" s="121">
        <v>1352</v>
      </c>
      <c r="C16072" s="121">
        <v>28</v>
      </c>
      <c r="D16072" s="734">
        <v>144.74825719868943</v>
      </c>
      <c r="E16072" s="733"/>
    </row>
    <row r="16073" spans="2:5">
      <c r="B16073" s="121">
        <v>1352</v>
      </c>
      <c r="C16073" s="121">
        <v>29</v>
      </c>
      <c r="D16073" s="734">
        <v>134.84534066825896</v>
      </c>
      <c r="E16073" s="733"/>
    </row>
    <row r="16074" spans="2:5">
      <c r="B16074" s="121">
        <v>1352</v>
      </c>
      <c r="C16074" s="121">
        <v>30</v>
      </c>
      <c r="D16074" s="734">
        <v>141.5430170774593</v>
      </c>
      <c r="E16074" s="733"/>
    </row>
    <row r="16075" spans="2:5">
      <c r="B16075" s="121">
        <v>1352</v>
      </c>
      <c r="C16075" s="121">
        <v>31</v>
      </c>
      <c r="D16075" s="734">
        <v>145.08605054509184</v>
      </c>
      <c r="E16075" s="733"/>
    </row>
    <row r="16076" spans="2:5">
      <c r="B16076" s="121">
        <v>1352</v>
      </c>
      <c r="C16076" s="121">
        <v>32</v>
      </c>
      <c r="D16076" s="734">
        <v>138.55148370842269</v>
      </c>
      <c r="E16076" s="733"/>
    </row>
    <row r="16077" spans="2:5">
      <c r="B16077" s="121">
        <v>1352</v>
      </c>
      <c r="C16077" s="121">
        <v>33</v>
      </c>
      <c r="D16077" s="734">
        <v>134.88144227627038</v>
      </c>
      <c r="E16077" s="733"/>
    </row>
    <row r="16078" spans="2:5">
      <c r="B16078" s="121">
        <v>1352</v>
      </c>
      <c r="C16078" s="121">
        <v>34</v>
      </c>
      <c r="D16078" s="734">
        <v>146.35363272885101</v>
      </c>
      <c r="E16078" s="733"/>
    </row>
    <row r="16079" spans="2:5">
      <c r="B16079" s="121">
        <v>1352</v>
      </c>
      <c r="C16079" s="121">
        <v>35</v>
      </c>
      <c r="D16079" s="734">
        <v>140.74919196639138</v>
      </c>
      <c r="E16079" s="733"/>
    </row>
    <row r="16080" spans="2:5">
      <c r="B16080" s="121">
        <v>1352</v>
      </c>
      <c r="C16080" s="121">
        <v>36</v>
      </c>
      <c r="D16080" s="734">
        <v>145.24162784896282</v>
      </c>
      <c r="E16080" s="733"/>
    </row>
    <row r="16081" spans="2:5">
      <c r="B16081" s="121">
        <v>1353</v>
      </c>
      <c r="C16081" s="121">
        <v>1</v>
      </c>
      <c r="D16081" s="734">
        <v>5</v>
      </c>
      <c r="E16081" s="733"/>
    </row>
    <row r="16082" spans="2:5">
      <c r="B16082" s="121">
        <v>1353</v>
      </c>
      <c r="C16082" s="121">
        <v>2</v>
      </c>
      <c r="D16082" s="734">
        <v>100.90793676194664</v>
      </c>
      <c r="E16082" s="733"/>
    </row>
    <row r="16083" spans="2:5">
      <c r="B16083" s="121">
        <v>1353</v>
      </c>
      <c r="C16083" s="121">
        <v>3</v>
      </c>
      <c r="D16083" s="734">
        <v>118.69578948618401</v>
      </c>
      <c r="E16083" s="733"/>
    </row>
    <row r="16084" spans="2:5">
      <c r="B16084" s="121">
        <v>1353</v>
      </c>
      <c r="C16084" s="121">
        <v>4</v>
      </c>
      <c r="D16084" s="734">
        <v>141.03892375915257</v>
      </c>
      <c r="E16084" s="733"/>
    </row>
    <row r="16085" spans="2:5">
      <c r="B16085" s="121">
        <v>1353</v>
      </c>
      <c r="C16085" s="121">
        <v>5</v>
      </c>
      <c r="D16085" s="734">
        <v>141.76148037975179</v>
      </c>
      <c r="E16085" s="733"/>
    </row>
    <row r="16086" spans="2:5">
      <c r="B16086" s="121">
        <v>1353</v>
      </c>
      <c r="C16086" s="121">
        <v>6</v>
      </c>
      <c r="D16086" s="734">
        <v>140.08528782788525</v>
      </c>
      <c r="E16086" s="733"/>
    </row>
    <row r="16087" spans="2:5">
      <c r="B16087" s="121">
        <v>1353</v>
      </c>
      <c r="C16087" s="121">
        <v>7</v>
      </c>
      <c r="D16087" s="734">
        <v>145.07639593195316</v>
      </c>
      <c r="E16087" s="733"/>
    </row>
    <row r="16088" spans="2:5">
      <c r="B16088" s="121">
        <v>1353</v>
      </c>
      <c r="C16088" s="121">
        <v>8</v>
      </c>
      <c r="D16088" s="734">
        <v>142.259906909167</v>
      </c>
      <c r="E16088" s="733"/>
    </row>
    <row r="16089" spans="2:5">
      <c r="B16089" s="121">
        <v>1353</v>
      </c>
      <c r="C16089" s="121">
        <v>9</v>
      </c>
      <c r="D16089" s="734">
        <v>143.76572776440722</v>
      </c>
      <c r="E16089" s="733"/>
    </row>
    <row r="16090" spans="2:5">
      <c r="B16090" s="121">
        <v>1353</v>
      </c>
      <c r="C16090" s="121">
        <v>10</v>
      </c>
      <c r="D16090" s="734">
        <v>143.49981012678316</v>
      </c>
      <c r="E16090" s="733"/>
    </row>
    <row r="16091" spans="2:5">
      <c r="B16091" s="121">
        <v>1353</v>
      </c>
      <c r="C16091" s="121">
        <v>11</v>
      </c>
      <c r="D16091" s="734">
        <v>140.30344749950174</v>
      </c>
      <c r="E16091" s="733"/>
    </row>
    <row r="16092" spans="2:5">
      <c r="B16092" s="121">
        <v>1353</v>
      </c>
      <c r="C16092" s="121">
        <v>12</v>
      </c>
      <c r="D16092" s="734">
        <v>135.81634855102328</v>
      </c>
      <c r="E16092" s="733"/>
    </row>
    <row r="16093" spans="2:5">
      <c r="B16093" s="121">
        <v>1353</v>
      </c>
      <c r="C16093" s="121">
        <v>13</v>
      </c>
      <c r="D16093" s="734">
        <v>147.23559131037953</v>
      </c>
      <c r="E16093" s="733"/>
    </row>
    <row r="16094" spans="2:5">
      <c r="B16094" s="121">
        <v>1353</v>
      </c>
      <c r="C16094" s="121">
        <v>14</v>
      </c>
      <c r="D16094" s="734">
        <v>138.57098365815793</v>
      </c>
      <c r="E16094" s="733"/>
    </row>
    <row r="16095" spans="2:5">
      <c r="B16095" s="121">
        <v>1353</v>
      </c>
      <c r="C16095" s="121">
        <v>15</v>
      </c>
      <c r="D16095" s="734">
        <v>136.41858212290242</v>
      </c>
      <c r="E16095" s="733"/>
    </row>
    <row r="16096" spans="2:5">
      <c r="B16096" s="121">
        <v>1353</v>
      </c>
      <c r="C16096" s="121">
        <v>16</v>
      </c>
      <c r="D16096" s="734">
        <v>138.71098269358865</v>
      </c>
      <c r="E16096" s="733"/>
    </row>
    <row r="16097" spans="2:5">
      <c r="B16097" s="121">
        <v>1353</v>
      </c>
      <c r="C16097" s="121">
        <v>17</v>
      </c>
      <c r="D16097" s="734">
        <v>144.69418390314976</v>
      </c>
      <c r="E16097" s="733"/>
    </row>
    <row r="16098" spans="2:5">
      <c r="B16098" s="121">
        <v>1353</v>
      </c>
      <c r="C16098" s="121">
        <v>18</v>
      </c>
      <c r="D16098" s="734">
        <v>140.69509685201962</v>
      </c>
      <c r="E16098" s="733"/>
    </row>
    <row r="16099" spans="2:5">
      <c r="B16099" s="121">
        <v>1353</v>
      </c>
      <c r="C16099" s="121">
        <v>19</v>
      </c>
      <c r="D16099" s="734">
        <v>134.74238741717051</v>
      </c>
      <c r="E16099" s="733"/>
    </row>
    <row r="16100" spans="2:5">
      <c r="B16100" s="121">
        <v>1353</v>
      </c>
      <c r="C16100" s="121">
        <v>20</v>
      </c>
      <c r="D16100" s="734">
        <v>140.72217923156296</v>
      </c>
      <c r="E16100" s="733"/>
    </row>
    <row r="16101" spans="2:5">
      <c r="B16101" s="121">
        <v>1354</v>
      </c>
      <c r="C16101" s="121">
        <v>1</v>
      </c>
      <c r="D16101" s="734">
        <v>5</v>
      </c>
      <c r="E16101" s="733"/>
    </row>
    <row r="16102" spans="2:5">
      <c r="B16102" s="121">
        <v>1354</v>
      </c>
      <c r="C16102" s="121">
        <v>2</v>
      </c>
      <c r="D16102" s="734">
        <v>98.14730686862309</v>
      </c>
      <c r="E16102" s="733"/>
    </row>
    <row r="16103" spans="2:5">
      <c r="B16103" s="121">
        <v>1354</v>
      </c>
      <c r="C16103" s="121">
        <v>3</v>
      </c>
      <c r="D16103" s="734">
        <v>122.30777107385728</v>
      </c>
      <c r="E16103" s="733"/>
    </row>
    <row r="16104" spans="2:5">
      <c r="B16104" s="121">
        <v>1354</v>
      </c>
      <c r="C16104" s="121">
        <v>4</v>
      </c>
      <c r="D16104" s="734">
        <v>141.46751401275068</v>
      </c>
      <c r="E16104" s="733"/>
    </row>
    <row r="16105" spans="2:5">
      <c r="B16105" s="121">
        <v>1354</v>
      </c>
      <c r="C16105" s="121">
        <v>5</v>
      </c>
      <c r="D16105" s="734">
        <v>134.01446480573838</v>
      </c>
      <c r="E16105" s="733"/>
    </row>
    <row r="16106" spans="2:5">
      <c r="B16106" s="121">
        <v>1354</v>
      </c>
      <c r="C16106" s="121">
        <v>6</v>
      </c>
      <c r="D16106" s="734">
        <v>138.01869554795658</v>
      </c>
      <c r="E16106" s="733"/>
    </row>
    <row r="16107" spans="2:5">
      <c r="B16107" s="121">
        <v>1354</v>
      </c>
      <c r="C16107" s="121">
        <v>7</v>
      </c>
      <c r="D16107" s="734">
        <v>140.02841219819788</v>
      </c>
      <c r="E16107" s="733"/>
    </row>
    <row r="16108" spans="2:5">
      <c r="B16108" s="121">
        <v>1354</v>
      </c>
      <c r="C16108" s="121">
        <v>8</v>
      </c>
      <c r="D16108" s="734">
        <v>140.72524830132255</v>
      </c>
      <c r="E16108" s="733"/>
    </row>
    <row r="16109" spans="2:5">
      <c r="B16109" s="121">
        <v>1354</v>
      </c>
      <c r="C16109" s="121">
        <v>9</v>
      </c>
      <c r="D16109" s="734">
        <v>144.79778060896868</v>
      </c>
      <c r="E16109" s="733"/>
    </row>
    <row r="16110" spans="2:5">
      <c r="B16110" s="121">
        <v>1354</v>
      </c>
      <c r="C16110" s="121">
        <v>10</v>
      </c>
      <c r="D16110" s="734">
        <v>139.93303181676484</v>
      </c>
      <c r="E16110" s="733"/>
    </row>
    <row r="16111" spans="2:5">
      <c r="B16111" s="121">
        <v>1354</v>
      </c>
      <c r="C16111" s="121">
        <v>11</v>
      </c>
      <c r="D16111" s="734">
        <v>134.74705926153706</v>
      </c>
      <c r="E16111" s="733"/>
    </row>
    <row r="16112" spans="2:5">
      <c r="B16112" s="121">
        <v>1354</v>
      </c>
      <c r="C16112" s="121">
        <v>12</v>
      </c>
      <c r="D16112" s="734">
        <v>145.73775444367999</v>
      </c>
      <c r="E16112" s="733"/>
    </row>
    <row r="16113" spans="2:5">
      <c r="B16113" s="121">
        <v>1354</v>
      </c>
      <c r="C16113" s="121">
        <v>13</v>
      </c>
      <c r="D16113" s="734">
        <v>144.32880594341168</v>
      </c>
      <c r="E16113" s="733"/>
    </row>
    <row r="16114" spans="2:5">
      <c r="B16114" s="121">
        <v>1354</v>
      </c>
      <c r="C16114" s="121">
        <v>14</v>
      </c>
      <c r="D16114" s="734">
        <v>140.72756714506164</v>
      </c>
      <c r="E16114" s="733"/>
    </row>
    <row r="16115" spans="2:5">
      <c r="B16115" s="121">
        <v>1354</v>
      </c>
      <c r="C16115" s="121">
        <v>15</v>
      </c>
      <c r="D16115" s="734">
        <v>142.41143529425685</v>
      </c>
      <c r="E16115" s="733"/>
    </row>
    <row r="16116" spans="2:5">
      <c r="B16116" s="121">
        <v>1354</v>
      </c>
      <c r="C16116" s="121">
        <v>16</v>
      </c>
      <c r="D16116" s="734">
        <v>146.10106077146796</v>
      </c>
      <c r="E16116" s="733"/>
    </row>
    <row r="16117" spans="2:5">
      <c r="B16117" s="121">
        <v>1354</v>
      </c>
      <c r="C16117" s="121">
        <v>17</v>
      </c>
      <c r="D16117" s="734">
        <v>139.34854493193785</v>
      </c>
      <c r="E16117" s="733"/>
    </row>
    <row r="16118" spans="2:5">
      <c r="B16118" s="121">
        <v>1354</v>
      </c>
      <c r="C16118" s="121">
        <v>18</v>
      </c>
      <c r="D16118" s="734">
        <v>145.91673229162276</v>
      </c>
      <c r="E16118" s="733"/>
    </row>
    <row r="16119" spans="2:5">
      <c r="B16119" s="121">
        <v>1354</v>
      </c>
      <c r="C16119" s="121">
        <v>19</v>
      </c>
      <c r="D16119" s="734">
        <v>137.68782507400212</v>
      </c>
      <c r="E16119" s="733"/>
    </row>
    <row r="16120" spans="2:5">
      <c r="B16120" s="121">
        <v>1354</v>
      </c>
      <c r="C16120" s="121">
        <v>20</v>
      </c>
      <c r="D16120" s="734">
        <v>143.46183654020419</v>
      </c>
      <c r="E16120" s="733"/>
    </row>
    <row r="16121" spans="2:5">
      <c r="B16121" s="121">
        <v>1354</v>
      </c>
      <c r="C16121" s="121">
        <v>21</v>
      </c>
      <c r="D16121" s="734">
        <v>137.42022819117736</v>
      </c>
      <c r="E16121" s="733"/>
    </row>
    <row r="16122" spans="2:5">
      <c r="B16122" s="121">
        <v>1354</v>
      </c>
      <c r="C16122" s="121">
        <v>22</v>
      </c>
      <c r="D16122" s="734">
        <v>133.69702455074847</v>
      </c>
      <c r="E16122" s="733"/>
    </row>
    <row r="16123" spans="2:5">
      <c r="B16123" s="121">
        <v>1354</v>
      </c>
      <c r="C16123" s="121">
        <v>23</v>
      </c>
      <c r="D16123" s="734">
        <v>137.61148449248378</v>
      </c>
      <c r="E16123" s="733"/>
    </row>
    <row r="16124" spans="2:5">
      <c r="B16124" s="121">
        <v>1354</v>
      </c>
      <c r="C16124" s="121">
        <v>24</v>
      </c>
      <c r="D16124" s="734">
        <v>141.05748037859539</v>
      </c>
      <c r="E16124" s="733"/>
    </row>
    <row r="16125" spans="2:5">
      <c r="B16125" s="121">
        <v>1355</v>
      </c>
      <c r="C16125" s="121">
        <v>1</v>
      </c>
      <c r="D16125" s="734">
        <v>5</v>
      </c>
      <c r="E16125" s="733"/>
    </row>
    <row r="16126" spans="2:5">
      <c r="B16126" s="121">
        <v>1355</v>
      </c>
      <c r="C16126" s="121">
        <v>2</v>
      </c>
      <c r="D16126" s="734">
        <v>95.794705568299946</v>
      </c>
      <c r="E16126" s="733"/>
    </row>
    <row r="16127" spans="2:5">
      <c r="B16127" s="121">
        <v>1355</v>
      </c>
      <c r="C16127" s="121">
        <v>3</v>
      </c>
      <c r="D16127" s="734">
        <v>114.12467103758459</v>
      </c>
      <c r="E16127" s="733"/>
    </row>
    <row r="16128" spans="2:5">
      <c r="B16128" s="121">
        <v>1355</v>
      </c>
      <c r="C16128" s="121">
        <v>4</v>
      </c>
      <c r="D16128" s="734">
        <v>143.20771574942765</v>
      </c>
      <c r="E16128" s="733"/>
    </row>
    <row r="16129" spans="2:5">
      <c r="B16129" s="121">
        <v>1355</v>
      </c>
      <c r="C16129" s="121">
        <v>5</v>
      </c>
      <c r="D16129" s="734">
        <v>133.94258239115965</v>
      </c>
      <c r="E16129" s="733"/>
    </row>
    <row r="16130" spans="2:5">
      <c r="B16130" s="121">
        <v>1356</v>
      </c>
      <c r="C16130" s="121">
        <v>1</v>
      </c>
      <c r="D16130" s="734">
        <v>5</v>
      </c>
      <c r="E16130" s="733"/>
    </row>
    <row r="16131" spans="2:5">
      <c r="B16131" s="121">
        <v>1356</v>
      </c>
      <c r="C16131" s="121">
        <v>2</v>
      </c>
      <c r="D16131" s="734">
        <v>100.90155587077005</v>
      </c>
      <c r="E16131" s="733"/>
    </row>
    <row r="16132" spans="2:5">
      <c r="B16132" s="121">
        <v>1356</v>
      </c>
      <c r="C16132" s="121">
        <v>3</v>
      </c>
      <c r="D16132" s="734">
        <v>118.43166940979273</v>
      </c>
      <c r="E16132" s="733"/>
    </row>
    <row r="16133" spans="2:5">
      <c r="B16133" s="121">
        <v>1356</v>
      </c>
      <c r="C16133" s="121">
        <v>4</v>
      </c>
      <c r="D16133" s="734">
        <v>139.94002062929968</v>
      </c>
      <c r="E16133" s="733"/>
    </row>
    <row r="16134" spans="2:5">
      <c r="B16134" s="121">
        <v>1356</v>
      </c>
      <c r="C16134" s="121">
        <v>5</v>
      </c>
      <c r="D16134" s="734">
        <v>138.06644083037258</v>
      </c>
      <c r="E16134" s="733"/>
    </row>
    <row r="16135" spans="2:5">
      <c r="B16135" s="121">
        <v>1356</v>
      </c>
      <c r="C16135" s="121">
        <v>6</v>
      </c>
      <c r="D16135" s="734">
        <v>146.09334043034212</v>
      </c>
      <c r="E16135" s="733"/>
    </row>
    <row r="16136" spans="2:5">
      <c r="B16136" s="121">
        <v>1357</v>
      </c>
      <c r="C16136" s="121">
        <v>1</v>
      </c>
      <c r="D16136" s="734">
        <v>5</v>
      </c>
      <c r="E16136" s="733"/>
    </row>
    <row r="16137" spans="2:5">
      <c r="B16137" s="121">
        <v>1357</v>
      </c>
      <c r="C16137" s="121">
        <v>2</v>
      </c>
      <c r="D16137" s="734">
        <v>100.59587528733498</v>
      </c>
      <c r="E16137" s="733"/>
    </row>
    <row r="16138" spans="2:5">
      <c r="B16138" s="121">
        <v>1357</v>
      </c>
      <c r="C16138" s="121">
        <v>3</v>
      </c>
      <c r="D16138" s="734">
        <v>117.08797265459401</v>
      </c>
      <c r="E16138" s="733"/>
    </row>
    <row r="16139" spans="2:5">
      <c r="B16139" s="121">
        <v>1357</v>
      </c>
      <c r="C16139" s="121">
        <v>4</v>
      </c>
      <c r="D16139" s="734">
        <v>141.25133488303481</v>
      </c>
      <c r="E16139" s="733"/>
    </row>
    <row r="16140" spans="2:5">
      <c r="B16140" s="121">
        <v>1357</v>
      </c>
      <c r="C16140" s="121">
        <v>5</v>
      </c>
      <c r="D16140" s="734">
        <v>137.78408971529669</v>
      </c>
      <c r="E16140" s="733"/>
    </row>
    <row r="16141" spans="2:5">
      <c r="B16141" s="121">
        <v>1357</v>
      </c>
      <c r="C16141" s="121">
        <v>6</v>
      </c>
      <c r="D16141" s="734">
        <v>134.67311471925063</v>
      </c>
      <c r="E16141" s="733"/>
    </row>
    <row r="16142" spans="2:5">
      <c r="B16142" s="121">
        <v>1357</v>
      </c>
      <c r="C16142" s="121">
        <v>7</v>
      </c>
      <c r="D16142" s="734">
        <v>144.20666332143057</v>
      </c>
      <c r="E16142" s="733"/>
    </row>
    <row r="16143" spans="2:5">
      <c r="B16143" s="121">
        <v>1357</v>
      </c>
      <c r="C16143" s="121">
        <v>8</v>
      </c>
      <c r="D16143" s="734">
        <v>142.61528438297267</v>
      </c>
      <c r="E16143" s="733"/>
    </row>
    <row r="16144" spans="2:5">
      <c r="B16144" s="121">
        <v>1357</v>
      </c>
      <c r="C16144" s="121">
        <v>9</v>
      </c>
      <c r="D16144" s="734">
        <v>136.87758098920256</v>
      </c>
      <c r="E16144" s="733"/>
    </row>
    <row r="16145" spans="2:5">
      <c r="B16145" s="121">
        <v>1357</v>
      </c>
      <c r="C16145" s="121">
        <v>10</v>
      </c>
      <c r="D16145" s="734">
        <v>138.72980734728284</v>
      </c>
      <c r="E16145" s="733"/>
    </row>
    <row r="16146" spans="2:5">
      <c r="B16146" s="121">
        <v>1357</v>
      </c>
      <c r="C16146" s="121">
        <v>11</v>
      </c>
      <c r="D16146" s="734">
        <v>133.72447494793835</v>
      </c>
      <c r="E16146" s="733"/>
    </row>
    <row r="16147" spans="2:5">
      <c r="B16147" s="121">
        <v>1357</v>
      </c>
      <c r="C16147" s="121">
        <v>12</v>
      </c>
      <c r="D16147" s="734">
        <v>143.95812096799148</v>
      </c>
      <c r="E16147" s="733"/>
    </row>
    <row r="16148" spans="2:5">
      <c r="B16148" s="121">
        <v>1357</v>
      </c>
      <c r="C16148" s="121">
        <v>13</v>
      </c>
      <c r="D16148" s="734">
        <v>135.90881356917436</v>
      </c>
      <c r="E16148" s="733"/>
    </row>
    <row r="16149" spans="2:5">
      <c r="B16149" s="121">
        <v>1357</v>
      </c>
      <c r="C16149" s="121">
        <v>14</v>
      </c>
      <c r="D16149" s="734">
        <v>146.0571631860854</v>
      </c>
      <c r="E16149" s="733"/>
    </row>
    <row r="16150" spans="2:5">
      <c r="B16150" s="121">
        <v>1357</v>
      </c>
      <c r="C16150" s="121">
        <v>15</v>
      </c>
      <c r="D16150" s="734">
        <v>134.5449159520339</v>
      </c>
      <c r="E16150" s="733"/>
    </row>
    <row r="16151" spans="2:5">
      <c r="B16151" s="121">
        <v>1357</v>
      </c>
      <c r="C16151" s="121">
        <v>16</v>
      </c>
      <c r="D16151" s="734">
        <v>135.59385090450047</v>
      </c>
      <c r="E16151" s="733"/>
    </row>
    <row r="16152" spans="2:5">
      <c r="B16152" s="121">
        <v>1357</v>
      </c>
      <c r="C16152" s="121">
        <v>17</v>
      </c>
      <c r="D16152" s="734">
        <v>138.69087641374935</v>
      </c>
      <c r="E16152" s="733"/>
    </row>
    <row r="16153" spans="2:5">
      <c r="B16153" s="121">
        <v>1357</v>
      </c>
      <c r="C16153" s="121">
        <v>18</v>
      </c>
      <c r="D16153" s="734">
        <v>133.96287377314633</v>
      </c>
      <c r="E16153" s="733"/>
    </row>
    <row r="16154" spans="2:5">
      <c r="B16154" s="121">
        <v>1357</v>
      </c>
      <c r="C16154" s="121">
        <v>19</v>
      </c>
      <c r="D16154" s="734">
        <v>137.86357719655157</v>
      </c>
      <c r="E16154" s="733"/>
    </row>
    <row r="16155" spans="2:5">
      <c r="B16155" s="121">
        <v>1357</v>
      </c>
      <c r="C16155" s="121">
        <v>20</v>
      </c>
      <c r="D16155" s="734">
        <v>144.02316277368718</v>
      </c>
      <c r="E16155" s="733"/>
    </row>
    <row r="16156" spans="2:5">
      <c r="B16156" s="121">
        <v>1357</v>
      </c>
      <c r="C16156" s="121">
        <v>21</v>
      </c>
      <c r="D16156" s="734">
        <v>146.79956844705666</v>
      </c>
      <c r="E16156" s="733"/>
    </row>
    <row r="16157" spans="2:5">
      <c r="B16157" s="121">
        <v>1357</v>
      </c>
      <c r="C16157" s="121">
        <v>22</v>
      </c>
      <c r="D16157" s="734">
        <v>138.32408860044586</v>
      </c>
      <c r="E16157" s="733"/>
    </row>
    <row r="16158" spans="2:5">
      <c r="B16158" s="121">
        <v>1357</v>
      </c>
      <c r="C16158" s="121">
        <v>23</v>
      </c>
      <c r="D16158" s="734">
        <v>142.8433239128542</v>
      </c>
      <c r="E16158" s="733"/>
    </row>
    <row r="16159" spans="2:5">
      <c r="B16159" s="121">
        <v>1357</v>
      </c>
      <c r="C16159" s="121">
        <v>24</v>
      </c>
      <c r="D16159" s="734">
        <v>139.29282490073263</v>
      </c>
      <c r="E16159" s="733"/>
    </row>
    <row r="16160" spans="2:5">
      <c r="B16160" s="121">
        <v>1357</v>
      </c>
      <c r="C16160" s="121">
        <v>25</v>
      </c>
      <c r="D16160" s="734">
        <v>134.37436845606919</v>
      </c>
      <c r="E16160" s="733"/>
    </row>
    <row r="16161" spans="2:5">
      <c r="B16161" s="121">
        <v>1357</v>
      </c>
      <c r="C16161" s="121">
        <v>26</v>
      </c>
      <c r="D16161" s="734">
        <v>138.74301968980038</v>
      </c>
      <c r="E16161" s="733"/>
    </row>
    <row r="16162" spans="2:5">
      <c r="B16162" s="121">
        <v>1357</v>
      </c>
      <c r="C16162" s="121">
        <v>27</v>
      </c>
      <c r="D16162" s="734">
        <v>138.92827904092886</v>
      </c>
      <c r="E16162" s="733"/>
    </row>
    <row r="16163" spans="2:5">
      <c r="B16163" s="121">
        <v>1357</v>
      </c>
      <c r="C16163" s="121">
        <v>28</v>
      </c>
      <c r="D16163" s="734">
        <v>136.84313186822334</v>
      </c>
      <c r="E16163" s="733"/>
    </row>
    <row r="16164" spans="2:5">
      <c r="B16164" s="121">
        <v>1357</v>
      </c>
      <c r="C16164" s="121">
        <v>29</v>
      </c>
      <c r="D16164" s="734">
        <v>141.43608199321278</v>
      </c>
      <c r="E16164" s="733"/>
    </row>
    <row r="16165" spans="2:5">
      <c r="B16165" s="121">
        <v>1357</v>
      </c>
      <c r="C16165" s="121">
        <v>30</v>
      </c>
      <c r="D16165" s="734">
        <v>140.54186257622939</v>
      </c>
      <c r="E16165" s="733"/>
    </row>
    <row r="16166" spans="2:5">
      <c r="B16166" s="121">
        <v>1357</v>
      </c>
      <c r="C16166" s="121">
        <v>31</v>
      </c>
      <c r="D16166" s="734">
        <v>136.56922221599544</v>
      </c>
      <c r="E16166" s="733"/>
    </row>
    <row r="16167" spans="2:5">
      <c r="B16167" s="121">
        <v>1357</v>
      </c>
      <c r="C16167" s="121">
        <v>32</v>
      </c>
      <c r="D16167" s="734">
        <v>141.55015839879735</v>
      </c>
      <c r="E16167" s="733"/>
    </row>
    <row r="16168" spans="2:5">
      <c r="B16168" s="121">
        <v>1357</v>
      </c>
      <c r="C16168" s="121">
        <v>33</v>
      </c>
      <c r="D16168" s="734">
        <v>140.30193984171183</v>
      </c>
      <c r="E16168" s="733"/>
    </row>
    <row r="16169" spans="2:5">
      <c r="B16169" s="121">
        <v>1357</v>
      </c>
      <c r="C16169" s="121">
        <v>34</v>
      </c>
      <c r="D16169" s="734">
        <v>136.83922292589725</v>
      </c>
      <c r="E16169" s="733"/>
    </row>
    <row r="16170" spans="2:5">
      <c r="B16170" s="121">
        <v>1357</v>
      </c>
      <c r="C16170" s="121">
        <v>35</v>
      </c>
      <c r="D16170" s="734">
        <v>134.47233916704204</v>
      </c>
      <c r="E16170" s="733"/>
    </row>
    <row r="16171" spans="2:5">
      <c r="B16171" s="121">
        <v>1357</v>
      </c>
      <c r="C16171" s="121">
        <v>36</v>
      </c>
      <c r="D16171" s="734">
        <v>136.70838223069848</v>
      </c>
      <c r="E16171" s="733"/>
    </row>
    <row r="16172" spans="2:5">
      <c r="B16172" s="121">
        <v>1358</v>
      </c>
      <c r="C16172" s="121">
        <v>1</v>
      </c>
      <c r="D16172" s="734">
        <v>5</v>
      </c>
      <c r="E16172" s="733"/>
    </row>
    <row r="16173" spans="2:5">
      <c r="B16173" s="121">
        <v>1359</v>
      </c>
      <c r="C16173" s="121">
        <v>1</v>
      </c>
      <c r="D16173" s="734">
        <v>5</v>
      </c>
      <c r="E16173" s="733"/>
    </row>
    <row r="16174" spans="2:5">
      <c r="B16174" s="121">
        <v>1360</v>
      </c>
      <c r="C16174" s="121">
        <v>1</v>
      </c>
      <c r="D16174" s="734">
        <v>5</v>
      </c>
      <c r="E16174" s="733"/>
    </row>
    <row r="16175" spans="2:5">
      <c r="B16175" s="121">
        <v>1360</v>
      </c>
      <c r="C16175" s="121">
        <v>2</v>
      </c>
      <c r="D16175" s="734">
        <v>96.983475753956185</v>
      </c>
      <c r="E16175" s="733"/>
    </row>
    <row r="16176" spans="2:5">
      <c r="B16176" s="121">
        <v>1360</v>
      </c>
      <c r="C16176" s="121">
        <v>3</v>
      </c>
      <c r="D16176" s="734">
        <v>117.76944530331134</v>
      </c>
      <c r="E16176" s="733"/>
    </row>
    <row r="16177" spans="2:5">
      <c r="B16177" s="121">
        <v>1360</v>
      </c>
      <c r="C16177" s="121">
        <v>4</v>
      </c>
      <c r="D16177" s="734">
        <v>137.19091821810972</v>
      </c>
      <c r="E16177" s="733"/>
    </row>
    <row r="16178" spans="2:5">
      <c r="B16178" s="121">
        <v>1360</v>
      </c>
      <c r="C16178" s="121">
        <v>5</v>
      </c>
      <c r="D16178" s="734">
        <v>147.04877204130111</v>
      </c>
      <c r="E16178" s="733"/>
    </row>
    <row r="16179" spans="2:5">
      <c r="B16179" s="121">
        <v>1360</v>
      </c>
      <c r="C16179" s="121">
        <v>6</v>
      </c>
      <c r="D16179" s="734">
        <v>137.93094333589869</v>
      </c>
      <c r="E16179" s="733"/>
    </row>
    <row r="16180" spans="2:5">
      <c r="B16180" s="121">
        <v>1360</v>
      </c>
      <c r="C16180" s="121">
        <v>7</v>
      </c>
      <c r="D16180" s="734">
        <v>142.78857188097319</v>
      </c>
      <c r="E16180" s="733"/>
    </row>
    <row r="16181" spans="2:5">
      <c r="B16181" s="121">
        <v>1360</v>
      </c>
      <c r="C16181" s="121">
        <v>8</v>
      </c>
      <c r="D16181" s="734">
        <v>138.73132199272058</v>
      </c>
      <c r="E16181" s="733"/>
    </row>
    <row r="16182" spans="2:5">
      <c r="B16182" s="121">
        <v>1360</v>
      </c>
      <c r="C16182" s="121">
        <v>9</v>
      </c>
      <c r="D16182" s="734">
        <v>145.35422148037424</v>
      </c>
      <c r="E16182" s="733"/>
    </row>
    <row r="16183" spans="2:5">
      <c r="B16183" s="121">
        <v>1361</v>
      </c>
      <c r="C16183" s="121">
        <v>1</v>
      </c>
      <c r="D16183" s="734">
        <v>5</v>
      </c>
      <c r="E16183" s="733"/>
    </row>
    <row r="16184" spans="2:5">
      <c r="B16184" s="121">
        <v>1362</v>
      </c>
      <c r="C16184" s="121">
        <v>1</v>
      </c>
      <c r="D16184" s="734">
        <v>5</v>
      </c>
      <c r="E16184" s="733"/>
    </row>
    <row r="16185" spans="2:5">
      <c r="B16185" s="121">
        <v>1362</v>
      </c>
      <c r="C16185" s="121">
        <v>2</v>
      </c>
      <c r="D16185" s="734">
        <v>94.723044863003381</v>
      </c>
      <c r="E16185" s="733"/>
    </row>
    <row r="16186" spans="2:5">
      <c r="B16186" s="121">
        <v>1362</v>
      </c>
      <c r="C16186" s="121">
        <v>3</v>
      </c>
      <c r="D16186" s="734">
        <v>123.97056294835926</v>
      </c>
      <c r="E16186" s="733"/>
    </row>
    <row r="16187" spans="2:5">
      <c r="B16187" s="121">
        <v>1362</v>
      </c>
      <c r="C16187" s="121">
        <v>4</v>
      </c>
      <c r="D16187" s="734">
        <v>141.34613882493753</v>
      </c>
      <c r="E16187" s="733"/>
    </row>
    <row r="16188" spans="2:5">
      <c r="B16188" s="121">
        <v>1362</v>
      </c>
      <c r="C16188" s="121">
        <v>5</v>
      </c>
      <c r="D16188" s="734">
        <v>137.70859312081396</v>
      </c>
      <c r="E16188" s="733"/>
    </row>
    <row r="16189" spans="2:5">
      <c r="B16189" s="121">
        <v>1362</v>
      </c>
      <c r="C16189" s="121">
        <v>6</v>
      </c>
      <c r="D16189" s="734">
        <v>138.22365155551381</v>
      </c>
      <c r="E16189" s="733"/>
    </row>
    <row r="16190" spans="2:5">
      <c r="B16190" s="121">
        <v>1362</v>
      </c>
      <c r="C16190" s="121">
        <v>7</v>
      </c>
      <c r="D16190" s="734">
        <v>143.2078100145431</v>
      </c>
      <c r="E16190" s="733"/>
    </row>
    <row r="16191" spans="2:5">
      <c r="B16191" s="121">
        <v>1362</v>
      </c>
      <c r="C16191" s="121">
        <v>8</v>
      </c>
      <c r="D16191" s="734">
        <v>138.87977153511429</v>
      </c>
      <c r="E16191" s="733"/>
    </row>
    <row r="16192" spans="2:5">
      <c r="B16192" s="121">
        <v>1362</v>
      </c>
      <c r="C16192" s="121">
        <v>9</v>
      </c>
      <c r="D16192" s="734">
        <v>138.57351509904228</v>
      </c>
      <c r="E16192" s="733"/>
    </row>
    <row r="16193" spans="2:5">
      <c r="B16193" s="121">
        <v>1362</v>
      </c>
      <c r="C16193" s="121">
        <v>10</v>
      </c>
      <c r="D16193" s="734">
        <v>145.37650828986281</v>
      </c>
      <c r="E16193" s="733"/>
    </row>
    <row r="16194" spans="2:5">
      <c r="B16194" s="121">
        <v>1363</v>
      </c>
      <c r="C16194" s="121">
        <v>1</v>
      </c>
      <c r="D16194" s="734">
        <v>5</v>
      </c>
      <c r="E16194" s="733"/>
    </row>
    <row r="16195" spans="2:5">
      <c r="B16195" s="121">
        <v>1363</v>
      </c>
      <c r="C16195" s="121">
        <v>2</v>
      </c>
      <c r="D16195" s="734">
        <v>94.204406777305763</v>
      </c>
      <c r="E16195" s="733"/>
    </row>
    <row r="16196" spans="2:5">
      <c r="B16196" s="121">
        <v>1363</v>
      </c>
      <c r="C16196" s="121">
        <v>3</v>
      </c>
      <c r="D16196" s="734">
        <v>125.14970873215145</v>
      </c>
      <c r="E16196" s="733"/>
    </row>
    <row r="16197" spans="2:5">
      <c r="B16197" s="121">
        <v>1363</v>
      </c>
      <c r="C16197" s="121">
        <v>4</v>
      </c>
      <c r="D16197" s="734">
        <v>136.80039482121083</v>
      </c>
      <c r="E16197" s="733"/>
    </row>
    <row r="16198" spans="2:5">
      <c r="B16198" s="121">
        <v>1363</v>
      </c>
      <c r="C16198" s="121">
        <v>5</v>
      </c>
      <c r="D16198" s="734">
        <v>135.93005227802061</v>
      </c>
      <c r="E16198" s="733"/>
    </row>
    <row r="16199" spans="2:5">
      <c r="B16199" s="121">
        <v>1363</v>
      </c>
      <c r="C16199" s="121">
        <v>6</v>
      </c>
      <c r="D16199" s="734">
        <v>138.51313018650239</v>
      </c>
      <c r="E16199" s="733"/>
    </row>
    <row r="16200" spans="2:5">
      <c r="B16200" s="121">
        <v>1363</v>
      </c>
      <c r="C16200" s="121">
        <v>7</v>
      </c>
      <c r="D16200" s="734">
        <v>138.02102744144474</v>
      </c>
      <c r="E16200" s="733"/>
    </row>
    <row r="16201" spans="2:5">
      <c r="B16201" s="121">
        <v>1363</v>
      </c>
      <c r="C16201" s="121">
        <v>8</v>
      </c>
      <c r="D16201" s="734">
        <v>139.34954214164603</v>
      </c>
      <c r="E16201" s="733"/>
    </row>
    <row r="16202" spans="2:5">
      <c r="B16202" s="121">
        <v>1363</v>
      </c>
      <c r="C16202" s="121">
        <v>9</v>
      </c>
      <c r="D16202" s="734">
        <v>143.44634048346018</v>
      </c>
      <c r="E16202" s="733"/>
    </row>
    <row r="16203" spans="2:5">
      <c r="B16203" s="121">
        <v>1363</v>
      </c>
      <c r="C16203" s="121">
        <v>10</v>
      </c>
      <c r="D16203" s="734">
        <v>133.69350930818797</v>
      </c>
      <c r="E16203" s="733"/>
    </row>
    <row r="16204" spans="2:5">
      <c r="B16204" s="121">
        <v>1363</v>
      </c>
      <c r="C16204" s="121">
        <v>11</v>
      </c>
      <c r="D16204" s="734">
        <v>134.87211894831458</v>
      </c>
      <c r="E16204" s="733"/>
    </row>
    <row r="16205" spans="2:5">
      <c r="B16205" s="121">
        <v>1363</v>
      </c>
      <c r="C16205" s="121">
        <v>12</v>
      </c>
      <c r="D16205" s="734">
        <v>135.23985339039291</v>
      </c>
      <c r="E16205" s="733"/>
    </row>
    <row r="16206" spans="2:5">
      <c r="B16206" s="121">
        <v>1363</v>
      </c>
      <c r="C16206" s="121">
        <v>13</v>
      </c>
      <c r="D16206" s="734">
        <v>137.71505797832626</v>
      </c>
      <c r="E16206" s="733"/>
    </row>
    <row r="16207" spans="2:5">
      <c r="B16207" s="121">
        <v>1363</v>
      </c>
      <c r="C16207" s="121">
        <v>14</v>
      </c>
      <c r="D16207" s="734">
        <v>144.71359552625728</v>
      </c>
      <c r="E16207" s="733"/>
    </row>
    <row r="16208" spans="2:5">
      <c r="B16208" s="121">
        <v>1363</v>
      </c>
      <c r="C16208" s="121">
        <v>15</v>
      </c>
      <c r="D16208" s="734">
        <v>145.59225147560815</v>
      </c>
      <c r="E16208" s="733"/>
    </row>
    <row r="16209" spans="2:5">
      <c r="B16209" s="121">
        <v>1363</v>
      </c>
      <c r="C16209" s="121">
        <v>16</v>
      </c>
      <c r="D16209" s="734">
        <v>144.6761218273212</v>
      </c>
      <c r="E16209" s="733"/>
    </row>
    <row r="16210" spans="2:5">
      <c r="B16210" s="121">
        <v>1363</v>
      </c>
      <c r="C16210" s="121">
        <v>17</v>
      </c>
      <c r="D16210" s="734">
        <v>145.54514847225099</v>
      </c>
      <c r="E16210" s="733"/>
    </row>
    <row r="16211" spans="2:5">
      <c r="B16211" s="121">
        <v>1363</v>
      </c>
      <c r="C16211" s="121">
        <v>18</v>
      </c>
      <c r="D16211" s="734">
        <v>135.84660576296113</v>
      </c>
      <c r="E16211" s="733"/>
    </row>
    <row r="16212" spans="2:5">
      <c r="B16212" s="121">
        <v>1363</v>
      </c>
      <c r="C16212" s="121">
        <v>19</v>
      </c>
      <c r="D16212" s="734">
        <v>138.90315130892404</v>
      </c>
      <c r="E16212" s="733"/>
    </row>
    <row r="16213" spans="2:5">
      <c r="B16213" s="121">
        <v>1363</v>
      </c>
      <c r="C16213" s="121">
        <v>20</v>
      </c>
      <c r="D16213" s="734">
        <v>140.84029659847437</v>
      </c>
      <c r="E16213" s="733"/>
    </row>
    <row r="16214" spans="2:5">
      <c r="B16214" s="121">
        <v>1363</v>
      </c>
      <c r="C16214" s="121">
        <v>21</v>
      </c>
      <c r="D16214" s="734">
        <v>139.1858653492323</v>
      </c>
      <c r="E16214" s="733"/>
    </row>
    <row r="16215" spans="2:5">
      <c r="B16215" s="121">
        <v>1363</v>
      </c>
      <c r="C16215" s="121">
        <v>22</v>
      </c>
      <c r="D16215" s="734">
        <v>137.50740876521351</v>
      </c>
      <c r="E16215" s="733"/>
    </row>
    <row r="16216" spans="2:5">
      <c r="B16216" s="121">
        <v>1363</v>
      </c>
      <c r="C16216" s="121">
        <v>23</v>
      </c>
      <c r="D16216" s="734">
        <v>135.80694952230704</v>
      </c>
      <c r="E16216" s="733"/>
    </row>
    <row r="16217" spans="2:5">
      <c r="B16217" s="121">
        <v>1363</v>
      </c>
      <c r="C16217" s="121">
        <v>24</v>
      </c>
      <c r="D16217" s="734">
        <v>144.04215184429128</v>
      </c>
      <c r="E16217" s="733"/>
    </row>
    <row r="16218" spans="2:5">
      <c r="B16218" s="121">
        <v>1363</v>
      </c>
      <c r="C16218" s="121">
        <v>25</v>
      </c>
      <c r="D16218" s="734">
        <v>139.78068766957921</v>
      </c>
      <c r="E16218" s="733"/>
    </row>
    <row r="16219" spans="2:5">
      <c r="B16219" s="121">
        <v>1363</v>
      </c>
      <c r="C16219" s="121">
        <v>26</v>
      </c>
      <c r="D16219" s="734">
        <v>140.70956875243627</v>
      </c>
      <c r="E16219" s="733"/>
    </row>
    <row r="16220" spans="2:5">
      <c r="B16220" s="121">
        <v>1363</v>
      </c>
      <c r="C16220" s="121">
        <v>27</v>
      </c>
      <c r="D16220" s="734">
        <v>134.93726373097843</v>
      </c>
      <c r="E16220" s="733"/>
    </row>
    <row r="16221" spans="2:5">
      <c r="B16221" s="121">
        <v>1364</v>
      </c>
      <c r="C16221" s="121">
        <v>1</v>
      </c>
      <c r="D16221" s="734">
        <v>5</v>
      </c>
      <c r="E16221" s="733"/>
    </row>
    <row r="16222" spans="2:5">
      <c r="B16222" s="121">
        <v>1364</v>
      </c>
      <c r="C16222" s="121">
        <v>2</v>
      </c>
      <c r="D16222" s="734">
        <v>99.155077952670453</v>
      </c>
      <c r="E16222" s="733"/>
    </row>
    <row r="16223" spans="2:5">
      <c r="B16223" s="121">
        <v>1364</v>
      </c>
      <c r="C16223" s="121">
        <v>3</v>
      </c>
      <c r="D16223" s="734">
        <v>123.48531845726997</v>
      </c>
      <c r="E16223" s="733"/>
    </row>
    <row r="16224" spans="2:5">
      <c r="B16224" s="121">
        <v>1364</v>
      </c>
      <c r="C16224" s="121">
        <v>4</v>
      </c>
      <c r="D16224" s="734">
        <v>141.08052385473479</v>
      </c>
      <c r="E16224" s="733"/>
    </row>
    <row r="16225" spans="2:5">
      <c r="B16225" s="121">
        <v>1365</v>
      </c>
      <c r="C16225" s="121">
        <v>1</v>
      </c>
      <c r="D16225" s="734">
        <v>5</v>
      </c>
      <c r="E16225" s="733"/>
    </row>
    <row r="16226" spans="2:5">
      <c r="B16226" s="121">
        <v>1366</v>
      </c>
      <c r="C16226" s="121">
        <v>1</v>
      </c>
      <c r="D16226" s="734">
        <v>5</v>
      </c>
      <c r="E16226" s="733"/>
    </row>
    <row r="16227" spans="2:5">
      <c r="B16227" s="121">
        <v>1366</v>
      </c>
      <c r="C16227" s="121">
        <v>2</v>
      </c>
      <c r="D16227" s="734">
        <v>95.754764972751616</v>
      </c>
      <c r="E16227" s="733"/>
    </row>
    <row r="16228" spans="2:5">
      <c r="B16228" s="121">
        <v>1366</v>
      </c>
      <c r="C16228" s="121">
        <v>3</v>
      </c>
      <c r="D16228" s="734">
        <v>121.666474376634</v>
      </c>
      <c r="E16228" s="733"/>
    </row>
    <row r="16229" spans="2:5">
      <c r="B16229" s="121">
        <v>1366</v>
      </c>
      <c r="C16229" s="121">
        <v>4</v>
      </c>
      <c r="D16229" s="734">
        <v>137.53005622791329</v>
      </c>
      <c r="E16229" s="733"/>
    </row>
    <row r="16230" spans="2:5">
      <c r="B16230" s="121">
        <v>1366</v>
      </c>
      <c r="C16230" s="121">
        <v>5</v>
      </c>
      <c r="D16230" s="734">
        <v>137.5892473301478</v>
      </c>
      <c r="E16230" s="733"/>
    </row>
    <row r="16231" spans="2:5">
      <c r="B16231" s="121">
        <v>1366</v>
      </c>
      <c r="C16231" s="121">
        <v>6</v>
      </c>
      <c r="D16231" s="734">
        <v>134.97286872703506</v>
      </c>
      <c r="E16231" s="733"/>
    </row>
    <row r="16232" spans="2:5">
      <c r="B16232" s="121">
        <v>1366</v>
      </c>
      <c r="C16232" s="121">
        <v>7</v>
      </c>
      <c r="D16232" s="734">
        <v>134.0329471289003</v>
      </c>
      <c r="E16232" s="733"/>
    </row>
    <row r="16233" spans="2:5">
      <c r="B16233" s="121">
        <v>1366</v>
      </c>
      <c r="C16233" s="121">
        <v>8</v>
      </c>
      <c r="D16233" s="734">
        <v>139.59792331547021</v>
      </c>
      <c r="E16233" s="733"/>
    </row>
    <row r="16234" spans="2:5">
      <c r="B16234" s="121">
        <v>1366</v>
      </c>
      <c r="C16234" s="121">
        <v>9</v>
      </c>
      <c r="D16234" s="734">
        <v>146.43838694823958</v>
      </c>
      <c r="E16234" s="733"/>
    </row>
    <row r="16235" spans="2:5">
      <c r="B16235" s="121">
        <v>1366</v>
      </c>
      <c r="C16235" s="121">
        <v>10</v>
      </c>
      <c r="D16235" s="734">
        <v>144.41435336947885</v>
      </c>
      <c r="E16235" s="733"/>
    </row>
    <row r="16236" spans="2:5">
      <c r="B16236" s="121">
        <v>1366</v>
      </c>
      <c r="C16236" s="121">
        <v>11</v>
      </c>
      <c r="D16236" s="734">
        <v>142.45119423576108</v>
      </c>
      <c r="E16236" s="733"/>
    </row>
    <row r="16237" spans="2:5">
      <c r="B16237" s="121">
        <v>1366</v>
      </c>
      <c r="C16237" s="121">
        <v>12</v>
      </c>
      <c r="D16237" s="734">
        <v>143.75051302934364</v>
      </c>
      <c r="E16237" s="733"/>
    </row>
    <row r="16238" spans="2:5">
      <c r="B16238" s="121">
        <v>1366</v>
      </c>
      <c r="C16238" s="121">
        <v>13</v>
      </c>
      <c r="D16238" s="734">
        <v>143.95903039727193</v>
      </c>
      <c r="E16238" s="733"/>
    </row>
    <row r="16239" spans="2:5">
      <c r="B16239" s="121">
        <v>1366</v>
      </c>
      <c r="C16239" s="121">
        <v>14</v>
      </c>
      <c r="D16239" s="734">
        <v>145.54976970167337</v>
      </c>
      <c r="E16239" s="733"/>
    </row>
    <row r="16240" spans="2:5">
      <c r="B16240" s="121">
        <v>1366</v>
      </c>
      <c r="C16240" s="121">
        <v>15</v>
      </c>
      <c r="D16240" s="734">
        <v>144.31193988144406</v>
      </c>
      <c r="E16240" s="733"/>
    </row>
    <row r="16241" spans="2:5">
      <c r="B16241" s="121">
        <v>1366</v>
      </c>
      <c r="C16241" s="121">
        <v>16</v>
      </c>
      <c r="D16241" s="734">
        <v>140.01092232085784</v>
      </c>
      <c r="E16241" s="733"/>
    </row>
    <row r="16242" spans="2:5">
      <c r="B16242" s="121">
        <v>1366</v>
      </c>
      <c r="C16242" s="121">
        <v>17</v>
      </c>
      <c r="D16242" s="734">
        <v>135.55013269133462</v>
      </c>
      <c r="E16242" s="733"/>
    </row>
    <row r="16243" spans="2:5">
      <c r="B16243" s="121">
        <v>1366</v>
      </c>
      <c r="C16243" s="121">
        <v>18</v>
      </c>
      <c r="D16243" s="734">
        <v>146.02254581475839</v>
      </c>
      <c r="E16243" s="733"/>
    </row>
    <row r="16244" spans="2:5">
      <c r="B16244" s="121">
        <v>1366</v>
      </c>
      <c r="C16244" s="121">
        <v>19</v>
      </c>
      <c r="D16244" s="734">
        <v>138.45828768210959</v>
      </c>
      <c r="E16244" s="733"/>
    </row>
    <row r="16245" spans="2:5">
      <c r="B16245" s="121">
        <v>1366</v>
      </c>
      <c r="C16245" s="121">
        <v>20</v>
      </c>
      <c r="D16245" s="734">
        <v>141.88987966811601</v>
      </c>
      <c r="E16245" s="733"/>
    </row>
    <row r="16246" spans="2:5">
      <c r="B16246" s="121">
        <v>1366</v>
      </c>
      <c r="C16246" s="121">
        <v>21</v>
      </c>
      <c r="D16246" s="734">
        <v>139.82424370827277</v>
      </c>
      <c r="E16246" s="733"/>
    </row>
    <row r="16247" spans="2:5">
      <c r="B16247" s="121">
        <v>1366</v>
      </c>
      <c r="C16247" s="121">
        <v>22</v>
      </c>
      <c r="D16247" s="734">
        <v>142.75076933286974</v>
      </c>
      <c r="E16247" s="733"/>
    </row>
    <row r="16248" spans="2:5">
      <c r="B16248" s="121">
        <v>1366</v>
      </c>
      <c r="C16248" s="121">
        <v>23</v>
      </c>
      <c r="D16248" s="734">
        <v>134.7337482001669</v>
      </c>
      <c r="E16248" s="733"/>
    </row>
    <row r="16249" spans="2:5">
      <c r="B16249" s="121">
        <v>1366</v>
      </c>
      <c r="C16249" s="121">
        <v>24</v>
      </c>
      <c r="D16249" s="734">
        <v>135.98765376667708</v>
      </c>
      <c r="E16249" s="733"/>
    </row>
    <row r="16250" spans="2:5">
      <c r="B16250" s="121">
        <v>1366</v>
      </c>
      <c r="C16250" s="121">
        <v>25</v>
      </c>
      <c r="D16250" s="734">
        <v>137.63633414843778</v>
      </c>
      <c r="E16250" s="733"/>
    </row>
    <row r="16251" spans="2:5">
      <c r="B16251" s="121">
        <v>1366</v>
      </c>
      <c r="C16251" s="121">
        <v>26</v>
      </c>
      <c r="D16251" s="734">
        <v>144.89578853680271</v>
      </c>
      <c r="E16251" s="733"/>
    </row>
    <row r="16252" spans="2:5">
      <c r="B16252" s="121">
        <v>1366</v>
      </c>
      <c r="C16252" s="121">
        <v>27</v>
      </c>
      <c r="D16252" s="734">
        <v>139.91143090912229</v>
      </c>
      <c r="E16252" s="733"/>
    </row>
    <row r="16253" spans="2:5">
      <c r="B16253" s="121">
        <v>1366</v>
      </c>
      <c r="C16253" s="121">
        <v>28</v>
      </c>
      <c r="D16253" s="734">
        <v>141.25026628381417</v>
      </c>
      <c r="E16253" s="733"/>
    </row>
    <row r="16254" spans="2:5">
      <c r="B16254" s="121">
        <v>1366</v>
      </c>
      <c r="C16254" s="121">
        <v>29</v>
      </c>
      <c r="D16254" s="734">
        <v>137.49443992469833</v>
      </c>
      <c r="E16254" s="733"/>
    </row>
    <row r="16255" spans="2:5">
      <c r="B16255" s="121">
        <v>1366</v>
      </c>
      <c r="C16255" s="121">
        <v>30</v>
      </c>
      <c r="D16255" s="734">
        <v>144.89290895477126</v>
      </c>
      <c r="E16255" s="733"/>
    </row>
    <row r="16256" spans="2:5">
      <c r="B16256" s="121">
        <v>1366</v>
      </c>
      <c r="C16256" s="121">
        <v>31</v>
      </c>
      <c r="D16256" s="734">
        <v>139.48236894666431</v>
      </c>
      <c r="E16256" s="733"/>
    </row>
    <row r="16257" spans="2:5">
      <c r="B16257" s="121">
        <v>1367</v>
      </c>
      <c r="C16257" s="121">
        <v>1</v>
      </c>
      <c r="D16257" s="734">
        <v>5</v>
      </c>
      <c r="E16257" s="733"/>
    </row>
    <row r="16258" spans="2:5">
      <c r="B16258" s="121">
        <v>1367</v>
      </c>
      <c r="C16258" s="121">
        <v>2</v>
      </c>
      <c r="D16258" s="734">
        <v>100.14068129332729</v>
      </c>
      <c r="E16258" s="733"/>
    </row>
    <row r="16259" spans="2:5">
      <c r="B16259" s="121">
        <v>1367</v>
      </c>
      <c r="C16259" s="121">
        <v>3</v>
      </c>
      <c r="D16259" s="734">
        <v>114.97915873365054</v>
      </c>
      <c r="E16259" s="733"/>
    </row>
    <row r="16260" spans="2:5">
      <c r="B16260" s="121">
        <v>1367</v>
      </c>
      <c r="C16260" s="121">
        <v>4</v>
      </c>
      <c r="D16260" s="734">
        <v>143.70711125434229</v>
      </c>
      <c r="E16260" s="733"/>
    </row>
    <row r="16261" spans="2:5">
      <c r="B16261" s="121">
        <v>1367</v>
      </c>
      <c r="C16261" s="121">
        <v>5</v>
      </c>
      <c r="D16261" s="734">
        <v>136.97420796555676</v>
      </c>
      <c r="E16261" s="733"/>
    </row>
    <row r="16262" spans="2:5">
      <c r="B16262" s="121">
        <v>1367</v>
      </c>
      <c r="C16262" s="121">
        <v>6</v>
      </c>
      <c r="D16262" s="734">
        <v>136.23973406869865</v>
      </c>
      <c r="E16262" s="733"/>
    </row>
    <row r="16263" spans="2:5">
      <c r="B16263" s="121">
        <v>1367</v>
      </c>
      <c r="C16263" s="121">
        <v>7</v>
      </c>
      <c r="D16263" s="734">
        <v>145.33439247089498</v>
      </c>
      <c r="E16263" s="733"/>
    </row>
    <row r="16264" spans="2:5">
      <c r="B16264" s="121">
        <v>1367</v>
      </c>
      <c r="C16264" s="121">
        <v>8</v>
      </c>
      <c r="D16264" s="734">
        <v>146.64575250913816</v>
      </c>
      <c r="E16264" s="733"/>
    </row>
    <row r="16265" spans="2:5">
      <c r="B16265" s="121">
        <v>1367</v>
      </c>
      <c r="C16265" s="121">
        <v>9</v>
      </c>
      <c r="D16265" s="734">
        <v>140.73830635646314</v>
      </c>
      <c r="E16265" s="733"/>
    </row>
    <row r="16266" spans="2:5">
      <c r="B16266" s="121">
        <v>1367</v>
      </c>
      <c r="C16266" s="121">
        <v>10</v>
      </c>
      <c r="D16266" s="734">
        <v>146.41842904146932</v>
      </c>
      <c r="E16266" s="733"/>
    </row>
    <row r="16267" spans="2:5">
      <c r="B16267" s="121">
        <v>1367</v>
      </c>
      <c r="C16267" s="121">
        <v>11</v>
      </c>
      <c r="D16267" s="734">
        <v>146.61921576418433</v>
      </c>
      <c r="E16267" s="733"/>
    </row>
    <row r="16268" spans="2:5">
      <c r="B16268" s="121">
        <v>1367</v>
      </c>
      <c r="C16268" s="121">
        <v>12</v>
      </c>
      <c r="D16268" s="734">
        <v>138.73002544401825</v>
      </c>
      <c r="E16268" s="733"/>
    </row>
    <row r="16269" spans="2:5">
      <c r="B16269" s="121">
        <v>1368</v>
      </c>
      <c r="C16269" s="121">
        <v>1</v>
      </c>
      <c r="D16269" s="734">
        <v>5</v>
      </c>
      <c r="E16269" s="733"/>
    </row>
    <row r="16270" spans="2:5">
      <c r="B16270" s="121">
        <v>1368</v>
      </c>
      <c r="C16270" s="121">
        <v>2</v>
      </c>
      <c r="D16270" s="734">
        <v>98.888714390976347</v>
      </c>
      <c r="E16270" s="733"/>
    </row>
    <row r="16271" spans="2:5">
      <c r="B16271" s="121">
        <v>1368</v>
      </c>
      <c r="C16271" s="121">
        <v>3</v>
      </c>
      <c r="D16271" s="734">
        <v>125.11750253200195</v>
      </c>
      <c r="E16271" s="733"/>
    </row>
    <row r="16272" spans="2:5">
      <c r="B16272" s="121">
        <v>1368</v>
      </c>
      <c r="C16272" s="121">
        <v>4</v>
      </c>
      <c r="D16272" s="734">
        <v>140.05194956964235</v>
      </c>
      <c r="E16272" s="733"/>
    </row>
    <row r="16273" spans="2:5">
      <c r="B16273" s="121">
        <v>1369</v>
      </c>
      <c r="C16273" s="121">
        <v>1</v>
      </c>
      <c r="D16273" s="734">
        <v>5</v>
      </c>
      <c r="E16273" s="733"/>
    </row>
    <row r="16274" spans="2:5">
      <c r="B16274" s="121">
        <v>1369</v>
      </c>
      <c r="C16274" s="121">
        <v>2</v>
      </c>
      <c r="D16274" s="734">
        <v>99.986035354715028</v>
      </c>
      <c r="E16274" s="733"/>
    </row>
    <row r="16275" spans="2:5">
      <c r="B16275" s="121">
        <v>1369</v>
      </c>
      <c r="C16275" s="121">
        <v>3</v>
      </c>
      <c r="D16275" s="734">
        <v>122.62654295915149</v>
      </c>
      <c r="E16275" s="733"/>
    </row>
    <row r="16276" spans="2:5">
      <c r="B16276" s="121">
        <v>1369</v>
      </c>
      <c r="C16276" s="121">
        <v>4</v>
      </c>
      <c r="D16276" s="734">
        <v>140.58163304222978</v>
      </c>
      <c r="E16276" s="733"/>
    </row>
    <row r="16277" spans="2:5">
      <c r="B16277" s="121">
        <v>1369</v>
      </c>
      <c r="C16277" s="121">
        <v>5</v>
      </c>
      <c r="D16277" s="734">
        <v>143.71633552143555</v>
      </c>
      <c r="E16277" s="733"/>
    </row>
    <row r="16278" spans="2:5">
      <c r="B16278" s="121">
        <v>1370</v>
      </c>
      <c r="C16278" s="121">
        <v>1</v>
      </c>
      <c r="D16278" s="734">
        <v>5</v>
      </c>
      <c r="E16278" s="733"/>
    </row>
    <row r="16279" spans="2:5">
      <c r="B16279" s="121">
        <v>1370</v>
      </c>
      <c r="C16279" s="121">
        <v>2</v>
      </c>
      <c r="D16279" s="734">
        <v>96.114505892529664</v>
      </c>
      <c r="E16279" s="733"/>
    </row>
    <row r="16280" spans="2:5">
      <c r="B16280" s="121">
        <v>1370</v>
      </c>
      <c r="C16280" s="121">
        <v>3</v>
      </c>
      <c r="D16280" s="734">
        <v>118.28216818738898</v>
      </c>
      <c r="E16280" s="733"/>
    </row>
    <row r="16281" spans="2:5">
      <c r="B16281" s="121">
        <v>1370</v>
      </c>
      <c r="C16281" s="121">
        <v>4</v>
      </c>
      <c r="D16281" s="734">
        <v>137.63920349646111</v>
      </c>
      <c r="E16281" s="733"/>
    </row>
    <row r="16282" spans="2:5">
      <c r="B16282" s="121">
        <v>1370</v>
      </c>
      <c r="C16282" s="121">
        <v>5</v>
      </c>
      <c r="D16282" s="734">
        <v>136.28838363908932</v>
      </c>
      <c r="E16282" s="733"/>
    </row>
    <row r="16283" spans="2:5">
      <c r="B16283" s="121">
        <v>1370</v>
      </c>
      <c r="C16283" s="121">
        <v>6</v>
      </c>
      <c r="D16283" s="734">
        <v>139.89561493782722</v>
      </c>
      <c r="E16283" s="733"/>
    </row>
    <row r="16284" spans="2:5">
      <c r="B16284" s="121">
        <v>1370</v>
      </c>
      <c r="C16284" s="121">
        <v>7</v>
      </c>
      <c r="D16284" s="734">
        <v>141.4261422505117</v>
      </c>
      <c r="E16284" s="733"/>
    </row>
    <row r="16285" spans="2:5">
      <c r="B16285" s="121">
        <v>1370</v>
      </c>
      <c r="C16285" s="121">
        <v>8</v>
      </c>
      <c r="D16285" s="734">
        <v>143.84490208923998</v>
      </c>
      <c r="E16285" s="733"/>
    </row>
    <row r="16286" spans="2:5">
      <c r="B16286" s="121">
        <v>1370</v>
      </c>
      <c r="C16286" s="121">
        <v>9</v>
      </c>
      <c r="D16286" s="734">
        <v>138.55989154305544</v>
      </c>
      <c r="E16286" s="733"/>
    </row>
    <row r="16287" spans="2:5">
      <c r="B16287" s="121">
        <v>1371</v>
      </c>
      <c r="C16287" s="121">
        <v>1</v>
      </c>
      <c r="D16287" s="734">
        <v>5</v>
      </c>
      <c r="E16287" s="733"/>
    </row>
    <row r="16288" spans="2:5">
      <c r="B16288" s="121">
        <v>1372</v>
      </c>
      <c r="C16288" s="121">
        <v>1</v>
      </c>
      <c r="D16288" s="734">
        <v>5</v>
      </c>
      <c r="E16288" s="733"/>
    </row>
    <row r="16289" spans="2:5">
      <c r="B16289" s="121">
        <v>1372</v>
      </c>
      <c r="C16289" s="121">
        <v>2</v>
      </c>
      <c r="D16289" s="734">
        <v>97.236196495555347</v>
      </c>
      <c r="E16289" s="733"/>
    </row>
    <row r="16290" spans="2:5">
      <c r="B16290" s="121">
        <v>1372</v>
      </c>
      <c r="C16290" s="121">
        <v>3</v>
      </c>
      <c r="D16290" s="734">
        <v>115.99192355283489</v>
      </c>
      <c r="E16290" s="733"/>
    </row>
    <row r="16291" spans="2:5">
      <c r="B16291" s="121">
        <v>1372</v>
      </c>
      <c r="C16291" s="121">
        <v>4</v>
      </c>
      <c r="D16291" s="734">
        <v>134.26746619186511</v>
      </c>
      <c r="E16291" s="733"/>
    </row>
    <row r="16292" spans="2:5">
      <c r="B16292" s="121">
        <v>1372</v>
      </c>
      <c r="C16292" s="121">
        <v>5</v>
      </c>
      <c r="D16292" s="734">
        <v>139.36657022210514</v>
      </c>
      <c r="E16292" s="733"/>
    </row>
    <row r="16293" spans="2:5">
      <c r="B16293" s="121">
        <v>1372</v>
      </c>
      <c r="C16293" s="121">
        <v>6</v>
      </c>
      <c r="D16293" s="734">
        <v>134.40019950788263</v>
      </c>
      <c r="E16293" s="733"/>
    </row>
    <row r="16294" spans="2:5">
      <c r="B16294" s="121">
        <v>1372</v>
      </c>
      <c r="C16294" s="121">
        <v>7</v>
      </c>
      <c r="D16294" s="734">
        <v>144.78938930687588</v>
      </c>
      <c r="E16294" s="733"/>
    </row>
    <row r="16295" spans="2:5">
      <c r="B16295" s="121">
        <v>1372</v>
      </c>
      <c r="C16295" s="121">
        <v>8</v>
      </c>
      <c r="D16295" s="734">
        <v>143.6732964519833</v>
      </c>
      <c r="E16295" s="733"/>
    </row>
    <row r="16296" spans="2:5">
      <c r="B16296" s="121">
        <v>1372</v>
      </c>
      <c r="C16296" s="121">
        <v>9</v>
      </c>
      <c r="D16296" s="734">
        <v>145.01222456738162</v>
      </c>
      <c r="E16296" s="733"/>
    </row>
    <row r="16297" spans="2:5">
      <c r="B16297" s="121">
        <v>1372</v>
      </c>
      <c r="C16297" s="121">
        <v>10</v>
      </c>
      <c r="D16297" s="734">
        <v>138.70446600473159</v>
      </c>
      <c r="E16297" s="733"/>
    </row>
    <row r="16298" spans="2:5">
      <c r="B16298" s="121">
        <v>1372</v>
      </c>
      <c r="C16298" s="121">
        <v>11</v>
      </c>
      <c r="D16298" s="734">
        <v>142.49604702180693</v>
      </c>
      <c r="E16298" s="733"/>
    </row>
    <row r="16299" spans="2:5">
      <c r="B16299" s="121">
        <v>1372</v>
      </c>
      <c r="C16299" s="121">
        <v>12</v>
      </c>
      <c r="D16299" s="734">
        <v>137.96535619947588</v>
      </c>
      <c r="E16299" s="733"/>
    </row>
    <row r="16300" spans="2:5">
      <c r="B16300" s="121">
        <v>1372</v>
      </c>
      <c r="C16300" s="121">
        <v>13</v>
      </c>
      <c r="D16300" s="734">
        <v>141.58071450208186</v>
      </c>
      <c r="E16300" s="733"/>
    </row>
    <row r="16301" spans="2:5">
      <c r="B16301" s="121">
        <v>1373</v>
      </c>
      <c r="C16301" s="121">
        <v>1</v>
      </c>
      <c r="D16301" s="734">
        <v>5</v>
      </c>
      <c r="E16301" s="733"/>
    </row>
    <row r="16302" spans="2:5">
      <c r="B16302" s="121">
        <v>1373</v>
      </c>
      <c r="C16302" s="121">
        <v>2</v>
      </c>
      <c r="D16302" s="734">
        <v>98.17673944882749</v>
      </c>
      <c r="E16302" s="733"/>
    </row>
    <row r="16303" spans="2:5">
      <c r="B16303" s="121">
        <v>1373</v>
      </c>
      <c r="C16303" s="121">
        <v>3</v>
      </c>
      <c r="D16303" s="734">
        <v>121.91010354114835</v>
      </c>
      <c r="E16303" s="733"/>
    </row>
    <row r="16304" spans="2:5">
      <c r="B16304" s="121">
        <v>1373</v>
      </c>
      <c r="C16304" s="121">
        <v>4</v>
      </c>
      <c r="D16304" s="734">
        <v>143.706110882601</v>
      </c>
      <c r="E16304" s="733"/>
    </row>
    <row r="16305" spans="2:5">
      <c r="B16305" s="121">
        <v>1373</v>
      </c>
      <c r="C16305" s="121">
        <v>5</v>
      </c>
      <c r="D16305" s="734">
        <v>135.19988536065554</v>
      </c>
      <c r="E16305" s="733"/>
    </row>
    <row r="16306" spans="2:5">
      <c r="B16306" s="121">
        <v>1373</v>
      </c>
      <c r="C16306" s="121">
        <v>6</v>
      </c>
      <c r="D16306" s="734">
        <v>138.7142000053187</v>
      </c>
      <c r="E16306" s="733"/>
    </row>
    <row r="16307" spans="2:5">
      <c r="B16307" s="121">
        <v>1373</v>
      </c>
      <c r="C16307" s="121">
        <v>7</v>
      </c>
      <c r="D16307" s="734">
        <v>135.73829404901537</v>
      </c>
      <c r="E16307" s="733"/>
    </row>
    <row r="16308" spans="2:5">
      <c r="B16308" s="121">
        <v>1373</v>
      </c>
      <c r="C16308" s="121">
        <v>8</v>
      </c>
      <c r="D16308" s="734">
        <v>135.7773518561807</v>
      </c>
      <c r="E16308" s="733"/>
    </row>
    <row r="16309" spans="2:5">
      <c r="B16309" s="121">
        <v>1373</v>
      </c>
      <c r="C16309" s="121">
        <v>9</v>
      </c>
      <c r="D16309" s="734">
        <v>145.33192721527288</v>
      </c>
      <c r="E16309" s="733"/>
    </row>
    <row r="16310" spans="2:5">
      <c r="B16310" s="121">
        <v>1373</v>
      </c>
      <c r="C16310" s="121">
        <v>10</v>
      </c>
      <c r="D16310" s="734">
        <v>135.63057172299469</v>
      </c>
      <c r="E16310" s="733"/>
    </row>
    <row r="16311" spans="2:5">
      <c r="B16311" s="121">
        <v>1373</v>
      </c>
      <c r="C16311" s="121">
        <v>11</v>
      </c>
      <c r="D16311" s="734">
        <v>145.91504496193244</v>
      </c>
      <c r="E16311" s="733"/>
    </row>
    <row r="16312" spans="2:5">
      <c r="B16312" s="121">
        <v>1373</v>
      </c>
      <c r="C16312" s="121">
        <v>12</v>
      </c>
      <c r="D16312" s="734">
        <v>140.42225011873541</v>
      </c>
      <c r="E16312" s="733"/>
    </row>
    <row r="16313" spans="2:5">
      <c r="B16313" s="121">
        <v>1373</v>
      </c>
      <c r="C16313" s="121">
        <v>13</v>
      </c>
      <c r="D16313" s="734">
        <v>140.34822958145233</v>
      </c>
      <c r="E16313" s="733"/>
    </row>
    <row r="16314" spans="2:5">
      <c r="B16314" s="121">
        <v>1373</v>
      </c>
      <c r="C16314" s="121">
        <v>14</v>
      </c>
      <c r="D16314" s="734">
        <v>143.7973326251595</v>
      </c>
      <c r="E16314" s="733"/>
    </row>
    <row r="16315" spans="2:5">
      <c r="B16315" s="121">
        <v>1373</v>
      </c>
      <c r="C16315" s="121">
        <v>15</v>
      </c>
      <c r="D16315" s="734">
        <v>140.45396450155425</v>
      </c>
      <c r="E16315" s="733"/>
    </row>
    <row r="16316" spans="2:5">
      <c r="B16316" s="121">
        <v>1373</v>
      </c>
      <c r="C16316" s="121">
        <v>16</v>
      </c>
      <c r="D16316" s="734">
        <v>142.42929822097034</v>
      </c>
      <c r="E16316" s="733"/>
    </row>
    <row r="16317" spans="2:5">
      <c r="B16317" s="121">
        <v>1373</v>
      </c>
      <c r="C16317" s="121">
        <v>17</v>
      </c>
      <c r="D16317" s="734">
        <v>142.19593836289684</v>
      </c>
      <c r="E16317" s="733"/>
    </row>
    <row r="16318" spans="2:5">
      <c r="B16318" s="121">
        <v>1373</v>
      </c>
      <c r="C16318" s="121">
        <v>18</v>
      </c>
      <c r="D16318" s="734">
        <v>133.95165023397723</v>
      </c>
      <c r="E16318" s="733"/>
    </row>
    <row r="16319" spans="2:5">
      <c r="B16319" s="121">
        <v>1373</v>
      </c>
      <c r="C16319" s="121">
        <v>19</v>
      </c>
      <c r="D16319" s="734">
        <v>145.57969910674296</v>
      </c>
      <c r="E16319" s="733"/>
    </row>
    <row r="16320" spans="2:5">
      <c r="B16320" s="121">
        <v>1373</v>
      </c>
      <c r="C16320" s="121">
        <v>20</v>
      </c>
      <c r="D16320" s="734">
        <v>138.34761591328822</v>
      </c>
      <c r="E16320" s="733"/>
    </row>
    <row r="16321" spans="2:5">
      <c r="B16321" s="121">
        <v>1373</v>
      </c>
      <c r="C16321" s="121">
        <v>21</v>
      </c>
      <c r="D16321" s="734">
        <v>143.08226346106093</v>
      </c>
      <c r="E16321" s="733"/>
    </row>
    <row r="16322" spans="2:5">
      <c r="B16322" s="121">
        <v>1373</v>
      </c>
      <c r="C16322" s="121">
        <v>22</v>
      </c>
      <c r="D16322" s="734">
        <v>144.47559467540333</v>
      </c>
      <c r="E16322" s="733"/>
    </row>
    <row r="16323" spans="2:5">
      <c r="B16323" s="121">
        <v>1373</v>
      </c>
      <c r="C16323" s="121">
        <v>23</v>
      </c>
      <c r="D16323" s="734">
        <v>134.0589552557</v>
      </c>
      <c r="E16323" s="733"/>
    </row>
    <row r="16324" spans="2:5">
      <c r="B16324" s="121">
        <v>1373</v>
      </c>
      <c r="C16324" s="121">
        <v>24</v>
      </c>
      <c r="D16324" s="734">
        <v>146.56229349510528</v>
      </c>
      <c r="E16324" s="733"/>
    </row>
    <row r="16325" spans="2:5">
      <c r="B16325" s="121">
        <v>1373</v>
      </c>
      <c r="C16325" s="121">
        <v>25</v>
      </c>
      <c r="D16325" s="734">
        <v>146.73949155911419</v>
      </c>
      <c r="E16325" s="733"/>
    </row>
    <row r="16326" spans="2:5">
      <c r="B16326" s="121">
        <v>1373</v>
      </c>
      <c r="C16326" s="121">
        <v>26</v>
      </c>
      <c r="D16326" s="734">
        <v>135.6490034936902</v>
      </c>
      <c r="E16326" s="733"/>
    </row>
    <row r="16327" spans="2:5">
      <c r="B16327" s="121">
        <v>1373</v>
      </c>
      <c r="C16327" s="121">
        <v>27</v>
      </c>
      <c r="D16327" s="734">
        <v>146.89167086489275</v>
      </c>
      <c r="E16327" s="733"/>
    </row>
    <row r="16328" spans="2:5">
      <c r="B16328" s="121">
        <v>1373</v>
      </c>
      <c r="C16328" s="121">
        <v>28</v>
      </c>
      <c r="D16328" s="734">
        <v>137.2002610475252</v>
      </c>
      <c r="E16328" s="733"/>
    </row>
    <row r="16329" spans="2:5">
      <c r="B16329" s="121">
        <v>1373</v>
      </c>
      <c r="C16329" s="121">
        <v>29</v>
      </c>
      <c r="D16329" s="734">
        <v>133.75069567073891</v>
      </c>
      <c r="E16329" s="733"/>
    </row>
    <row r="16330" spans="2:5">
      <c r="B16330" s="121">
        <v>1373</v>
      </c>
      <c r="C16330" s="121">
        <v>30</v>
      </c>
      <c r="D16330" s="734">
        <v>137.9120433387086</v>
      </c>
      <c r="E16330" s="733"/>
    </row>
    <row r="16331" spans="2:5">
      <c r="B16331" s="121">
        <v>1374</v>
      </c>
      <c r="C16331" s="121">
        <v>1</v>
      </c>
      <c r="D16331" s="734">
        <v>5</v>
      </c>
      <c r="E16331" s="733"/>
    </row>
    <row r="16332" spans="2:5">
      <c r="B16332" s="121">
        <v>1375</v>
      </c>
      <c r="C16332" s="121">
        <v>1</v>
      </c>
      <c r="D16332" s="734">
        <v>5</v>
      </c>
      <c r="E16332" s="733"/>
    </row>
    <row r="16333" spans="2:5">
      <c r="B16333" s="121">
        <v>1375</v>
      </c>
      <c r="C16333" s="121">
        <v>2</v>
      </c>
      <c r="D16333" s="734">
        <v>94.780936925905323</v>
      </c>
      <c r="E16333" s="733"/>
    </row>
    <row r="16334" spans="2:5">
      <c r="B16334" s="121">
        <v>1375</v>
      </c>
      <c r="C16334" s="121">
        <v>3</v>
      </c>
      <c r="D16334" s="734">
        <v>115.01816902218881</v>
      </c>
      <c r="E16334" s="733"/>
    </row>
    <row r="16335" spans="2:5">
      <c r="B16335" s="121">
        <v>1375</v>
      </c>
      <c r="C16335" s="121">
        <v>4</v>
      </c>
      <c r="D16335" s="734">
        <v>142.73619308581084</v>
      </c>
      <c r="E16335" s="733"/>
    </row>
    <row r="16336" spans="2:5">
      <c r="B16336" s="121">
        <v>1375</v>
      </c>
      <c r="C16336" s="121">
        <v>5</v>
      </c>
      <c r="D16336" s="734">
        <v>136.80597973750707</v>
      </c>
      <c r="E16336" s="733"/>
    </row>
    <row r="16337" spans="2:5">
      <c r="B16337" s="121">
        <v>1375</v>
      </c>
      <c r="C16337" s="121">
        <v>6</v>
      </c>
      <c r="D16337" s="734">
        <v>146.79149150892724</v>
      </c>
      <c r="E16337" s="733"/>
    </row>
    <row r="16338" spans="2:5">
      <c r="B16338" s="121">
        <v>1375</v>
      </c>
      <c r="C16338" s="121">
        <v>7</v>
      </c>
      <c r="D16338" s="734">
        <v>135.7304514293414</v>
      </c>
      <c r="E16338" s="733"/>
    </row>
    <row r="16339" spans="2:5">
      <c r="B16339" s="121">
        <v>1375</v>
      </c>
      <c r="C16339" s="121">
        <v>8</v>
      </c>
      <c r="D16339" s="734">
        <v>133.99489370560795</v>
      </c>
      <c r="E16339" s="733"/>
    </row>
    <row r="16340" spans="2:5">
      <c r="B16340" s="121">
        <v>1375</v>
      </c>
      <c r="C16340" s="121">
        <v>9</v>
      </c>
      <c r="D16340" s="734">
        <v>141.86652624216333</v>
      </c>
      <c r="E16340" s="733"/>
    </row>
    <row r="16341" spans="2:5">
      <c r="B16341" s="121">
        <v>1375</v>
      </c>
      <c r="C16341" s="121">
        <v>10</v>
      </c>
      <c r="D16341" s="734">
        <v>145.54801388661201</v>
      </c>
      <c r="E16341" s="733"/>
    </row>
    <row r="16342" spans="2:5">
      <c r="B16342" s="121">
        <v>1375</v>
      </c>
      <c r="C16342" s="121">
        <v>11</v>
      </c>
      <c r="D16342" s="734">
        <v>134.73181830428894</v>
      </c>
      <c r="E16342" s="733"/>
    </row>
    <row r="16343" spans="2:5">
      <c r="B16343" s="121">
        <v>1376</v>
      </c>
      <c r="C16343" s="121">
        <v>1</v>
      </c>
      <c r="D16343" s="734">
        <v>5</v>
      </c>
      <c r="E16343" s="733"/>
    </row>
    <row r="16344" spans="2:5">
      <c r="B16344" s="121">
        <v>1376</v>
      </c>
      <c r="C16344" s="121">
        <v>2</v>
      </c>
      <c r="D16344" s="734">
        <v>99.278798878142865</v>
      </c>
      <c r="E16344" s="733"/>
    </row>
    <row r="16345" spans="2:5">
      <c r="B16345" s="121">
        <v>1376</v>
      </c>
      <c r="C16345" s="121">
        <v>3</v>
      </c>
      <c r="D16345" s="734">
        <v>116.79278822168422</v>
      </c>
      <c r="E16345" s="733"/>
    </row>
    <row r="16346" spans="2:5">
      <c r="B16346" s="121">
        <v>1376</v>
      </c>
      <c r="C16346" s="121">
        <v>4</v>
      </c>
      <c r="D16346" s="734">
        <v>145.86733959660737</v>
      </c>
      <c r="E16346" s="733"/>
    </row>
    <row r="16347" spans="2:5">
      <c r="B16347" s="121">
        <v>1376</v>
      </c>
      <c r="C16347" s="121">
        <v>5</v>
      </c>
      <c r="D16347" s="734">
        <v>137.42174991634911</v>
      </c>
      <c r="E16347" s="733"/>
    </row>
    <row r="16348" spans="2:5">
      <c r="B16348" s="121">
        <v>1376</v>
      </c>
      <c r="C16348" s="121">
        <v>6</v>
      </c>
      <c r="D16348" s="734">
        <v>134.59635704238352</v>
      </c>
      <c r="E16348" s="733"/>
    </row>
    <row r="16349" spans="2:5">
      <c r="B16349" s="121">
        <v>1376</v>
      </c>
      <c r="C16349" s="121">
        <v>7</v>
      </c>
      <c r="D16349" s="734">
        <v>137.67332698900131</v>
      </c>
      <c r="E16349" s="733"/>
    </row>
    <row r="16350" spans="2:5">
      <c r="B16350" s="121">
        <v>1376</v>
      </c>
      <c r="C16350" s="121">
        <v>8</v>
      </c>
      <c r="D16350" s="734">
        <v>144.43626835689244</v>
      </c>
      <c r="E16350" s="733"/>
    </row>
    <row r="16351" spans="2:5">
      <c r="B16351" s="121">
        <v>1376</v>
      </c>
      <c r="C16351" s="121">
        <v>9</v>
      </c>
      <c r="D16351" s="734">
        <v>141.50272085915881</v>
      </c>
      <c r="E16351" s="733"/>
    </row>
    <row r="16352" spans="2:5">
      <c r="B16352" s="121">
        <v>1376</v>
      </c>
      <c r="C16352" s="121">
        <v>10</v>
      </c>
      <c r="D16352" s="734">
        <v>140.75576995823246</v>
      </c>
      <c r="E16352" s="733"/>
    </row>
    <row r="16353" spans="2:5">
      <c r="B16353" s="121">
        <v>1376</v>
      </c>
      <c r="C16353" s="121">
        <v>11</v>
      </c>
      <c r="D16353" s="734">
        <v>138.75870111474239</v>
      </c>
      <c r="E16353" s="733"/>
    </row>
    <row r="16354" spans="2:5">
      <c r="B16354" s="121">
        <v>1376</v>
      </c>
      <c r="C16354" s="121">
        <v>12</v>
      </c>
      <c r="D16354" s="734">
        <v>138.60395246076769</v>
      </c>
      <c r="E16354" s="733"/>
    </row>
    <row r="16355" spans="2:5">
      <c r="B16355" s="121">
        <v>1376</v>
      </c>
      <c r="C16355" s="121">
        <v>13</v>
      </c>
      <c r="D16355" s="734">
        <v>135.71066770730803</v>
      </c>
      <c r="E16355" s="733"/>
    </row>
    <row r="16356" spans="2:5">
      <c r="B16356" s="121">
        <v>1376</v>
      </c>
      <c r="C16356" s="121">
        <v>14</v>
      </c>
      <c r="D16356" s="734">
        <v>137.80083920508613</v>
      </c>
      <c r="E16356" s="733"/>
    </row>
    <row r="16357" spans="2:5">
      <c r="B16357" s="121">
        <v>1376</v>
      </c>
      <c r="C16357" s="121">
        <v>15</v>
      </c>
      <c r="D16357" s="734">
        <v>141.55611076034114</v>
      </c>
      <c r="E16357" s="733"/>
    </row>
    <row r="16358" spans="2:5">
      <c r="B16358" s="121">
        <v>1376</v>
      </c>
      <c r="C16358" s="121">
        <v>16</v>
      </c>
      <c r="D16358" s="734">
        <v>145.7514813172381</v>
      </c>
      <c r="E16358" s="733"/>
    </row>
    <row r="16359" spans="2:5">
      <c r="B16359" s="121">
        <v>1376</v>
      </c>
      <c r="C16359" s="121">
        <v>17</v>
      </c>
      <c r="D16359" s="734">
        <v>144.56564049613652</v>
      </c>
      <c r="E16359" s="733"/>
    </row>
    <row r="16360" spans="2:5">
      <c r="B16360" s="121">
        <v>1376</v>
      </c>
      <c r="C16360" s="121">
        <v>18</v>
      </c>
      <c r="D16360" s="734">
        <v>144.27356494044079</v>
      </c>
      <c r="E16360" s="733"/>
    </row>
    <row r="16361" spans="2:5">
      <c r="B16361" s="121">
        <v>1376</v>
      </c>
      <c r="C16361" s="121">
        <v>19</v>
      </c>
      <c r="D16361" s="734">
        <v>146.56617830814315</v>
      </c>
      <c r="E16361" s="733"/>
    </row>
    <row r="16362" spans="2:5">
      <c r="B16362" s="121">
        <v>1376</v>
      </c>
      <c r="C16362" s="121">
        <v>20</v>
      </c>
      <c r="D16362" s="734">
        <v>144.69801439317234</v>
      </c>
      <c r="E16362" s="733"/>
    </row>
    <row r="16363" spans="2:5">
      <c r="B16363" s="121">
        <v>1376</v>
      </c>
      <c r="C16363" s="121">
        <v>21</v>
      </c>
      <c r="D16363" s="734">
        <v>145.58013371422442</v>
      </c>
      <c r="E16363" s="733"/>
    </row>
    <row r="16364" spans="2:5">
      <c r="B16364" s="121">
        <v>1376</v>
      </c>
      <c r="C16364" s="121">
        <v>22</v>
      </c>
      <c r="D16364" s="734">
        <v>137.91591007716826</v>
      </c>
      <c r="E16364" s="733"/>
    </row>
    <row r="16365" spans="2:5">
      <c r="B16365" s="121">
        <v>1376</v>
      </c>
      <c r="C16365" s="121">
        <v>23</v>
      </c>
      <c r="D16365" s="734">
        <v>136.31928270486742</v>
      </c>
      <c r="E16365" s="733"/>
    </row>
    <row r="16366" spans="2:5">
      <c r="B16366" s="121">
        <v>1376</v>
      </c>
      <c r="C16366" s="121">
        <v>24</v>
      </c>
      <c r="D16366" s="734">
        <v>142.92050483668993</v>
      </c>
      <c r="E16366" s="733"/>
    </row>
    <row r="16367" spans="2:5">
      <c r="B16367" s="121">
        <v>1376</v>
      </c>
      <c r="C16367" s="121">
        <v>25</v>
      </c>
      <c r="D16367" s="734">
        <v>144.84063858672232</v>
      </c>
      <c r="E16367" s="733"/>
    </row>
    <row r="16368" spans="2:5">
      <c r="B16368" s="121">
        <v>1376</v>
      </c>
      <c r="C16368" s="121">
        <v>26</v>
      </c>
      <c r="D16368" s="734">
        <v>136.85266181575798</v>
      </c>
      <c r="E16368" s="733"/>
    </row>
    <row r="16369" spans="2:5">
      <c r="B16369" s="121">
        <v>1376</v>
      </c>
      <c r="C16369" s="121">
        <v>27</v>
      </c>
      <c r="D16369" s="734">
        <v>134.71712056476872</v>
      </c>
      <c r="E16369" s="733"/>
    </row>
    <row r="16370" spans="2:5">
      <c r="B16370" s="121">
        <v>1376</v>
      </c>
      <c r="C16370" s="121">
        <v>28</v>
      </c>
      <c r="D16370" s="734">
        <v>142.63903686718413</v>
      </c>
      <c r="E16370" s="733"/>
    </row>
    <row r="16371" spans="2:5">
      <c r="B16371" s="121">
        <v>1377</v>
      </c>
      <c r="C16371" s="121">
        <v>1</v>
      </c>
      <c r="D16371" s="734">
        <v>5</v>
      </c>
      <c r="E16371" s="733"/>
    </row>
    <row r="16372" spans="2:5">
      <c r="B16372" s="121">
        <v>1377</v>
      </c>
      <c r="C16372" s="121">
        <v>2</v>
      </c>
      <c r="D16372" s="734">
        <v>98.023070934219135</v>
      </c>
      <c r="E16372" s="733"/>
    </row>
    <row r="16373" spans="2:5">
      <c r="B16373" s="121">
        <v>1377</v>
      </c>
      <c r="C16373" s="121">
        <v>3</v>
      </c>
      <c r="D16373" s="734">
        <v>118.29496105581742</v>
      </c>
      <c r="E16373" s="733"/>
    </row>
    <row r="16374" spans="2:5">
      <c r="B16374" s="121">
        <v>1377</v>
      </c>
      <c r="C16374" s="121">
        <v>4</v>
      </c>
      <c r="D16374" s="734">
        <v>140.91955158584409</v>
      </c>
      <c r="E16374" s="733"/>
    </row>
    <row r="16375" spans="2:5">
      <c r="B16375" s="121">
        <v>1377</v>
      </c>
      <c r="C16375" s="121">
        <v>5</v>
      </c>
      <c r="D16375" s="734">
        <v>140.28017244003891</v>
      </c>
      <c r="E16375" s="733"/>
    </row>
    <row r="16376" spans="2:5">
      <c r="B16376" s="121">
        <v>1377</v>
      </c>
      <c r="C16376" s="121">
        <v>6</v>
      </c>
      <c r="D16376" s="734">
        <v>138.75257625074559</v>
      </c>
      <c r="E16376" s="733"/>
    </row>
    <row r="16377" spans="2:5">
      <c r="B16377" s="121">
        <v>1377</v>
      </c>
      <c r="C16377" s="121">
        <v>7</v>
      </c>
      <c r="D16377" s="734">
        <v>134.4885265708329</v>
      </c>
      <c r="E16377" s="733"/>
    </row>
    <row r="16378" spans="2:5">
      <c r="B16378" s="121">
        <v>1377</v>
      </c>
      <c r="C16378" s="121">
        <v>8</v>
      </c>
      <c r="D16378" s="734">
        <v>142.56801076495597</v>
      </c>
      <c r="E16378" s="733"/>
    </row>
    <row r="16379" spans="2:5">
      <c r="B16379" s="121">
        <v>1377</v>
      </c>
      <c r="C16379" s="121">
        <v>9</v>
      </c>
      <c r="D16379" s="734">
        <v>145.08792522644166</v>
      </c>
      <c r="E16379" s="733"/>
    </row>
    <row r="16380" spans="2:5">
      <c r="B16380" s="121">
        <v>1377</v>
      </c>
      <c r="C16380" s="121">
        <v>10</v>
      </c>
      <c r="D16380" s="734">
        <v>146.08985561308842</v>
      </c>
      <c r="E16380" s="733"/>
    </row>
    <row r="16381" spans="2:5">
      <c r="B16381" s="121">
        <v>1378</v>
      </c>
      <c r="C16381" s="121">
        <v>1</v>
      </c>
      <c r="D16381" s="734">
        <v>5</v>
      </c>
      <c r="E16381" s="733"/>
    </row>
    <row r="16382" spans="2:5">
      <c r="B16382" s="121">
        <v>1378</v>
      </c>
      <c r="C16382" s="121">
        <v>2</v>
      </c>
      <c r="D16382" s="734">
        <v>95.548077685094142</v>
      </c>
      <c r="E16382" s="733"/>
    </row>
    <row r="16383" spans="2:5">
      <c r="B16383" s="121">
        <v>1378</v>
      </c>
      <c r="C16383" s="121">
        <v>3</v>
      </c>
      <c r="D16383" s="734">
        <v>123.25711423261318</v>
      </c>
      <c r="E16383" s="733"/>
    </row>
    <row r="16384" spans="2:5">
      <c r="B16384" s="121">
        <v>1379</v>
      </c>
      <c r="C16384" s="121">
        <v>1</v>
      </c>
      <c r="D16384" s="734">
        <v>5</v>
      </c>
      <c r="E16384" s="733"/>
    </row>
    <row r="16385" spans="2:5">
      <c r="B16385" s="121">
        <v>1380</v>
      </c>
      <c r="C16385" s="121">
        <v>1</v>
      </c>
      <c r="D16385" s="734">
        <v>5</v>
      </c>
      <c r="E16385" s="733"/>
    </row>
    <row r="16386" spans="2:5">
      <c r="B16386" s="121">
        <v>1381</v>
      </c>
      <c r="C16386" s="121">
        <v>1</v>
      </c>
      <c r="D16386" s="734">
        <v>5</v>
      </c>
      <c r="E16386" s="733"/>
    </row>
    <row r="16387" spans="2:5">
      <c r="B16387" s="121">
        <v>1382</v>
      </c>
      <c r="C16387" s="121">
        <v>1</v>
      </c>
      <c r="D16387" s="734">
        <v>5</v>
      </c>
      <c r="E16387" s="733"/>
    </row>
    <row r="16388" spans="2:5">
      <c r="B16388" s="121">
        <v>1382</v>
      </c>
      <c r="C16388" s="121">
        <v>2</v>
      </c>
      <c r="D16388" s="734">
        <v>96.634060298300284</v>
      </c>
      <c r="E16388" s="733"/>
    </row>
    <row r="16389" spans="2:5">
      <c r="B16389" s="121">
        <v>1382</v>
      </c>
      <c r="C16389" s="121">
        <v>3</v>
      </c>
      <c r="D16389" s="734">
        <v>123.01175933623711</v>
      </c>
      <c r="E16389" s="733"/>
    </row>
    <row r="16390" spans="2:5">
      <c r="B16390" s="121">
        <v>1382</v>
      </c>
      <c r="C16390" s="121">
        <v>4</v>
      </c>
      <c r="D16390" s="734">
        <v>145.97587069620792</v>
      </c>
      <c r="E16390" s="733"/>
    </row>
    <row r="16391" spans="2:5">
      <c r="B16391" s="121">
        <v>1382</v>
      </c>
      <c r="C16391" s="121">
        <v>5</v>
      </c>
      <c r="D16391" s="734">
        <v>140.56926115411736</v>
      </c>
      <c r="E16391" s="733"/>
    </row>
    <row r="16392" spans="2:5">
      <c r="B16392" s="121">
        <v>1382</v>
      </c>
      <c r="C16392" s="121">
        <v>6</v>
      </c>
      <c r="D16392" s="734">
        <v>136.36322640577234</v>
      </c>
      <c r="E16392" s="733"/>
    </row>
    <row r="16393" spans="2:5">
      <c r="B16393" s="121">
        <v>1382</v>
      </c>
      <c r="C16393" s="121">
        <v>7</v>
      </c>
      <c r="D16393" s="734">
        <v>143.40806333122833</v>
      </c>
      <c r="E16393" s="733"/>
    </row>
    <row r="16394" spans="2:5">
      <c r="B16394" s="121">
        <v>1382</v>
      </c>
      <c r="C16394" s="121">
        <v>8</v>
      </c>
      <c r="D16394" s="734">
        <v>138.68753787474714</v>
      </c>
      <c r="E16394" s="733"/>
    </row>
    <row r="16395" spans="2:5">
      <c r="B16395" s="121">
        <v>1382</v>
      </c>
      <c r="C16395" s="121">
        <v>9</v>
      </c>
      <c r="D16395" s="734">
        <v>146.56391604317287</v>
      </c>
      <c r="E16395" s="733"/>
    </row>
    <row r="16396" spans="2:5">
      <c r="B16396" s="121">
        <v>1382</v>
      </c>
      <c r="C16396" s="121">
        <v>10</v>
      </c>
      <c r="D16396" s="734">
        <v>147.06216115471665</v>
      </c>
      <c r="E16396" s="733"/>
    </row>
    <row r="16397" spans="2:5">
      <c r="B16397" s="121">
        <v>1382</v>
      </c>
      <c r="C16397" s="121">
        <v>11</v>
      </c>
      <c r="D16397" s="734">
        <v>141.8548513134555</v>
      </c>
      <c r="E16397" s="733"/>
    </row>
    <row r="16398" spans="2:5">
      <c r="B16398" s="121">
        <v>1382</v>
      </c>
      <c r="C16398" s="121">
        <v>12</v>
      </c>
      <c r="D16398" s="734">
        <v>146.3733585061033</v>
      </c>
      <c r="E16398" s="733"/>
    </row>
    <row r="16399" spans="2:5">
      <c r="B16399" s="121">
        <v>1382</v>
      </c>
      <c r="C16399" s="121">
        <v>13</v>
      </c>
      <c r="D16399" s="734">
        <v>144.71584357975783</v>
      </c>
      <c r="E16399" s="733"/>
    </row>
    <row r="16400" spans="2:5">
      <c r="B16400" s="121">
        <v>1382</v>
      </c>
      <c r="C16400" s="121">
        <v>14</v>
      </c>
      <c r="D16400" s="734">
        <v>147.26055929903185</v>
      </c>
      <c r="E16400" s="733"/>
    </row>
    <row r="16401" spans="2:5">
      <c r="B16401" s="121">
        <v>1382</v>
      </c>
      <c r="C16401" s="121">
        <v>15</v>
      </c>
      <c r="D16401" s="734">
        <v>145.62343884756095</v>
      </c>
      <c r="E16401" s="733"/>
    </row>
    <row r="16402" spans="2:5">
      <c r="B16402" s="121">
        <v>1382</v>
      </c>
      <c r="C16402" s="121">
        <v>16</v>
      </c>
      <c r="D16402" s="734">
        <v>134.72894746790274</v>
      </c>
      <c r="E16402" s="733"/>
    </row>
    <row r="16403" spans="2:5">
      <c r="B16403" s="121">
        <v>1383</v>
      </c>
      <c r="C16403" s="121">
        <v>1</v>
      </c>
      <c r="D16403" s="734">
        <v>5</v>
      </c>
      <c r="E16403" s="733"/>
    </row>
    <row r="16404" spans="2:5">
      <c r="B16404" s="121">
        <v>1383</v>
      </c>
      <c r="C16404" s="121">
        <v>2</v>
      </c>
      <c r="D16404" s="734">
        <v>101.63164477200448</v>
      </c>
      <c r="E16404" s="733"/>
    </row>
    <row r="16405" spans="2:5">
      <c r="B16405" s="121">
        <v>1383</v>
      </c>
      <c r="C16405" s="121">
        <v>3</v>
      </c>
      <c r="D16405" s="734">
        <v>116.80648293647248</v>
      </c>
      <c r="E16405" s="733"/>
    </row>
    <row r="16406" spans="2:5">
      <c r="B16406" s="121">
        <v>1383</v>
      </c>
      <c r="C16406" s="121">
        <v>4</v>
      </c>
      <c r="D16406" s="734">
        <v>140.76053724358081</v>
      </c>
      <c r="E16406" s="733"/>
    </row>
    <row r="16407" spans="2:5">
      <c r="B16407" s="121">
        <v>1383</v>
      </c>
      <c r="C16407" s="121">
        <v>5</v>
      </c>
      <c r="D16407" s="734">
        <v>140.55859228305246</v>
      </c>
      <c r="E16407" s="733"/>
    </row>
    <row r="16408" spans="2:5">
      <c r="B16408" s="121">
        <v>1383</v>
      </c>
      <c r="C16408" s="121">
        <v>6</v>
      </c>
      <c r="D16408" s="734">
        <v>135.62419055038248</v>
      </c>
      <c r="E16408" s="733"/>
    </row>
    <row r="16409" spans="2:5">
      <c r="B16409" s="121">
        <v>1383</v>
      </c>
      <c r="C16409" s="121">
        <v>7</v>
      </c>
      <c r="D16409" s="734">
        <v>135.7419584815913</v>
      </c>
      <c r="E16409" s="733"/>
    </row>
    <row r="16410" spans="2:5">
      <c r="B16410" s="121">
        <v>1383</v>
      </c>
      <c r="C16410" s="121">
        <v>8</v>
      </c>
      <c r="D16410" s="734">
        <v>142.62202156451235</v>
      </c>
      <c r="E16410" s="733"/>
    </row>
    <row r="16411" spans="2:5">
      <c r="B16411" s="121">
        <v>1383</v>
      </c>
      <c r="C16411" s="121">
        <v>9</v>
      </c>
      <c r="D16411" s="734">
        <v>136.41504736574367</v>
      </c>
      <c r="E16411" s="733"/>
    </row>
    <row r="16412" spans="2:5">
      <c r="B16412" s="121">
        <v>1383</v>
      </c>
      <c r="C16412" s="121">
        <v>10</v>
      </c>
      <c r="D16412" s="734">
        <v>145.79880127491776</v>
      </c>
      <c r="E16412" s="733"/>
    </row>
    <row r="16413" spans="2:5">
      <c r="B16413" s="121">
        <v>1383</v>
      </c>
      <c r="C16413" s="121">
        <v>11</v>
      </c>
      <c r="D16413" s="734">
        <v>140.69895153417283</v>
      </c>
      <c r="E16413" s="733"/>
    </row>
    <row r="16414" spans="2:5">
      <c r="B16414" s="121">
        <v>1383</v>
      </c>
      <c r="C16414" s="121">
        <v>12</v>
      </c>
      <c r="D16414" s="734">
        <v>134.17361281656477</v>
      </c>
      <c r="E16414" s="733"/>
    </row>
    <row r="16415" spans="2:5">
      <c r="B16415" s="121">
        <v>1383</v>
      </c>
      <c r="C16415" s="121">
        <v>13</v>
      </c>
      <c r="D16415" s="734">
        <v>143.86737818817122</v>
      </c>
      <c r="E16415" s="733"/>
    </row>
    <row r="16416" spans="2:5">
      <c r="B16416" s="121">
        <v>1383</v>
      </c>
      <c r="C16416" s="121">
        <v>14</v>
      </c>
      <c r="D16416" s="734">
        <v>134.49212886213803</v>
      </c>
      <c r="E16416" s="733"/>
    </row>
    <row r="16417" spans="2:5">
      <c r="B16417" s="121">
        <v>1383</v>
      </c>
      <c r="C16417" s="121">
        <v>15</v>
      </c>
      <c r="D16417" s="734">
        <v>140.90304802548371</v>
      </c>
      <c r="E16417" s="733"/>
    </row>
    <row r="16418" spans="2:5">
      <c r="B16418" s="121">
        <v>1383</v>
      </c>
      <c r="C16418" s="121">
        <v>16</v>
      </c>
      <c r="D16418" s="734">
        <v>135.42992982617983</v>
      </c>
      <c r="E16418" s="733"/>
    </row>
    <row r="16419" spans="2:5">
      <c r="B16419" s="121">
        <v>1383</v>
      </c>
      <c r="C16419" s="121">
        <v>17</v>
      </c>
      <c r="D16419" s="734">
        <v>136.37851176439756</v>
      </c>
      <c r="E16419" s="733"/>
    </row>
    <row r="16420" spans="2:5">
      <c r="B16420" s="121">
        <v>1383</v>
      </c>
      <c r="C16420" s="121">
        <v>18</v>
      </c>
      <c r="D16420" s="734">
        <v>142.44108476960866</v>
      </c>
      <c r="E16420" s="733"/>
    </row>
    <row r="16421" spans="2:5">
      <c r="B16421" s="121">
        <v>1383</v>
      </c>
      <c r="C16421" s="121">
        <v>19</v>
      </c>
      <c r="D16421" s="734">
        <v>140.75205391144826</v>
      </c>
      <c r="E16421" s="733"/>
    </row>
    <row r="16422" spans="2:5">
      <c r="B16422" s="121">
        <v>1383</v>
      </c>
      <c r="C16422" s="121">
        <v>20</v>
      </c>
      <c r="D16422" s="734">
        <v>137.95484221308251</v>
      </c>
      <c r="E16422" s="733"/>
    </row>
    <row r="16423" spans="2:5">
      <c r="B16423" s="121">
        <v>1383</v>
      </c>
      <c r="C16423" s="121">
        <v>21</v>
      </c>
      <c r="D16423" s="734">
        <v>140.96467557333185</v>
      </c>
      <c r="E16423" s="733"/>
    </row>
    <row r="16424" spans="2:5">
      <c r="B16424" s="121">
        <v>1383</v>
      </c>
      <c r="C16424" s="121">
        <v>22</v>
      </c>
      <c r="D16424" s="734">
        <v>138.31083858768369</v>
      </c>
      <c r="E16424" s="733"/>
    </row>
    <row r="16425" spans="2:5">
      <c r="B16425" s="121">
        <v>1383</v>
      </c>
      <c r="C16425" s="121">
        <v>23</v>
      </c>
      <c r="D16425" s="734">
        <v>142.3749777544684</v>
      </c>
      <c r="E16425" s="733"/>
    </row>
    <row r="16426" spans="2:5">
      <c r="B16426" s="121">
        <v>1383</v>
      </c>
      <c r="C16426" s="121">
        <v>24</v>
      </c>
      <c r="D16426" s="734">
        <v>139.55982550664038</v>
      </c>
      <c r="E16426" s="733"/>
    </row>
    <row r="16427" spans="2:5">
      <c r="B16427" s="121">
        <v>1383</v>
      </c>
      <c r="C16427" s="121">
        <v>25</v>
      </c>
      <c r="D16427" s="734">
        <v>143.44910724040875</v>
      </c>
      <c r="E16427" s="733"/>
    </row>
    <row r="16428" spans="2:5">
      <c r="B16428" s="121">
        <v>1383</v>
      </c>
      <c r="C16428" s="121">
        <v>26</v>
      </c>
      <c r="D16428" s="734">
        <v>146.02262120196889</v>
      </c>
      <c r="E16428" s="733"/>
    </row>
    <row r="16429" spans="2:5">
      <c r="B16429" s="121">
        <v>1383</v>
      </c>
      <c r="C16429" s="121">
        <v>27</v>
      </c>
      <c r="D16429" s="734">
        <v>145.60854792884265</v>
      </c>
      <c r="E16429" s="733"/>
    </row>
    <row r="16430" spans="2:5">
      <c r="B16430" s="121">
        <v>1383</v>
      </c>
      <c r="C16430" s="121">
        <v>28</v>
      </c>
      <c r="D16430" s="734">
        <v>139.72329834095319</v>
      </c>
      <c r="E16430" s="733"/>
    </row>
    <row r="16431" spans="2:5">
      <c r="B16431" s="121">
        <v>1383</v>
      </c>
      <c r="C16431" s="121">
        <v>29</v>
      </c>
      <c r="D16431" s="734">
        <v>144.70911047726375</v>
      </c>
      <c r="E16431" s="733"/>
    </row>
    <row r="16432" spans="2:5">
      <c r="B16432" s="121">
        <v>1383</v>
      </c>
      <c r="C16432" s="121">
        <v>30</v>
      </c>
      <c r="D16432" s="734">
        <v>139.7185089580197</v>
      </c>
      <c r="E16432" s="733"/>
    </row>
    <row r="16433" spans="2:5">
      <c r="B16433" s="121">
        <v>1383</v>
      </c>
      <c r="C16433" s="121">
        <v>31</v>
      </c>
      <c r="D16433" s="734">
        <v>138.91156089245209</v>
      </c>
      <c r="E16433" s="733"/>
    </row>
    <row r="16434" spans="2:5">
      <c r="B16434" s="121">
        <v>1383</v>
      </c>
      <c r="C16434" s="121">
        <v>32</v>
      </c>
      <c r="D16434" s="734">
        <v>140.37002607900277</v>
      </c>
      <c r="E16434" s="733"/>
    </row>
    <row r="16435" spans="2:5">
      <c r="B16435" s="121">
        <v>1383</v>
      </c>
      <c r="C16435" s="121">
        <v>33</v>
      </c>
      <c r="D16435" s="734">
        <v>144.54871632094046</v>
      </c>
      <c r="E16435" s="733"/>
    </row>
    <row r="16436" spans="2:5">
      <c r="B16436" s="121">
        <v>1383</v>
      </c>
      <c r="C16436" s="121">
        <v>34</v>
      </c>
      <c r="D16436" s="734">
        <v>141.87883080828612</v>
      </c>
      <c r="E16436" s="733"/>
    </row>
    <row r="16437" spans="2:5">
      <c r="B16437" s="121">
        <v>1383</v>
      </c>
      <c r="C16437" s="121">
        <v>35</v>
      </c>
      <c r="D16437" s="734">
        <v>135.38328499820247</v>
      </c>
      <c r="E16437" s="733"/>
    </row>
    <row r="16438" spans="2:5">
      <c r="B16438" s="121">
        <v>1383</v>
      </c>
      <c r="C16438" s="121">
        <v>36</v>
      </c>
      <c r="D16438" s="734">
        <v>137.46628299425277</v>
      </c>
      <c r="E16438" s="733"/>
    </row>
    <row r="16439" spans="2:5">
      <c r="B16439" s="121">
        <v>1384</v>
      </c>
      <c r="C16439" s="121">
        <v>1</v>
      </c>
      <c r="D16439" s="734">
        <v>5</v>
      </c>
      <c r="E16439" s="733"/>
    </row>
    <row r="16440" spans="2:5">
      <c r="B16440" s="121">
        <v>1385</v>
      </c>
      <c r="C16440" s="121">
        <v>1</v>
      </c>
      <c r="D16440" s="734">
        <v>5</v>
      </c>
      <c r="E16440" s="733"/>
    </row>
    <row r="16441" spans="2:5">
      <c r="B16441" s="121">
        <v>1386</v>
      </c>
      <c r="C16441" s="121">
        <v>1</v>
      </c>
      <c r="D16441" s="734">
        <v>5</v>
      </c>
      <c r="E16441" s="733"/>
    </row>
    <row r="16442" spans="2:5">
      <c r="B16442" s="121">
        <v>1386</v>
      </c>
      <c r="C16442" s="121">
        <v>2</v>
      </c>
      <c r="D16442" s="734">
        <v>102.21002863185757</v>
      </c>
      <c r="E16442" s="733"/>
    </row>
    <row r="16443" spans="2:5">
      <c r="B16443" s="121">
        <v>1386</v>
      </c>
      <c r="C16443" s="121">
        <v>3</v>
      </c>
      <c r="D16443" s="734">
        <v>121.94048816404319</v>
      </c>
      <c r="E16443" s="733"/>
    </row>
    <row r="16444" spans="2:5">
      <c r="B16444" s="121">
        <v>1386</v>
      </c>
      <c r="C16444" s="121">
        <v>4</v>
      </c>
      <c r="D16444" s="734">
        <v>136.4094243759757</v>
      </c>
      <c r="E16444" s="733"/>
    </row>
    <row r="16445" spans="2:5">
      <c r="B16445" s="121">
        <v>1386</v>
      </c>
      <c r="C16445" s="121">
        <v>5</v>
      </c>
      <c r="D16445" s="734">
        <v>139.32521171650978</v>
      </c>
      <c r="E16445" s="733"/>
    </row>
    <row r="16446" spans="2:5">
      <c r="B16446" s="121">
        <v>1386</v>
      </c>
      <c r="C16446" s="121">
        <v>6</v>
      </c>
      <c r="D16446" s="734">
        <v>141.79197204825292</v>
      </c>
      <c r="E16446" s="733"/>
    </row>
    <row r="16447" spans="2:5">
      <c r="B16447" s="121">
        <v>1386</v>
      </c>
      <c r="C16447" s="121">
        <v>7</v>
      </c>
      <c r="D16447" s="734">
        <v>140.30395807585148</v>
      </c>
      <c r="E16447" s="733"/>
    </row>
    <row r="16448" spans="2:5">
      <c r="B16448" s="121">
        <v>1387</v>
      </c>
      <c r="C16448" s="121">
        <v>1</v>
      </c>
      <c r="D16448" s="734">
        <v>5</v>
      </c>
      <c r="E16448" s="733"/>
    </row>
    <row r="16449" spans="2:5">
      <c r="B16449" s="121">
        <v>1387</v>
      </c>
      <c r="C16449" s="121">
        <v>2</v>
      </c>
      <c r="D16449" s="734">
        <v>94.413918870991196</v>
      </c>
      <c r="E16449" s="733"/>
    </row>
    <row r="16450" spans="2:5">
      <c r="B16450" s="121">
        <v>1387</v>
      </c>
      <c r="C16450" s="121">
        <v>3</v>
      </c>
      <c r="D16450" s="734">
        <v>116.58984642445901</v>
      </c>
      <c r="E16450" s="733"/>
    </row>
    <row r="16451" spans="2:5">
      <c r="B16451" s="121">
        <v>1387</v>
      </c>
      <c r="C16451" s="121">
        <v>4</v>
      </c>
      <c r="D16451" s="734">
        <v>134.99619049362428</v>
      </c>
      <c r="E16451" s="733"/>
    </row>
    <row r="16452" spans="2:5">
      <c r="B16452" s="121">
        <v>1387</v>
      </c>
      <c r="C16452" s="121">
        <v>5</v>
      </c>
      <c r="D16452" s="734">
        <v>144.22093528976959</v>
      </c>
      <c r="E16452" s="733"/>
    </row>
    <row r="16453" spans="2:5">
      <c r="B16453" s="121">
        <v>1387</v>
      </c>
      <c r="C16453" s="121">
        <v>6</v>
      </c>
      <c r="D16453" s="734">
        <v>147.115105129196</v>
      </c>
      <c r="E16453" s="733"/>
    </row>
    <row r="16454" spans="2:5">
      <c r="B16454" s="121">
        <v>1387</v>
      </c>
      <c r="C16454" s="121">
        <v>7</v>
      </c>
      <c r="D16454" s="734">
        <v>146.30682685582423</v>
      </c>
      <c r="E16454" s="733"/>
    </row>
    <row r="16455" spans="2:5">
      <c r="B16455" s="121">
        <v>1387</v>
      </c>
      <c r="C16455" s="121">
        <v>8</v>
      </c>
      <c r="D16455" s="734">
        <v>147.2621026020262</v>
      </c>
      <c r="E16455" s="733"/>
    </row>
    <row r="16456" spans="2:5">
      <c r="B16456" s="121">
        <v>1387</v>
      </c>
      <c r="C16456" s="121">
        <v>9</v>
      </c>
      <c r="D16456" s="734">
        <v>136.46416926801609</v>
      </c>
      <c r="E16456" s="733"/>
    </row>
    <row r="16457" spans="2:5">
      <c r="B16457" s="121">
        <v>1387</v>
      </c>
      <c r="C16457" s="121">
        <v>10</v>
      </c>
      <c r="D16457" s="734">
        <v>145.03409403784502</v>
      </c>
      <c r="E16457" s="733"/>
    </row>
    <row r="16458" spans="2:5">
      <c r="B16458" s="121">
        <v>1387</v>
      </c>
      <c r="C16458" s="121">
        <v>11</v>
      </c>
      <c r="D16458" s="734">
        <v>138.77692289131789</v>
      </c>
      <c r="E16458" s="733"/>
    </row>
    <row r="16459" spans="2:5">
      <c r="B16459" s="121">
        <v>1387</v>
      </c>
      <c r="C16459" s="121">
        <v>12</v>
      </c>
      <c r="D16459" s="734">
        <v>139.34077168809452</v>
      </c>
      <c r="E16459" s="733"/>
    </row>
    <row r="16460" spans="2:5">
      <c r="B16460" s="121">
        <v>1387</v>
      </c>
      <c r="C16460" s="121">
        <v>13</v>
      </c>
      <c r="D16460" s="734">
        <v>141.51533040373144</v>
      </c>
      <c r="E16460" s="733"/>
    </row>
    <row r="16461" spans="2:5">
      <c r="B16461" s="121">
        <v>1387</v>
      </c>
      <c r="C16461" s="121">
        <v>14</v>
      </c>
      <c r="D16461" s="734">
        <v>134.44909535859085</v>
      </c>
      <c r="E16461" s="733"/>
    </row>
    <row r="16462" spans="2:5">
      <c r="B16462" s="121">
        <v>1387</v>
      </c>
      <c r="C16462" s="121">
        <v>15</v>
      </c>
      <c r="D16462" s="734">
        <v>139.55417196636327</v>
      </c>
      <c r="E16462" s="733"/>
    </row>
    <row r="16463" spans="2:5">
      <c r="B16463" s="121">
        <v>1387</v>
      </c>
      <c r="C16463" s="121">
        <v>16</v>
      </c>
      <c r="D16463" s="734">
        <v>146.94803434291026</v>
      </c>
      <c r="E16463" s="733"/>
    </row>
    <row r="16464" spans="2:5">
      <c r="B16464" s="121">
        <v>1387</v>
      </c>
      <c r="C16464" s="121">
        <v>17</v>
      </c>
      <c r="D16464" s="734">
        <v>138.69083295006857</v>
      </c>
      <c r="E16464" s="733"/>
    </row>
    <row r="16465" spans="2:5">
      <c r="B16465" s="121">
        <v>1387</v>
      </c>
      <c r="C16465" s="121">
        <v>18</v>
      </c>
      <c r="D16465" s="734">
        <v>134.73165573261889</v>
      </c>
      <c r="E16465" s="733"/>
    </row>
    <row r="16466" spans="2:5">
      <c r="B16466" s="121">
        <v>1387</v>
      </c>
      <c r="C16466" s="121">
        <v>19</v>
      </c>
      <c r="D16466" s="734">
        <v>136.55950810779211</v>
      </c>
      <c r="E16466" s="733"/>
    </row>
    <row r="16467" spans="2:5">
      <c r="B16467" s="121">
        <v>1387</v>
      </c>
      <c r="C16467" s="121">
        <v>20</v>
      </c>
      <c r="D16467" s="734">
        <v>134.45106175789326</v>
      </c>
      <c r="E16467" s="733"/>
    </row>
    <row r="16468" spans="2:5">
      <c r="B16468" s="121">
        <v>1388</v>
      </c>
      <c r="C16468" s="121">
        <v>1</v>
      </c>
      <c r="D16468" s="734">
        <v>5</v>
      </c>
      <c r="E16468" s="733"/>
    </row>
    <row r="16469" spans="2:5">
      <c r="B16469" s="121">
        <v>1389</v>
      </c>
      <c r="C16469" s="121">
        <v>1</v>
      </c>
      <c r="D16469" s="734">
        <v>5</v>
      </c>
      <c r="E16469" s="733"/>
    </row>
    <row r="16470" spans="2:5">
      <c r="B16470" s="121">
        <v>1389</v>
      </c>
      <c r="C16470" s="121">
        <v>2</v>
      </c>
      <c r="D16470" s="734">
        <v>102.01685533251681</v>
      </c>
      <c r="E16470" s="733"/>
    </row>
    <row r="16471" spans="2:5">
      <c r="B16471" s="121">
        <v>1389</v>
      </c>
      <c r="C16471" s="121">
        <v>3</v>
      </c>
      <c r="D16471" s="734">
        <v>118.96547502398366</v>
      </c>
      <c r="E16471" s="733"/>
    </row>
    <row r="16472" spans="2:5">
      <c r="B16472" s="121">
        <v>1389</v>
      </c>
      <c r="C16472" s="121">
        <v>4</v>
      </c>
      <c r="D16472" s="734">
        <v>141.23528946860154</v>
      </c>
      <c r="E16472" s="733"/>
    </row>
    <row r="16473" spans="2:5">
      <c r="B16473" s="121">
        <v>1389</v>
      </c>
      <c r="C16473" s="121">
        <v>5</v>
      </c>
      <c r="D16473" s="734">
        <v>135.23754855964381</v>
      </c>
      <c r="E16473" s="733"/>
    </row>
    <row r="16474" spans="2:5">
      <c r="B16474" s="121">
        <v>1389</v>
      </c>
      <c r="C16474" s="121">
        <v>6</v>
      </c>
      <c r="D16474" s="734">
        <v>138.74404379897055</v>
      </c>
      <c r="E16474" s="733"/>
    </row>
    <row r="16475" spans="2:5">
      <c r="B16475" s="121">
        <v>1389</v>
      </c>
      <c r="C16475" s="121">
        <v>7</v>
      </c>
      <c r="D16475" s="734">
        <v>145.89368171405783</v>
      </c>
      <c r="E16475" s="733"/>
    </row>
    <row r="16476" spans="2:5">
      <c r="B16476" s="121">
        <v>1389</v>
      </c>
      <c r="C16476" s="121">
        <v>8</v>
      </c>
      <c r="D16476" s="734">
        <v>141.78414759495988</v>
      </c>
      <c r="E16476" s="733"/>
    </row>
    <row r="16477" spans="2:5">
      <c r="B16477" s="121">
        <v>1389</v>
      </c>
      <c r="C16477" s="121">
        <v>9</v>
      </c>
      <c r="D16477" s="734">
        <v>140.94698782853996</v>
      </c>
      <c r="E16477" s="733"/>
    </row>
    <row r="16478" spans="2:5">
      <c r="B16478" s="121">
        <v>1389</v>
      </c>
      <c r="C16478" s="121">
        <v>10</v>
      </c>
      <c r="D16478" s="734">
        <v>144.33980443888757</v>
      </c>
      <c r="E16478" s="733"/>
    </row>
    <row r="16479" spans="2:5">
      <c r="B16479" s="121">
        <v>1389</v>
      </c>
      <c r="C16479" s="121">
        <v>11</v>
      </c>
      <c r="D16479" s="734">
        <v>146.38613578758557</v>
      </c>
      <c r="E16479" s="733"/>
    </row>
    <row r="16480" spans="2:5">
      <c r="B16480" s="121">
        <v>1389</v>
      </c>
      <c r="C16480" s="121">
        <v>12</v>
      </c>
      <c r="D16480" s="734">
        <v>144.35813092499905</v>
      </c>
      <c r="E16480" s="733"/>
    </row>
    <row r="16481" spans="2:5">
      <c r="B16481" s="121">
        <v>1389</v>
      </c>
      <c r="C16481" s="121">
        <v>13</v>
      </c>
      <c r="D16481" s="734">
        <v>143.34330172364679</v>
      </c>
      <c r="E16481" s="733"/>
    </row>
    <row r="16482" spans="2:5">
      <c r="B16482" s="121">
        <v>1389</v>
      </c>
      <c r="C16482" s="121">
        <v>14</v>
      </c>
      <c r="D16482" s="734">
        <v>139.23898805742041</v>
      </c>
      <c r="E16482" s="733"/>
    </row>
    <row r="16483" spans="2:5">
      <c r="B16483" s="121">
        <v>1389</v>
      </c>
      <c r="C16483" s="121">
        <v>15</v>
      </c>
      <c r="D16483" s="734">
        <v>141.6223861292207</v>
      </c>
      <c r="E16483" s="733"/>
    </row>
    <row r="16484" spans="2:5">
      <c r="B16484" s="121">
        <v>1389</v>
      </c>
      <c r="C16484" s="121">
        <v>16</v>
      </c>
      <c r="D16484" s="734">
        <v>146.86212917567423</v>
      </c>
      <c r="E16484" s="733"/>
    </row>
    <row r="16485" spans="2:5">
      <c r="B16485" s="121">
        <v>1389</v>
      </c>
      <c r="C16485" s="121">
        <v>17</v>
      </c>
      <c r="D16485" s="734">
        <v>142.7344279317162</v>
      </c>
      <c r="E16485" s="733"/>
    </row>
    <row r="16486" spans="2:5">
      <c r="B16486" s="121">
        <v>1389</v>
      </c>
      <c r="C16486" s="121">
        <v>18</v>
      </c>
      <c r="D16486" s="734">
        <v>136.03052675267151</v>
      </c>
      <c r="E16486" s="733"/>
    </row>
    <row r="16487" spans="2:5">
      <c r="B16487" s="121">
        <v>1389</v>
      </c>
      <c r="C16487" s="121">
        <v>19</v>
      </c>
      <c r="D16487" s="734">
        <v>146.38882432411381</v>
      </c>
      <c r="E16487" s="733"/>
    </row>
    <row r="16488" spans="2:5">
      <c r="B16488" s="121">
        <v>1389</v>
      </c>
      <c r="C16488" s="121">
        <v>20</v>
      </c>
      <c r="D16488" s="734">
        <v>146.78043440580734</v>
      </c>
      <c r="E16488" s="733"/>
    </row>
    <row r="16489" spans="2:5">
      <c r="B16489" s="121">
        <v>1389</v>
      </c>
      <c r="C16489" s="121">
        <v>21</v>
      </c>
      <c r="D16489" s="734">
        <v>138.64029356738544</v>
      </c>
      <c r="E16489" s="733"/>
    </row>
    <row r="16490" spans="2:5">
      <c r="B16490" s="121">
        <v>1389</v>
      </c>
      <c r="C16490" s="121">
        <v>22</v>
      </c>
      <c r="D16490" s="734">
        <v>138.22396856633281</v>
      </c>
      <c r="E16490" s="733"/>
    </row>
    <row r="16491" spans="2:5">
      <c r="B16491" s="121">
        <v>1389</v>
      </c>
      <c r="C16491" s="121">
        <v>23</v>
      </c>
      <c r="D16491" s="734">
        <v>143.0270581741463</v>
      </c>
      <c r="E16491" s="733"/>
    </row>
    <row r="16492" spans="2:5">
      <c r="B16492" s="121">
        <v>1389</v>
      </c>
      <c r="C16492" s="121">
        <v>24</v>
      </c>
      <c r="D16492" s="734">
        <v>133.89750225761622</v>
      </c>
      <c r="E16492" s="733"/>
    </row>
    <row r="16493" spans="2:5">
      <c r="B16493" s="121">
        <v>1389</v>
      </c>
      <c r="C16493" s="121">
        <v>25</v>
      </c>
      <c r="D16493" s="734">
        <v>139.19538875576995</v>
      </c>
      <c r="E16493" s="733"/>
    </row>
    <row r="16494" spans="2:5">
      <c r="B16494" s="121">
        <v>1389</v>
      </c>
      <c r="C16494" s="121">
        <v>26</v>
      </c>
      <c r="D16494" s="734">
        <v>140.46569760944567</v>
      </c>
      <c r="E16494" s="733"/>
    </row>
    <row r="16495" spans="2:5">
      <c r="B16495" s="121">
        <v>1389</v>
      </c>
      <c r="C16495" s="121">
        <v>27</v>
      </c>
      <c r="D16495" s="734">
        <v>134.51256010084489</v>
      </c>
      <c r="E16495" s="733"/>
    </row>
    <row r="16496" spans="2:5">
      <c r="B16496" s="121">
        <v>1389</v>
      </c>
      <c r="C16496" s="121">
        <v>28</v>
      </c>
      <c r="D16496" s="734">
        <v>140.6168075547221</v>
      </c>
      <c r="E16496" s="733"/>
    </row>
    <row r="16497" spans="2:5">
      <c r="B16497" s="121">
        <v>1389</v>
      </c>
      <c r="C16497" s="121">
        <v>29</v>
      </c>
      <c r="D16497" s="734">
        <v>134.73875667555893</v>
      </c>
      <c r="E16497" s="733"/>
    </row>
    <row r="16498" spans="2:5">
      <c r="B16498" s="121">
        <v>1389</v>
      </c>
      <c r="C16498" s="121">
        <v>30</v>
      </c>
      <c r="D16498" s="734">
        <v>141.69324286030988</v>
      </c>
      <c r="E16498" s="733"/>
    </row>
    <row r="16499" spans="2:5">
      <c r="B16499" s="121">
        <v>1389</v>
      </c>
      <c r="C16499" s="121">
        <v>31</v>
      </c>
      <c r="D16499" s="734">
        <v>136.47630123927868</v>
      </c>
      <c r="E16499" s="733"/>
    </row>
    <row r="16500" spans="2:5">
      <c r="B16500" s="121">
        <v>1389</v>
      </c>
      <c r="C16500" s="121">
        <v>32</v>
      </c>
      <c r="D16500" s="734">
        <v>139.49540885025385</v>
      </c>
      <c r="E16500" s="733"/>
    </row>
    <row r="16501" spans="2:5">
      <c r="B16501" s="121">
        <v>1389</v>
      </c>
      <c r="C16501" s="121">
        <v>33</v>
      </c>
      <c r="D16501" s="734">
        <v>141.72763137910749</v>
      </c>
      <c r="E16501" s="733"/>
    </row>
    <row r="16502" spans="2:5">
      <c r="B16502" s="121">
        <v>1389</v>
      </c>
      <c r="C16502" s="121">
        <v>34</v>
      </c>
      <c r="D16502" s="734">
        <v>135.54969003363368</v>
      </c>
      <c r="E16502" s="733"/>
    </row>
    <row r="16503" spans="2:5">
      <c r="B16503" s="121">
        <v>1389</v>
      </c>
      <c r="C16503" s="121">
        <v>35</v>
      </c>
      <c r="D16503" s="734">
        <v>143.26585026072405</v>
      </c>
      <c r="E16503" s="733"/>
    </row>
    <row r="16504" spans="2:5">
      <c r="B16504" s="121">
        <v>1389</v>
      </c>
      <c r="C16504" s="121">
        <v>36</v>
      </c>
      <c r="D16504" s="734">
        <v>139.87547863728705</v>
      </c>
      <c r="E16504" s="733"/>
    </row>
    <row r="16505" spans="2:5">
      <c r="B16505" s="121">
        <v>1390</v>
      </c>
      <c r="C16505" s="121">
        <v>1</v>
      </c>
      <c r="D16505" s="734">
        <v>5</v>
      </c>
      <c r="E16505" s="733"/>
    </row>
    <row r="16506" spans="2:5">
      <c r="B16506" s="121">
        <v>1391</v>
      </c>
      <c r="C16506" s="121">
        <v>1</v>
      </c>
      <c r="D16506" s="734">
        <v>5</v>
      </c>
      <c r="E16506" s="733"/>
    </row>
    <row r="16507" spans="2:5">
      <c r="B16507" s="121">
        <v>1391</v>
      </c>
      <c r="C16507" s="121">
        <v>2</v>
      </c>
      <c r="D16507" s="734">
        <v>95.053754577217802</v>
      </c>
      <c r="E16507" s="733"/>
    </row>
    <row r="16508" spans="2:5">
      <c r="B16508" s="121">
        <v>1391</v>
      </c>
      <c r="C16508" s="121">
        <v>3</v>
      </c>
      <c r="D16508" s="734">
        <v>124.56961125178644</v>
      </c>
      <c r="E16508" s="733"/>
    </row>
    <row r="16509" spans="2:5">
      <c r="B16509" s="121">
        <v>1391</v>
      </c>
      <c r="C16509" s="121">
        <v>4</v>
      </c>
      <c r="D16509" s="734">
        <v>142.63014772012932</v>
      </c>
      <c r="E16509" s="733"/>
    </row>
    <row r="16510" spans="2:5">
      <c r="B16510" s="121">
        <v>1391</v>
      </c>
      <c r="C16510" s="121">
        <v>5</v>
      </c>
      <c r="D16510" s="734">
        <v>134.43729282778119</v>
      </c>
      <c r="E16510" s="733"/>
    </row>
    <row r="16511" spans="2:5">
      <c r="B16511" s="121">
        <v>1391</v>
      </c>
      <c r="C16511" s="121">
        <v>6</v>
      </c>
      <c r="D16511" s="734">
        <v>136.39406779910706</v>
      </c>
      <c r="E16511" s="733"/>
    </row>
    <row r="16512" spans="2:5">
      <c r="B16512" s="121">
        <v>1391</v>
      </c>
      <c r="C16512" s="121">
        <v>7</v>
      </c>
      <c r="D16512" s="734">
        <v>146.41904297301886</v>
      </c>
      <c r="E16512" s="733"/>
    </row>
    <row r="16513" spans="2:5">
      <c r="B16513" s="121">
        <v>1391</v>
      </c>
      <c r="C16513" s="121">
        <v>8</v>
      </c>
      <c r="D16513" s="734">
        <v>143.32465723020246</v>
      </c>
      <c r="E16513" s="733"/>
    </row>
    <row r="16514" spans="2:5">
      <c r="B16514" s="121">
        <v>1391</v>
      </c>
      <c r="C16514" s="121">
        <v>9</v>
      </c>
      <c r="D16514" s="734">
        <v>142.76342956910989</v>
      </c>
      <c r="E16514" s="733"/>
    </row>
    <row r="16515" spans="2:5">
      <c r="B16515" s="121">
        <v>1391</v>
      </c>
      <c r="C16515" s="121">
        <v>10</v>
      </c>
      <c r="D16515" s="734">
        <v>138.71871079212801</v>
      </c>
      <c r="E16515" s="733"/>
    </row>
    <row r="16516" spans="2:5">
      <c r="B16516" s="121">
        <v>1391</v>
      </c>
      <c r="C16516" s="121">
        <v>11</v>
      </c>
      <c r="D16516" s="734">
        <v>141.64160668541101</v>
      </c>
      <c r="E16516" s="733"/>
    </row>
    <row r="16517" spans="2:5">
      <c r="B16517" s="121">
        <v>1391</v>
      </c>
      <c r="C16517" s="121">
        <v>12</v>
      </c>
      <c r="D16517" s="734">
        <v>137.48847385146669</v>
      </c>
      <c r="E16517" s="733"/>
    </row>
    <row r="16518" spans="2:5">
      <c r="B16518" s="121">
        <v>1392</v>
      </c>
      <c r="C16518" s="121">
        <v>1</v>
      </c>
      <c r="D16518" s="734">
        <v>5</v>
      </c>
      <c r="E16518" s="733"/>
    </row>
    <row r="16519" spans="2:5">
      <c r="B16519" s="121">
        <v>1392</v>
      </c>
      <c r="C16519" s="121">
        <v>2</v>
      </c>
      <c r="D16519" s="734">
        <v>95.247783707039588</v>
      </c>
      <c r="E16519" s="733"/>
    </row>
    <row r="16520" spans="2:5">
      <c r="B16520" s="121">
        <v>1392</v>
      </c>
      <c r="C16520" s="121">
        <v>3</v>
      </c>
      <c r="D16520" s="734">
        <v>114.93943285437422</v>
      </c>
      <c r="E16520" s="733"/>
    </row>
    <row r="16521" spans="2:5">
      <c r="B16521" s="121">
        <v>1392</v>
      </c>
      <c r="C16521" s="121">
        <v>4</v>
      </c>
      <c r="D16521" s="734">
        <v>138.71728736779522</v>
      </c>
      <c r="E16521" s="733"/>
    </row>
    <row r="16522" spans="2:5">
      <c r="B16522" s="121">
        <v>1392</v>
      </c>
      <c r="C16522" s="121">
        <v>5</v>
      </c>
      <c r="D16522" s="734">
        <v>140.58519513321579</v>
      </c>
      <c r="E16522" s="733"/>
    </row>
    <row r="16523" spans="2:5">
      <c r="B16523" s="121">
        <v>1392</v>
      </c>
      <c r="C16523" s="121">
        <v>6</v>
      </c>
      <c r="D16523" s="734">
        <v>144.7552192818693</v>
      </c>
      <c r="E16523" s="733"/>
    </row>
    <row r="16524" spans="2:5">
      <c r="B16524" s="121">
        <v>1392</v>
      </c>
      <c r="C16524" s="121">
        <v>7</v>
      </c>
      <c r="D16524" s="734">
        <v>146.73620176313992</v>
      </c>
      <c r="E16524" s="733"/>
    </row>
    <row r="16525" spans="2:5">
      <c r="B16525" s="121">
        <v>1392</v>
      </c>
      <c r="C16525" s="121">
        <v>8</v>
      </c>
      <c r="D16525" s="734">
        <v>143.72946036206923</v>
      </c>
      <c r="E16525" s="733"/>
    </row>
    <row r="16526" spans="2:5">
      <c r="B16526" s="121">
        <v>1392</v>
      </c>
      <c r="C16526" s="121">
        <v>9</v>
      </c>
      <c r="D16526" s="734">
        <v>140.00671616628151</v>
      </c>
      <c r="E16526" s="733"/>
    </row>
    <row r="16527" spans="2:5">
      <c r="B16527" s="121">
        <v>1392</v>
      </c>
      <c r="C16527" s="121">
        <v>10</v>
      </c>
      <c r="D16527" s="734">
        <v>144.92818330916856</v>
      </c>
      <c r="E16527" s="733"/>
    </row>
    <row r="16528" spans="2:5">
      <c r="B16528" s="121">
        <v>1392</v>
      </c>
      <c r="C16528" s="121">
        <v>11</v>
      </c>
      <c r="D16528" s="734">
        <v>143.94641124616592</v>
      </c>
      <c r="E16528" s="733"/>
    </row>
    <row r="16529" spans="2:5">
      <c r="B16529" s="121">
        <v>1392</v>
      </c>
      <c r="C16529" s="121">
        <v>12</v>
      </c>
      <c r="D16529" s="734">
        <v>136.72969509717643</v>
      </c>
      <c r="E16529" s="733"/>
    </row>
    <row r="16530" spans="2:5">
      <c r="B16530" s="121">
        <v>1392</v>
      </c>
      <c r="C16530" s="121">
        <v>13</v>
      </c>
      <c r="D16530" s="734">
        <v>137.98798975143174</v>
      </c>
      <c r="E16530" s="733"/>
    </row>
    <row r="16531" spans="2:5">
      <c r="B16531" s="121">
        <v>1392</v>
      </c>
      <c r="C16531" s="121">
        <v>14</v>
      </c>
      <c r="D16531" s="734">
        <v>140.78501443502054</v>
      </c>
      <c r="E16531" s="733"/>
    </row>
    <row r="16532" spans="2:5">
      <c r="B16532" s="121">
        <v>1392</v>
      </c>
      <c r="C16532" s="121">
        <v>15</v>
      </c>
      <c r="D16532" s="734">
        <v>138.6870144991702</v>
      </c>
      <c r="E16532" s="733"/>
    </row>
    <row r="16533" spans="2:5">
      <c r="B16533" s="121">
        <v>1392</v>
      </c>
      <c r="C16533" s="121">
        <v>16</v>
      </c>
      <c r="D16533" s="734">
        <v>140.71261928091425</v>
      </c>
      <c r="E16533" s="733"/>
    </row>
    <row r="16534" spans="2:5">
      <c r="B16534" s="121">
        <v>1392</v>
      </c>
      <c r="C16534" s="121">
        <v>17</v>
      </c>
      <c r="D16534" s="734">
        <v>133.93870181916634</v>
      </c>
      <c r="E16534" s="733"/>
    </row>
    <row r="16535" spans="2:5">
      <c r="B16535" s="121">
        <v>1392</v>
      </c>
      <c r="C16535" s="121">
        <v>18</v>
      </c>
      <c r="D16535" s="734">
        <v>147.00082092883471</v>
      </c>
      <c r="E16535" s="733"/>
    </row>
    <row r="16536" spans="2:5">
      <c r="B16536" s="121">
        <v>1392</v>
      </c>
      <c r="C16536" s="121">
        <v>19</v>
      </c>
      <c r="D16536" s="734">
        <v>146.93954732264592</v>
      </c>
      <c r="E16536" s="733"/>
    </row>
    <row r="16537" spans="2:5">
      <c r="B16537" s="121">
        <v>1392</v>
      </c>
      <c r="C16537" s="121">
        <v>20</v>
      </c>
      <c r="D16537" s="734">
        <v>146.57219333536912</v>
      </c>
      <c r="E16537" s="733"/>
    </row>
    <row r="16538" spans="2:5">
      <c r="B16538" s="121">
        <v>1392</v>
      </c>
      <c r="C16538" s="121">
        <v>21</v>
      </c>
      <c r="D16538" s="734">
        <v>140.96997082522194</v>
      </c>
      <c r="E16538" s="733"/>
    </row>
    <row r="16539" spans="2:5">
      <c r="B16539" s="121">
        <v>1392</v>
      </c>
      <c r="C16539" s="121">
        <v>22</v>
      </c>
      <c r="D16539" s="734">
        <v>145.57505209058073</v>
      </c>
      <c r="E16539" s="733"/>
    </row>
    <row r="16540" spans="2:5">
      <c r="B16540" s="121">
        <v>1392</v>
      </c>
      <c r="C16540" s="121">
        <v>23</v>
      </c>
      <c r="D16540" s="734">
        <v>136.73716326523584</v>
      </c>
      <c r="E16540" s="733"/>
    </row>
    <row r="16541" spans="2:5">
      <c r="B16541" s="121">
        <v>1392</v>
      </c>
      <c r="C16541" s="121">
        <v>24</v>
      </c>
      <c r="D16541" s="734">
        <v>140.6116128065137</v>
      </c>
      <c r="E16541" s="733"/>
    </row>
    <row r="16542" spans="2:5">
      <c r="B16542" s="121">
        <v>1392</v>
      </c>
      <c r="C16542" s="121">
        <v>25</v>
      </c>
      <c r="D16542" s="734">
        <v>144.72770164764788</v>
      </c>
      <c r="E16542" s="733"/>
    </row>
    <row r="16543" spans="2:5">
      <c r="B16543" s="121">
        <v>1392</v>
      </c>
      <c r="C16543" s="121">
        <v>26</v>
      </c>
      <c r="D16543" s="734">
        <v>144.71690715629822</v>
      </c>
      <c r="E16543" s="733"/>
    </row>
    <row r="16544" spans="2:5">
      <c r="B16544" s="121">
        <v>1392</v>
      </c>
      <c r="C16544" s="121">
        <v>27</v>
      </c>
      <c r="D16544" s="734">
        <v>143.84731661868665</v>
      </c>
      <c r="E16544" s="733"/>
    </row>
    <row r="16545" spans="2:5">
      <c r="B16545" s="121">
        <v>1392</v>
      </c>
      <c r="C16545" s="121">
        <v>28</v>
      </c>
      <c r="D16545" s="734">
        <v>142.71043791038122</v>
      </c>
      <c r="E16545" s="733"/>
    </row>
    <row r="16546" spans="2:5">
      <c r="B16546" s="121">
        <v>1392</v>
      </c>
      <c r="C16546" s="121">
        <v>29</v>
      </c>
      <c r="D16546" s="734">
        <v>134.81508297531818</v>
      </c>
      <c r="E16546" s="733"/>
    </row>
    <row r="16547" spans="2:5">
      <c r="B16547" s="121">
        <v>1392</v>
      </c>
      <c r="C16547" s="121">
        <v>30</v>
      </c>
      <c r="D16547" s="734">
        <v>142.27570485785094</v>
      </c>
      <c r="E16547" s="733"/>
    </row>
    <row r="16548" spans="2:5">
      <c r="B16548" s="121">
        <v>1392</v>
      </c>
      <c r="C16548" s="121">
        <v>31</v>
      </c>
      <c r="D16548" s="734">
        <v>139.45493650185989</v>
      </c>
      <c r="E16548" s="733"/>
    </row>
    <row r="16549" spans="2:5">
      <c r="B16549" s="121">
        <v>1392</v>
      </c>
      <c r="C16549" s="121">
        <v>32</v>
      </c>
      <c r="D16549" s="734">
        <v>142.64559612221495</v>
      </c>
      <c r="E16549" s="733"/>
    </row>
    <row r="16550" spans="2:5">
      <c r="B16550" s="121">
        <v>1392</v>
      </c>
      <c r="C16550" s="121">
        <v>33</v>
      </c>
      <c r="D16550" s="734">
        <v>134.76159137196248</v>
      </c>
      <c r="E16550" s="733"/>
    </row>
    <row r="16551" spans="2:5">
      <c r="B16551" s="121">
        <v>1392</v>
      </c>
      <c r="C16551" s="121">
        <v>34</v>
      </c>
      <c r="D16551" s="734">
        <v>136.63827369861747</v>
      </c>
      <c r="E16551" s="733"/>
    </row>
    <row r="16552" spans="2:5">
      <c r="B16552" s="121">
        <v>1392</v>
      </c>
      <c r="C16552" s="121">
        <v>35</v>
      </c>
      <c r="D16552" s="734">
        <v>139.98732535181676</v>
      </c>
      <c r="E16552" s="733"/>
    </row>
    <row r="16553" spans="2:5">
      <c r="B16553" s="121">
        <v>1392</v>
      </c>
      <c r="C16553" s="121">
        <v>36</v>
      </c>
      <c r="D16553" s="734">
        <v>137.46484632353477</v>
      </c>
      <c r="E16553" s="733"/>
    </row>
    <row r="16554" spans="2:5">
      <c r="B16554" s="121">
        <v>1393</v>
      </c>
      <c r="C16554" s="121">
        <v>1</v>
      </c>
      <c r="D16554" s="734">
        <v>5</v>
      </c>
      <c r="E16554" s="733"/>
    </row>
    <row r="16555" spans="2:5">
      <c r="B16555" s="121">
        <v>1393</v>
      </c>
      <c r="C16555" s="121">
        <v>2</v>
      </c>
      <c r="D16555" s="734">
        <v>103.46452540426642</v>
      </c>
      <c r="E16555" s="733"/>
    </row>
    <row r="16556" spans="2:5">
      <c r="B16556" s="121">
        <v>1393</v>
      </c>
      <c r="C16556" s="121">
        <v>3</v>
      </c>
      <c r="D16556" s="734">
        <v>114.23314543957571</v>
      </c>
      <c r="E16556" s="733"/>
    </row>
    <row r="16557" spans="2:5">
      <c r="B16557" s="121">
        <v>1393</v>
      </c>
      <c r="C16557" s="121">
        <v>4</v>
      </c>
      <c r="D16557" s="734">
        <v>135.72406996848332</v>
      </c>
      <c r="E16557" s="733"/>
    </row>
    <row r="16558" spans="2:5">
      <c r="B16558" s="121">
        <v>1393</v>
      </c>
      <c r="C16558" s="121">
        <v>5</v>
      </c>
      <c r="D16558" s="734">
        <v>143.93681600958919</v>
      </c>
      <c r="E16558" s="733"/>
    </row>
    <row r="16559" spans="2:5">
      <c r="B16559" s="121">
        <v>1393</v>
      </c>
      <c r="C16559" s="121">
        <v>6</v>
      </c>
      <c r="D16559" s="734">
        <v>142.33127312925242</v>
      </c>
      <c r="E16559" s="733"/>
    </row>
    <row r="16560" spans="2:5">
      <c r="B16560" s="121">
        <v>1393</v>
      </c>
      <c r="C16560" s="121">
        <v>7</v>
      </c>
      <c r="D16560" s="734">
        <v>146.25899884236719</v>
      </c>
      <c r="E16560" s="733"/>
    </row>
    <row r="16561" spans="2:5">
      <c r="B16561" s="121">
        <v>1393</v>
      </c>
      <c r="C16561" s="121">
        <v>8</v>
      </c>
      <c r="D16561" s="734">
        <v>134.69560695177816</v>
      </c>
      <c r="E16561" s="733"/>
    </row>
    <row r="16562" spans="2:5">
      <c r="B16562" s="121">
        <v>1393</v>
      </c>
      <c r="C16562" s="121">
        <v>9</v>
      </c>
      <c r="D16562" s="734">
        <v>137.77327451630362</v>
      </c>
      <c r="E16562" s="733"/>
    </row>
    <row r="16563" spans="2:5">
      <c r="B16563" s="121">
        <v>1393</v>
      </c>
      <c r="C16563" s="121">
        <v>10</v>
      </c>
      <c r="D16563" s="734">
        <v>139.19133209467489</v>
      </c>
      <c r="E16563" s="733"/>
    </row>
    <row r="16564" spans="2:5">
      <c r="B16564" s="121">
        <v>1393</v>
      </c>
      <c r="C16564" s="121">
        <v>11</v>
      </c>
      <c r="D16564" s="734">
        <v>143.54631199823626</v>
      </c>
      <c r="E16564" s="733"/>
    </row>
    <row r="16565" spans="2:5">
      <c r="B16565" s="121">
        <v>1393</v>
      </c>
      <c r="C16565" s="121">
        <v>12</v>
      </c>
      <c r="D16565" s="734">
        <v>144.66135182861754</v>
      </c>
      <c r="E16565" s="733"/>
    </row>
    <row r="16566" spans="2:5">
      <c r="B16566" s="121">
        <v>1393</v>
      </c>
      <c r="C16566" s="121">
        <v>13</v>
      </c>
      <c r="D16566" s="734">
        <v>143.96549843715607</v>
      </c>
      <c r="E16566" s="733"/>
    </row>
    <row r="16567" spans="2:5">
      <c r="B16567" s="121">
        <v>1393</v>
      </c>
      <c r="C16567" s="121">
        <v>14</v>
      </c>
      <c r="D16567" s="734">
        <v>146.66156796808889</v>
      </c>
      <c r="E16567" s="733"/>
    </row>
    <row r="16568" spans="2:5">
      <c r="B16568" s="121">
        <v>1393</v>
      </c>
      <c r="C16568" s="121">
        <v>15</v>
      </c>
      <c r="D16568" s="734">
        <v>144.86370831505437</v>
      </c>
      <c r="E16568" s="733"/>
    </row>
    <row r="16569" spans="2:5">
      <c r="B16569" s="121">
        <v>1393</v>
      </c>
      <c r="C16569" s="121">
        <v>16</v>
      </c>
      <c r="D16569" s="734">
        <v>139.53357935576787</v>
      </c>
      <c r="E16569" s="733"/>
    </row>
    <row r="16570" spans="2:5">
      <c r="B16570" s="121">
        <v>1393</v>
      </c>
      <c r="C16570" s="121">
        <v>17</v>
      </c>
      <c r="D16570" s="734">
        <v>138.79624045628131</v>
      </c>
      <c r="E16570" s="733"/>
    </row>
    <row r="16571" spans="2:5">
      <c r="B16571" s="121">
        <v>1393</v>
      </c>
      <c r="C16571" s="121">
        <v>18</v>
      </c>
      <c r="D16571" s="734">
        <v>134.69809905983132</v>
      </c>
      <c r="E16571" s="733"/>
    </row>
    <row r="16572" spans="2:5">
      <c r="B16572" s="121">
        <v>1393</v>
      </c>
      <c r="C16572" s="121">
        <v>19</v>
      </c>
      <c r="D16572" s="734">
        <v>137.62984308467597</v>
      </c>
      <c r="E16572" s="733"/>
    </row>
    <row r="16573" spans="2:5">
      <c r="B16573" s="121">
        <v>1393</v>
      </c>
      <c r="C16573" s="121">
        <v>20</v>
      </c>
      <c r="D16573" s="734">
        <v>146.47766598750852</v>
      </c>
      <c r="E16573" s="733"/>
    </row>
    <row r="16574" spans="2:5">
      <c r="B16574" s="121">
        <v>1393</v>
      </c>
      <c r="C16574" s="121">
        <v>21</v>
      </c>
      <c r="D16574" s="734">
        <v>134.57390627372277</v>
      </c>
      <c r="E16574" s="733"/>
    </row>
    <row r="16575" spans="2:5">
      <c r="B16575" s="121">
        <v>1393</v>
      </c>
      <c r="C16575" s="121">
        <v>22</v>
      </c>
      <c r="D16575" s="734">
        <v>141.07004464069547</v>
      </c>
      <c r="E16575" s="733"/>
    </row>
    <row r="16576" spans="2:5">
      <c r="B16576" s="121">
        <v>1393</v>
      </c>
      <c r="C16576" s="121">
        <v>23</v>
      </c>
      <c r="D16576" s="734">
        <v>141.25757111573648</v>
      </c>
      <c r="E16576" s="733"/>
    </row>
    <row r="16577" spans="2:5">
      <c r="B16577" s="121">
        <v>1393</v>
      </c>
      <c r="C16577" s="121">
        <v>24</v>
      </c>
      <c r="D16577" s="734">
        <v>134.03906826938061</v>
      </c>
      <c r="E16577" s="733"/>
    </row>
    <row r="16578" spans="2:5">
      <c r="B16578" s="121">
        <v>1393</v>
      </c>
      <c r="C16578" s="121">
        <v>25</v>
      </c>
      <c r="D16578" s="734">
        <v>146.59079554849103</v>
      </c>
      <c r="E16578" s="733"/>
    </row>
    <row r="16579" spans="2:5">
      <c r="B16579" s="121">
        <v>1393</v>
      </c>
      <c r="C16579" s="121">
        <v>26</v>
      </c>
      <c r="D16579" s="734">
        <v>138.74135015815096</v>
      </c>
      <c r="E16579" s="733"/>
    </row>
    <row r="16580" spans="2:5">
      <c r="B16580" s="121">
        <v>1393</v>
      </c>
      <c r="C16580" s="121">
        <v>27</v>
      </c>
      <c r="D16580" s="734">
        <v>145.04351677604171</v>
      </c>
      <c r="E16580" s="733"/>
    </row>
    <row r="16581" spans="2:5">
      <c r="B16581" s="121">
        <v>1393</v>
      </c>
      <c r="C16581" s="121">
        <v>28</v>
      </c>
      <c r="D16581" s="734">
        <v>145.71938855050831</v>
      </c>
      <c r="E16581" s="733"/>
    </row>
    <row r="16582" spans="2:5">
      <c r="B16582" s="121">
        <v>1393</v>
      </c>
      <c r="C16582" s="121">
        <v>29</v>
      </c>
      <c r="D16582" s="734">
        <v>137.04812244837066</v>
      </c>
      <c r="E16582" s="733"/>
    </row>
    <row r="16583" spans="2:5">
      <c r="B16583" s="121">
        <v>1393</v>
      </c>
      <c r="C16583" s="121">
        <v>30</v>
      </c>
      <c r="D16583" s="734">
        <v>141.24204417591278</v>
      </c>
      <c r="E16583" s="733"/>
    </row>
    <row r="16584" spans="2:5">
      <c r="B16584" s="121">
        <v>1393</v>
      </c>
      <c r="C16584" s="121">
        <v>31</v>
      </c>
      <c r="D16584" s="734">
        <v>144.34246392488058</v>
      </c>
      <c r="E16584" s="733"/>
    </row>
    <row r="16585" spans="2:5">
      <c r="B16585" s="121">
        <v>1393</v>
      </c>
      <c r="C16585" s="121">
        <v>32</v>
      </c>
      <c r="D16585" s="734">
        <v>137.37872666028173</v>
      </c>
      <c r="E16585" s="733"/>
    </row>
    <row r="16586" spans="2:5">
      <c r="B16586" s="121">
        <v>1393</v>
      </c>
      <c r="C16586" s="121">
        <v>33</v>
      </c>
      <c r="D16586" s="734">
        <v>134.70429998731308</v>
      </c>
      <c r="E16586" s="733"/>
    </row>
    <row r="16587" spans="2:5">
      <c r="B16587" s="121">
        <v>1393</v>
      </c>
      <c r="C16587" s="121">
        <v>34</v>
      </c>
      <c r="D16587" s="734">
        <v>137.9636948807956</v>
      </c>
      <c r="E16587" s="733"/>
    </row>
    <row r="16588" spans="2:5">
      <c r="B16588" s="121">
        <v>1393</v>
      </c>
      <c r="C16588" s="121">
        <v>35</v>
      </c>
      <c r="D16588" s="734">
        <v>135.76304627173894</v>
      </c>
      <c r="E16588" s="733"/>
    </row>
    <row r="16589" spans="2:5">
      <c r="B16589" s="121">
        <v>1393</v>
      </c>
      <c r="C16589" s="121">
        <v>36</v>
      </c>
      <c r="D16589" s="734">
        <v>140.33090230906589</v>
      </c>
      <c r="E16589" s="733"/>
    </row>
    <row r="16590" spans="2:5">
      <c r="B16590" s="121">
        <v>1394</v>
      </c>
      <c r="C16590" s="121">
        <v>1</v>
      </c>
      <c r="D16590" s="734">
        <v>5</v>
      </c>
      <c r="E16590" s="733"/>
    </row>
    <row r="16591" spans="2:5">
      <c r="B16591" s="121">
        <v>1394</v>
      </c>
      <c r="C16591" s="121">
        <v>2</v>
      </c>
      <c r="D16591" s="734">
        <v>97.69496173299197</v>
      </c>
      <c r="E16591" s="733"/>
    </row>
    <row r="16592" spans="2:5">
      <c r="B16592" s="121">
        <v>1394</v>
      </c>
      <c r="C16592" s="121">
        <v>3</v>
      </c>
      <c r="D16592" s="734">
        <v>117.30914575102433</v>
      </c>
      <c r="E16592" s="733"/>
    </row>
    <row r="16593" spans="2:5">
      <c r="B16593" s="121">
        <v>1394</v>
      </c>
      <c r="C16593" s="121">
        <v>4</v>
      </c>
      <c r="D16593" s="734">
        <v>144.79104393476138</v>
      </c>
      <c r="E16593" s="733"/>
    </row>
    <row r="16594" spans="2:5">
      <c r="B16594" s="121">
        <v>1394</v>
      </c>
      <c r="C16594" s="121">
        <v>5</v>
      </c>
      <c r="D16594" s="734">
        <v>135.40731426214737</v>
      </c>
      <c r="E16594" s="733"/>
    </row>
    <row r="16595" spans="2:5">
      <c r="B16595" s="121">
        <v>1394</v>
      </c>
      <c r="C16595" s="121">
        <v>6</v>
      </c>
      <c r="D16595" s="734">
        <v>136.59391106160854</v>
      </c>
      <c r="E16595" s="733"/>
    </row>
    <row r="16596" spans="2:5">
      <c r="B16596" s="121">
        <v>1394</v>
      </c>
      <c r="C16596" s="121">
        <v>7</v>
      </c>
      <c r="D16596" s="734">
        <v>137.22305048205456</v>
      </c>
      <c r="E16596" s="733"/>
    </row>
    <row r="16597" spans="2:5">
      <c r="B16597" s="121">
        <v>1394</v>
      </c>
      <c r="C16597" s="121">
        <v>8</v>
      </c>
      <c r="D16597" s="734">
        <v>139.07815977848628</v>
      </c>
      <c r="E16597" s="733"/>
    </row>
    <row r="16598" spans="2:5">
      <c r="B16598" s="121">
        <v>1394</v>
      </c>
      <c r="C16598" s="121">
        <v>9</v>
      </c>
      <c r="D16598" s="734">
        <v>142.38366326525443</v>
      </c>
      <c r="E16598" s="733"/>
    </row>
    <row r="16599" spans="2:5">
      <c r="B16599" s="121">
        <v>1394</v>
      </c>
      <c r="C16599" s="121">
        <v>10</v>
      </c>
      <c r="D16599" s="734">
        <v>140.43442331748363</v>
      </c>
      <c r="E16599" s="733"/>
    </row>
    <row r="16600" spans="2:5">
      <c r="B16600" s="121">
        <v>1394</v>
      </c>
      <c r="C16600" s="121">
        <v>11</v>
      </c>
      <c r="D16600" s="734">
        <v>144.0412110827408</v>
      </c>
      <c r="E16600" s="733"/>
    </row>
    <row r="16601" spans="2:5">
      <c r="B16601" s="121">
        <v>1394</v>
      </c>
      <c r="C16601" s="121">
        <v>12</v>
      </c>
      <c r="D16601" s="734">
        <v>140.68882011986881</v>
      </c>
      <c r="E16601" s="733"/>
    </row>
    <row r="16602" spans="2:5">
      <c r="B16602" s="121">
        <v>1394</v>
      </c>
      <c r="C16602" s="121">
        <v>13</v>
      </c>
      <c r="D16602" s="734">
        <v>136.30650522596659</v>
      </c>
      <c r="E16602" s="733"/>
    </row>
    <row r="16603" spans="2:5">
      <c r="B16603" s="121">
        <v>1394</v>
      </c>
      <c r="C16603" s="121">
        <v>14</v>
      </c>
      <c r="D16603" s="734">
        <v>138.76720434825245</v>
      </c>
      <c r="E16603" s="733"/>
    </row>
    <row r="16604" spans="2:5">
      <c r="B16604" s="121">
        <v>1394</v>
      </c>
      <c r="C16604" s="121">
        <v>15</v>
      </c>
      <c r="D16604" s="734">
        <v>136.25520628514332</v>
      </c>
      <c r="E16604" s="733"/>
    </row>
    <row r="16605" spans="2:5">
      <c r="B16605" s="121">
        <v>1394</v>
      </c>
      <c r="C16605" s="121">
        <v>16</v>
      </c>
      <c r="D16605" s="734">
        <v>137.84833173187795</v>
      </c>
      <c r="E16605" s="733"/>
    </row>
    <row r="16606" spans="2:5">
      <c r="B16606" s="121">
        <v>1394</v>
      </c>
      <c r="C16606" s="121">
        <v>17</v>
      </c>
      <c r="D16606" s="734">
        <v>144.68843286391476</v>
      </c>
      <c r="E16606" s="733"/>
    </row>
    <row r="16607" spans="2:5">
      <c r="B16607" s="121">
        <v>1394</v>
      </c>
      <c r="C16607" s="121">
        <v>18</v>
      </c>
      <c r="D16607" s="734">
        <v>143.53292493481351</v>
      </c>
      <c r="E16607" s="733"/>
    </row>
    <row r="16608" spans="2:5">
      <c r="B16608" s="121">
        <v>1395</v>
      </c>
      <c r="C16608" s="121">
        <v>1</v>
      </c>
      <c r="D16608" s="734">
        <v>5</v>
      </c>
      <c r="E16608" s="733"/>
    </row>
    <row r="16609" spans="2:5">
      <c r="B16609" s="121">
        <v>1395</v>
      </c>
      <c r="C16609" s="121">
        <v>2</v>
      </c>
      <c r="D16609" s="734">
        <v>94.928094484180221</v>
      </c>
      <c r="E16609" s="733"/>
    </row>
    <row r="16610" spans="2:5">
      <c r="B16610" s="121">
        <v>1396</v>
      </c>
      <c r="C16610" s="121">
        <v>1</v>
      </c>
      <c r="D16610" s="734">
        <v>5</v>
      </c>
      <c r="E16610" s="733"/>
    </row>
    <row r="16611" spans="2:5">
      <c r="B16611" s="121">
        <v>1397</v>
      </c>
      <c r="C16611" s="121">
        <v>1</v>
      </c>
      <c r="D16611" s="734">
        <v>5</v>
      </c>
      <c r="E16611" s="733"/>
    </row>
    <row r="16612" spans="2:5">
      <c r="B16612" s="121">
        <v>1397</v>
      </c>
      <c r="C16612" s="121">
        <v>2</v>
      </c>
      <c r="D16612" s="734">
        <v>98.837721259669081</v>
      </c>
      <c r="E16612" s="733"/>
    </row>
    <row r="16613" spans="2:5">
      <c r="B16613" s="121">
        <v>1397</v>
      </c>
      <c r="C16613" s="121">
        <v>3</v>
      </c>
      <c r="D16613" s="734">
        <v>123.4406536366192</v>
      </c>
      <c r="E16613" s="733"/>
    </row>
    <row r="16614" spans="2:5">
      <c r="B16614" s="121">
        <v>1397</v>
      </c>
      <c r="C16614" s="121">
        <v>4</v>
      </c>
      <c r="D16614" s="734">
        <v>136.85437167565922</v>
      </c>
      <c r="E16614" s="733"/>
    </row>
    <row r="16615" spans="2:5">
      <c r="B16615" s="121">
        <v>1397</v>
      </c>
      <c r="C16615" s="121">
        <v>5</v>
      </c>
      <c r="D16615" s="734">
        <v>134.29025847288631</v>
      </c>
      <c r="E16615" s="733"/>
    </row>
    <row r="16616" spans="2:5">
      <c r="B16616" s="121">
        <v>1397</v>
      </c>
      <c r="C16616" s="121">
        <v>6</v>
      </c>
      <c r="D16616" s="734">
        <v>140.78582566920753</v>
      </c>
      <c r="E16616" s="733"/>
    </row>
    <row r="16617" spans="2:5">
      <c r="B16617" s="121">
        <v>1397</v>
      </c>
      <c r="C16617" s="121">
        <v>7</v>
      </c>
      <c r="D16617" s="734">
        <v>139.96891582510213</v>
      </c>
      <c r="E16617" s="733"/>
    </row>
    <row r="16618" spans="2:5">
      <c r="B16618" s="121">
        <v>1397</v>
      </c>
      <c r="C16618" s="121">
        <v>8</v>
      </c>
      <c r="D16618" s="734">
        <v>135.78125649131661</v>
      </c>
      <c r="E16618" s="733"/>
    </row>
    <row r="16619" spans="2:5">
      <c r="B16619" s="121">
        <v>1397</v>
      </c>
      <c r="C16619" s="121">
        <v>9</v>
      </c>
      <c r="D16619" s="734">
        <v>134.61291147127994</v>
      </c>
      <c r="E16619" s="733"/>
    </row>
    <row r="16620" spans="2:5">
      <c r="B16620" s="121">
        <v>1397</v>
      </c>
      <c r="C16620" s="121">
        <v>10</v>
      </c>
      <c r="D16620" s="734">
        <v>140.02146908832623</v>
      </c>
      <c r="E16620" s="733"/>
    </row>
    <row r="16621" spans="2:5">
      <c r="B16621" s="121">
        <v>1397</v>
      </c>
      <c r="C16621" s="121">
        <v>11</v>
      </c>
      <c r="D16621" s="734">
        <v>146.07863227842628</v>
      </c>
      <c r="E16621" s="733"/>
    </row>
    <row r="16622" spans="2:5">
      <c r="B16622" s="121">
        <v>1397</v>
      </c>
      <c r="C16622" s="121">
        <v>12</v>
      </c>
      <c r="D16622" s="734">
        <v>141.047575446378</v>
      </c>
      <c r="E16622" s="733"/>
    </row>
    <row r="16623" spans="2:5">
      <c r="B16623" s="121">
        <v>1397</v>
      </c>
      <c r="C16623" s="121">
        <v>13</v>
      </c>
      <c r="D16623" s="734">
        <v>142.24244850330018</v>
      </c>
      <c r="E16623" s="733"/>
    </row>
    <row r="16624" spans="2:5">
      <c r="B16624" s="121">
        <v>1397</v>
      </c>
      <c r="C16624" s="121">
        <v>14</v>
      </c>
      <c r="D16624" s="734">
        <v>137.62798370426887</v>
      </c>
      <c r="E16624" s="733"/>
    </row>
    <row r="16625" spans="2:5">
      <c r="B16625" s="121">
        <v>1397</v>
      </c>
      <c r="C16625" s="121">
        <v>15</v>
      </c>
      <c r="D16625" s="734">
        <v>141.242109602472</v>
      </c>
      <c r="E16625" s="733"/>
    </row>
    <row r="16626" spans="2:5">
      <c r="B16626" s="121">
        <v>1397</v>
      </c>
      <c r="C16626" s="121">
        <v>16</v>
      </c>
      <c r="D16626" s="734">
        <v>135.43361088884117</v>
      </c>
      <c r="E16626" s="733"/>
    </row>
    <row r="16627" spans="2:5">
      <c r="B16627" s="121">
        <v>1397</v>
      </c>
      <c r="C16627" s="121">
        <v>17</v>
      </c>
      <c r="D16627" s="734">
        <v>140.29703286022431</v>
      </c>
      <c r="E16627" s="733"/>
    </row>
    <row r="16628" spans="2:5">
      <c r="B16628" s="121">
        <v>1397</v>
      </c>
      <c r="C16628" s="121">
        <v>18</v>
      </c>
      <c r="D16628" s="734">
        <v>146.73599361322715</v>
      </c>
      <c r="E16628" s="733"/>
    </row>
    <row r="16629" spans="2:5">
      <c r="B16629" s="121">
        <v>1397</v>
      </c>
      <c r="C16629" s="121">
        <v>19</v>
      </c>
      <c r="D16629" s="734">
        <v>134.93411958296272</v>
      </c>
      <c r="E16629" s="733"/>
    </row>
    <row r="16630" spans="2:5">
      <c r="B16630" s="121">
        <v>1397</v>
      </c>
      <c r="C16630" s="121">
        <v>20</v>
      </c>
      <c r="D16630" s="734">
        <v>141.2647073498762</v>
      </c>
      <c r="E16630" s="733"/>
    </row>
    <row r="16631" spans="2:5">
      <c r="B16631" s="121">
        <v>1398</v>
      </c>
      <c r="C16631" s="121">
        <v>1</v>
      </c>
      <c r="D16631" s="734">
        <v>5</v>
      </c>
      <c r="E16631" s="733"/>
    </row>
    <row r="16632" spans="2:5">
      <c r="B16632" s="121">
        <v>1398</v>
      </c>
      <c r="C16632" s="121">
        <v>2</v>
      </c>
      <c r="D16632" s="734">
        <v>98.320283088114977</v>
      </c>
      <c r="E16632" s="733"/>
    </row>
    <row r="16633" spans="2:5">
      <c r="B16633" s="121">
        <v>1398</v>
      </c>
      <c r="C16633" s="121">
        <v>3</v>
      </c>
      <c r="D16633" s="734">
        <v>122.46128226095469</v>
      </c>
      <c r="E16633" s="733"/>
    </row>
    <row r="16634" spans="2:5">
      <c r="B16634" s="121">
        <v>1398</v>
      </c>
      <c r="C16634" s="121">
        <v>4</v>
      </c>
      <c r="D16634" s="734">
        <v>136.63385311351215</v>
      </c>
      <c r="E16634" s="733"/>
    </row>
    <row r="16635" spans="2:5">
      <c r="B16635" s="121">
        <v>1398</v>
      </c>
      <c r="C16635" s="121">
        <v>5</v>
      </c>
      <c r="D16635" s="734">
        <v>139.31309679158991</v>
      </c>
      <c r="E16635" s="733"/>
    </row>
    <row r="16636" spans="2:5">
      <c r="B16636" s="121">
        <v>1398</v>
      </c>
      <c r="C16636" s="121">
        <v>6</v>
      </c>
      <c r="D16636" s="734">
        <v>141.70291429711921</v>
      </c>
      <c r="E16636" s="733"/>
    </row>
    <row r="16637" spans="2:5">
      <c r="B16637" s="121">
        <v>1398</v>
      </c>
      <c r="C16637" s="121">
        <v>7</v>
      </c>
      <c r="D16637" s="734">
        <v>139.21743986343108</v>
      </c>
      <c r="E16637" s="733"/>
    </row>
    <row r="16638" spans="2:5">
      <c r="B16638" s="121">
        <v>1398</v>
      </c>
      <c r="C16638" s="121">
        <v>8</v>
      </c>
      <c r="D16638" s="734">
        <v>145.82374382041803</v>
      </c>
      <c r="E16638" s="733"/>
    </row>
    <row r="16639" spans="2:5">
      <c r="B16639" s="121">
        <v>1398</v>
      </c>
      <c r="C16639" s="121">
        <v>9</v>
      </c>
      <c r="D16639" s="734">
        <v>145.58344387104032</v>
      </c>
      <c r="E16639" s="733"/>
    </row>
    <row r="16640" spans="2:5">
      <c r="B16640" s="121">
        <v>1398</v>
      </c>
      <c r="C16640" s="121">
        <v>10</v>
      </c>
      <c r="D16640" s="734">
        <v>139.8155443469854</v>
      </c>
      <c r="E16640" s="733"/>
    </row>
    <row r="16641" spans="2:5">
      <c r="B16641" s="121">
        <v>1398</v>
      </c>
      <c r="C16641" s="121">
        <v>11</v>
      </c>
      <c r="D16641" s="734">
        <v>136.30297788862981</v>
      </c>
      <c r="E16641" s="733"/>
    </row>
    <row r="16642" spans="2:5">
      <c r="B16642" s="121">
        <v>1398</v>
      </c>
      <c r="C16642" s="121">
        <v>12</v>
      </c>
      <c r="D16642" s="734">
        <v>142.61385608675278</v>
      </c>
      <c r="E16642" s="733"/>
    </row>
    <row r="16643" spans="2:5">
      <c r="B16643" s="121">
        <v>1398</v>
      </c>
      <c r="C16643" s="121">
        <v>13</v>
      </c>
      <c r="D16643" s="734">
        <v>145.66210175770206</v>
      </c>
      <c r="E16643" s="733"/>
    </row>
    <row r="16644" spans="2:5">
      <c r="B16644" s="121">
        <v>1398</v>
      </c>
      <c r="C16644" s="121">
        <v>14</v>
      </c>
      <c r="D16644" s="734">
        <v>140.51061878148997</v>
      </c>
      <c r="E16644" s="733"/>
    </row>
    <row r="16645" spans="2:5">
      <c r="B16645" s="121">
        <v>1398</v>
      </c>
      <c r="C16645" s="121">
        <v>15</v>
      </c>
      <c r="D16645" s="734">
        <v>143.07014059045662</v>
      </c>
      <c r="E16645" s="733"/>
    </row>
    <row r="16646" spans="2:5">
      <c r="B16646" s="121">
        <v>1398</v>
      </c>
      <c r="C16646" s="121">
        <v>16</v>
      </c>
      <c r="D16646" s="734">
        <v>138.61200913569607</v>
      </c>
      <c r="E16646" s="733"/>
    </row>
    <row r="16647" spans="2:5">
      <c r="B16647" s="121">
        <v>1398</v>
      </c>
      <c r="C16647" s="121">
        <v>17</v>
      </c>
      <c r="D16647" s="734">
        <v>139.34893940841559</v>
      </c>
      <c r="E16647" s="733"/>
    </row>
    <row r="16648" spans="2:5">
      <c r="B16648" s="121">
        <v>1398</v>
      </c>
      <c r="C16648" s="121">
        <v>18</v>
      </c>
      <c r="D16648" s="734">
        <v>134.16602407905967</v>
      </c>
      <c r="E16648" s="733"/>
    </row>
    <row r="16649" spans="2:5">
      <c r="B16649" s="121">
        <v>1398</v>
      </c>
      <c r="C16649" s="121">
        <v>19</v>
      </c>
      <c r="D16649" s="734">
        <v>134.03032420478959</v>
      </c>
      <c r="E16649" s="733"/>
    </row>
    <row r="16650" spans="2:5">
      <c r="B16650" s="121">
        <v>1398</v>
      </c>
      <c r="C16650" s="121">
        <v>20</v>
      </c>
      <c r="D16650" s="734">
        <v>146.79220739059056</v>
      </c>
      <c r="E16650" s="733"/>
    </row>
    <row r="16651" spans="2:5">
      <c r="B16651" s="121">
        <v>1398</v>
      </c>
      <c r="C16651" s="121">
        <v>21</v>
      </c>
      <c r="D16651" s="734">
        <v>143.77245676617355</v>
      </c>
      <c r="E16651" s="733"/>
    </row>
    <row r="16652" spans="2:5">
      <c r="B16652" s="121">
        <v>1398</v>
      </c>
      <c r="C16652" s="121">
        <v>22</v>
      </c>
      <c r="D16652" s="734">
        <v>134.61240423510625</v>
      </c>
      <c r="E16652" s="733"/>
    </row>
    <row r="16653" spans="2:5">
      <c r="B16653" s="121">
        <v>1398</v>
      </c>
      <c r="C16653" s="121">
        <v>23</v>
      </c>
      <c r="D16653" s="734">
        <v>142.89111563317707</v>
      </c>
      <c r="E16653" s="733"/>
    </row>
    <row r="16654" spans="2:5">
      <c r="B16654" s="121">
        <v>1398</v>
      </c>
      <c r="C16654" s="121">
        <v>24</v>
      </c>
      <c r="D16654" s="734">
        <v>142.43367642563365</v>
      </c>
      <c r="E16654" s="733"/>
    </row>
    <row r="16655" spans="2:5">
      <c r="B16655" s="121">
        <v>1398</v>
      </c>
      <c r="C16655" s="121">
        <v>25</v>
      </c>
      <c r="D16655" s="734">
        <v>134.20793415913596</v>
      </c>
      <c r="E16655" s="733"/>
    </row>
    <row r="16656" spans="2:5">
      <c r="B16656" s="121">
        <v>1398</v>
      </c>
      <c r="C16656" s="121">
        <v>26</v>
      </c>
      <c r="D16656" s="734">
        <v>139.48409096920207</v>
      </c>
      <c r="E16656" s="733"/>
    </row>
    <row r="16657" spans="2:5">
      <c r="B16657" s="121">
        <v>1398</v>
      </c>
      <c r="C16657" s="121">
        <v>27</v>
      </c>
      <c r="D16657" s="734">
        <v>140.28443261636204</v>
      </c>
      <c r="E16657" s="733"/>
    </row>
    <row r="16658" spans="2:5">
      <c r="B16658" s="121">
        <v>1398</v>
      </c>
      <c r="C16658" s="121">
        <v>28</v>
      </c>
      <c r="D16658" s="734">
        <v>142.46342446505963</v>
      </c>
      <c r="E16658" s="733"/>
    </row>
    <row r="16659" spans="2:5">
      <c r="B16659" s="121">
        <v>1399</v>
      </c>
      <c r="C16659" s="121">
        <v>1</v>
      </c>
      <c r="D16659" s="734">
        <v>5</v>
      </c>
      <c r="E16659" s="733"/>
    </row>
    <row r="16660" spans="2:5">
      <c r="B16660" s="121">
        <v>1399</v>
      </c>
      <c r="C16660" s="121">
        <v>2</v>
      </c>
      <c r="D16660" s="734">
        <v>103.49803388327543</v>
      </c>
      <c r="E16660" s="733"/>
    </row>
    <row r="16661" spans="2:5">
      <c r="B16661" s="121">
        <v>1399</v>
      </c>
      <c r="C16661" s="121">
        <v>3</v>
      </c>
      <c r="D16661" s="734">
        <v>115.84106189120719</v>
      </c>
      <c r="E16661" s="733"/>
    </row>
    <row r="16662" spans="2:5">
      <c r="B16662" s="121">
        <v>1399</v>
      </c>
      <c r="C16662" s="121">
        <v>4</v>
      </c>
      <c r="D16662" s="734">
        <v>135.81560232218121</v>
      </c>
      <c r="E16662" s="733"/>
    </row>
    <row r="16663" spans="2:5">
      <c r="B16663" s="121">
        <v>1399</v>
      </c>
      <c r="C16663" s="121">
        <v>5</v>
      </c>
      <c r="D16663" s="734">
        <v>138.3624743567145</v>
      </c>
      <c r="E16663" s="733"/>
    </row>
    <row r="16664" spans="2:5">
      <c r="B16664" s="121">
        <v>1399</v>
      </c>
      <c r="C16664" s="121">
        <v>6</v>
      </c>
      <c r="D16664" s="734">
        <v>136.34990584791052</v>
      </c>
      <c r="E16664" s="733"/>
    </row>
    <row r="16665" spans="2:5">
      <c r="B16665" s="121">
        <v>1399</v>
      </c>
      <c r="C16665" s="121">
        <v>7</v>
      </c>
      <c r="D16665" s="734">
        <v>140.56397608793827</v>
      </c>
      <c r="E16665" s="733"/>
    </row>
    <row r="16666" spans="2:5">
      <c r="B16666" s="121">
        <v>1399</v>
      </c>
      <c r="C16666" s="121">
        <v>8</v>
      </c>
      <c r="D16666" s="734">
        <v>146.50966205476331</v>
      </c>
      <c r="E16666" s="733"/>
    </row>
    <row r="16667" spans="2:5">
      <c r="B16667" s="121">
        <v>1399</v>
      </c>
      <c r="C16667" s="121">
        <v>9</v>
      </c>
      <c r="D16667" s="734">
        <v>144.90298449687674</v>
      </c>
      <c r="E16667" s="733"/>
    </row>
    <row r="16668" spans="2:5">
      <c r="B16668" s="121">
        <v>1399</v>
      </c>
      <c r="C16668" s="121">
        <v>10</v>
      </c>
      <c r="D16668" s="734">
        <v>135.73629076970408</v>
      </c>
      <c r="E16668" s="733"/>
    </row>
    <row r="16669" spans="2:5">
      <c r="B16669" s="121">
        <v>1399</v>
      </c>
      <c r="C16669" s="121">
        <v>11</v>
      </c>
      <c r="D16669" s="734">
        <v>134.45636598785498</v>
      </c>
      <c r="E16669" s="733"/>
    </row>
    <row r="16670" spans="2:5">
      <c r="B16670" s="121">
        <v>1399</v>
      </c>
      <c r="C16670" s="121">
        <v>12</v>
      </c>
      <c r="D16670" s="734">
        <v>144.00881032451338</v>
      </c>
      <c r="E16670" s="733"/>
    </row>
    <row r="16671" spans="2:5">
      <c r="B16671" s="121">
        <v>1399</v>
      </c>
      <c r="C16671" s="121">
        <v>13</v>
      </c>
      <c r="D16671" s="734">
        <v>139.43097824675493</v>
      </c>
      <c r="E16671" s="733"/>
    </row>
    <row r="16672" spans="2:5">
      <c r="B16672" s="121">
        <v>1399</v>
      </c>
      <c r="C16672" s="121">
        <v>14</v>
      </c>
      <c r="D16672" s="734">
        <v>144.69592251648257</v>
      </c>
      <c r="E16672" s="733"/>
    </row>
    <row r="16673" spans="2:5">
      <c r="B16673" s="121">
        <v>1400</v>
      </c>
      <c r="C16673" s="121">
        <v>1</v>
      </c>
      <c r="D16673" s="734">
        <v>5</v>
      </c>
      <c r="E16673" s="733"/>
    </row>
    <row r="16674" spans="2:5">
      <c r="B16674" s="121">
        <v>1401</v>
      </c>
      <c r="C16674" s="121">
        <v>1</v>
      </c>
      <c r="D16674" s="734">
        <v>5</v>
      </c>
      <c r="E16674" s="733"/>
    </row>
    <row r="16675" spans="2:5">
      <c r="B16675" s="121">
        <v>1401</v>
      </c>
      <c r="C16675" s="121">
        <v>2</v>
      </c>
      <c r="D16675" s="734">
        <v>102.61389707162192</v>
      </c>
      <c r="E16675" s="733"/>
    </row>
    <row r="16676" spans="2:5">
      <c r="B16676" s="121">
        <v>1401</v>
      </c>
      <c r="C16676" s="121">
        <v>3</v>
      </c>
      <c r="D16676" s="734">
        <v>122.81883464865506</v>
      </c>
      <c r="E16676" s="733"/>
    </row>
    <row r="16677" spans="2:5">
      <c r="B16677" s="121">
        <v>1401</v>
      </c>
      <c r="C16677" s="121">
        <v>4</v>
      </c>
      <c r="D16677" s="734">
        <v>144.96098575446848</v>
      </c>
      <c r="E16677" s="733"/>
    </row>
    <row r="16678" spans="2:5">
      <c r="B16678" s="121">
        <v>1402</v>
      </c>
      <c r="C16678" s="121">
        <v>1</v>
      </c>
      <c r="D16678" s="734">
        <v>5</v>
      </c>
      <c r="E16678" s="733"/>
    </row>
    <row r="16679" spans="2:5">
      <c r="B16679" s="121">
        <v>1402</v>
      </c>
      <c r="C16679" s="121">
        <v>2</v>
      </c>
      <c r="D16679" s="734">
        <v>96.738674189568286</v>
      </c>
      <c r="E16679" s="733"/>
    </row>
    <row r="16680" spans="2:5">
      <c r="B16680" s="121">
        <v>1402</v>
      </c>
      <c r="C16680" s="121">
        <v>3</v>
      </c>
      <c r="D16680" s="734">
        <v>121.55921379314404</v>
      </c>
      <c r="E16680" s="733"/>
    </row>
    <row r="16681" spans="2:5">
      <c r="B16681" s="121">
        <v>1402</v>
      </c>
      <c r="C16681" s="121">
        <v>4</v>
      </c>
      <c r="D16681" s="734">
        <v>135.04144160685209</v>
      </c>
      <c r="E16681" s="733"/>
    </row>
    <row r="16682" spans="2:5">
      <c r="B16682" s="121">
        <v>1403</v>
      </c>
      <c r="C16682" s="121">
        <v>1</v>
      </c>
      <c r="D16682" s="734">
        <v>5</v>
      </c>
      <c r="E16682" s="733"/>
    </row>
    <row r="16683" spans="2:5">
      <c r="B16683" s="121">
        <v>1403</v>
      </c>
      <c r="C16683" s="121">
        <v>2</v>
      </c>
      <c r="D16683" s="734">
        <v>95.042102157628563</v>
      </c>
      <c r="E16683" s="733"/>
    </row>
    <row r="16684" spans="2:5">
      <c r="B16684" s="121">
        <v>1403</v>
      </c>
      <c r="C16684" s="121">
        <v>3</v>
      </c>
      <c r="D16684" s="734">
        <v>120.29299295660941</v>
      </c>
      <c r="E16684" s="733"/>
    </row>
    <row r="16685" spans="2:5">
      <c r="B16685" s="121">
        <v>1403</v>
      </c>
      <c r="C16685" s="121">
        <v>4</v>
      </c>
      <c r="D16685" s="734">
        <v>135.42726317620892</v>
      </c>
      <c r="E16685" s="733"/>
    </row>
    <row r="16686" spans="2:5">
      <c r="B16686" s="121">
        <v>1403</v>
      </c>
      <c r="C16686" s="121">
        <v>5</v>
      </c>
      <c r="D16686" s="734">
        <v>141.28438585515715</v>
      </c>
      <c r="E16686" s="733"/>
    </row>
    <row r="16687" spans="2:5">
      <c r="B16687" s="121">
        <v>1403</v>
      </c>
      <c r="C16687" s="121">
        <v>6</v>
      </c>
      <c r="D16687" s="734">
        <v>140.53197814002121</v>
      </c>
      <c r="E16687" s="733"/>
    </row>
    <row r="16688" spans="2:5">
      <c r="B16688" s="121">
        <v>1403</v>
      </c>
      <c r="C16688" s="121">
        <v>7</v>
      </c>
      <c r="D16688" s="734">
        <v>138.33712966660974</v>
      </c>
      <c r="E16688" s="733"/>
    </row>
    <row r="16689" spans="2:5">
      <c r="B16689" s="121">
        <v>1403</v>
      </c>
      <c r="C16689" s="121">
        <v>8</v>
      </c>
      <c r="D16689" s="734">
        <v>136.30723615343175</v>
      </c>
      <c r="E16689" s="733"/>
    </row>
    <row r="16690" spans="2:5">
      <c r="B16690" s="121">
        <v>1403</v>
      </c>
      <c r="C16690" s="121">
        <v>9</v>
      </c>
      <c r="D16690" s="734">
        <v>137.2601135576117</v>
      </c>
      <c r="E16690" s="733"/>
    </row>
    <row r="16691" spans="2:5">
      <c r="B16691" s="121">
        <v>1403</v>
      </c>
      <c r="C16691" s="121">
        <v>10</v>
      </c>
      <c r="D16691" s="734">
        <v>141.04743001777427</v>
      </c>
      <c r="E16691" s="733"/>
    </row>
    <row r="16692" spans="2:5">
      <c r="B16692" s="121">
        <v>1403</v>
      </c>
      <c r="C16692" s="121">
        <v>11</v>
      </c>
      <c r="D16692" s="734">
        <v>138.52837184238629</v>
      </c>
      <c r="E16692" s="733"/>
    </row>
    <row r="16693" spans="2:5">
      <c r="B16693" s="121">
        <v>1403</v>
      </c>
      <c r="C16693" s="121">
        <v>12</v>
      </c>
      <c r="D16693" s="734">
        <v>136.55570716555462</v>
      </c>
      <c r="E16693" s="733"/>
    </row>
    <row r="16694" spans="2:5">
      <c r="B16694" s="121">
        <v>1403</v>
      </c>
      <c r="C16694" s="121">
        <v>13</v>
      </c>
      <c r="D16694" s="734">
        <v>146.49272274889694</v>
      </c>
      <c r="E16694" s="733"/>
    </row>
    <row r="16695" spans="2:5">
      <c r="B16695" s="121">
        <v>1403</v>
      </c>
      <c r="C16695" s="121">
        <v>14</v>
      </c>
      <c r="D16695" s="734">
        <v>147.24263837814553</v>
      </c>
      <c r="E16695" s="733"/>
    </row>
    <row r="16696" spans="2:5">
      <c r="B16696" s="121">
        <v>1403</v>
      </c>
      <c r="C16696" s="121">
        <v>15</v>
      </c>
      <c r="D16696" s="734">
        <v>136.81746314204543</v>
      </c>
      <c r="E16696" s="733"/>
    </row>
    <row r="16697" spans="2:5">
      <c r="B16697" s="121">
        <v>1403</v>
      </c>
      <c r="C16697" s="121">
        <v>16</v>
      </c>
      <c r="D16697" s="734">
        <v>139.85674609464277</v>
      </c>
      <c r="E16697" s="733"/>
    </row>
    <row r="16698" spans="2:5">
      <c r="B16698" s="121">
        <v>1403</v>
      </c>
      <c r="C16698" s="121">
        <v>17</v>
      </c>
      <c r="D16698" s="734">
        <v>142.56567953034161</v>
      </c>
      <c r="E16698" s="733"/>
    </row>
    <row r="16699" spans="2:5">
      <c r="B16699" s="121">
        <v>1403</v>
      </c>
      <c r="C16699" s="121">
        <v>18</v>
      </c>
      <c r="D16699" s="734">
        <v>137.2090141022054</v>
      </c>
      <c r="E16699" s="733"/>
    </row>
    <row r="16700" spans="2:5">
      <c r="B16700" s="121">
        <v>1403</v>
      </c>
      <c r="C16700" s="121">
        <v>19</v>
      </c>
      <c r="D16700" s="734">
        <v>141.19874912831526</v>
      </c>
      <c r="E16700" s="733"/>
    </row>
    <row r="16701" spans="2:5">
      <c r="B16701" s="121">
        <v>1403</v>
      </c>
      <c r="C16701" s="121">
        <v>20</v>
      </c>
      <c r="D16701" s="734">
        <v>137.33542235686411</v>
      </c>
      <c r="E16701" s="733"/>
    </row>
    <row r="16702" spans="2:5">
      <c r="B16702" s="121">
        <v>1403</v>
      </c>
      <c r="C16702" s="121">
        <v>21</v>
      </c>
      <c r="D16702" s="734">
        <v>137.32261491250208</v>
      </c>
      <c r="E16702" s="733"/>
    </row>
    <row r="16703" spans="2:5">
      <c r="B16703" s="121">
        <v>1403</v>
      </c>
      <c r="C16703" s="121">
        <v>22</v>
      </c>
      <c r="D16703" s="734">
        <v>136.49503514148719</v>
      </c>
      <c r="E16703" s="733"/>
    </row>
    <row r="16704" spans="2:5">
      <c r="B16704" s="121">
        <v>1403</v>
      </c>
      <c r="C16704" s="121">
        <v>23</v>
      </c>
      <c r="D16704" s="734">
        <v>139.54792801258287</v>
      </c>
      <c r="E16704" s="733"/>
    </row>
    <row r="16705" spans="2:5">
      <c r="B16705" s="121">
        <v>1403</v>
      </c>
      <c r="C16705" s="121">
        <v>24</v>
      </c>
      <c r="D16705" s="734">
        <v>145.76703260458399</v>
      </c>
      <c r="E16705" s="733"/>
    </row>
    <row r="16706" spans="2:5">
      <c r="B16706" s="121">
        <v>1403</v>
      </c>
      <c r="C16706" s="121">
        <v>25</v>
      </c>
      <c r="D16706" s="734">
        <v>142.72360380684032</v>
      </c>
      <c r="E16706" s="733"/>
    </row>
    <row r="16707" spans="2:5">
      <c r="B16707" s="121">
        <v>1403</v>
      </c>
      <c r="C16707" s="121">
        <v>26</v>
      </c>
      <c r="D16707" s="734">
        <v>142.51051048849448</v>
      </c>
      <c r="E16707" s="733"/>
    </row>
    <row r="16708" spans="2:5">
      <c r="B16708" s="121">
        <v>1403</v>
      </c>
      <c r="C16708" s="121">
        <v>27</v>
      </c>
      <c r="D16708" s="734">
        <v>142.72339983712831</v>
      </c>
      <c r="E16708" s="733"/>
    </row>
    <row r="16709" spans="2:5">
      <c r="B16709" s="121">
        <v>1403</v>
      </c>
      <c r="C16709" s="121">
        <v>28</v>
      </c>
      <c r="D16709" s="734">
        <v>143.73560076554057</v>
      </c>
      <c r="E16709" s="733"/>
    </row>
    <row r="16710" spans="2:5">
      <c r="B16710" s="121">
        <v>1403</v>
      </c>
      <c r="C16710" s="121">
        <v>29</v>
      </c>
      <c r="D16710" s="734">
        <v>135.30345903933753</v>
      </c>
      <c r="E16710" s="733"/>
    </row>
    <row r="16711" spans="2:5">
      <c r="B16711" s="121">
        <v>1403</v>
      </c>
      <c r="C16711" s="121">
        <v>30</v>
      </c>
      <c r="D16711" s="734">
        <v>143.87424862470377</v>
      </c>
      <c r="E16711" s="733"/>
    </row>
    <row r="16712" spans="2:5">
      <c r="B16712" s="121">
        <v>1403</v>
      </c>
      <c r="C16712" s="121">
        <v>31</v>
      </c>
      <c r="D16712" s="734">
        <v>138.48317377757434</v>
      </c>
      <c r="E16712" s="733"/>
    </row>
    <row r="16713" spans="2:5">
      <c r="B16713" s="121">
        <v>1403</v>
      </c>
      <c r="C16713" s="121">
        <v>32</v>
      </c>
      <c r="D16713" s="734">
        <v>140.25072651584108</v>
      </c>
      <c r="E16713" s="733"/>
    </row>
    <row r="16714" spans="2:5">
      <c r="B16714" s="121">
        <v>1403</v>
      </c>
      <c r="C16714" s="121">
        <v>33</v>
      </c>
      <c r="D16714" s="734">
        <v>145.53234463588441</v>
      </c>
      <c r="E16714" s="733"/>
    </row>
    <row r="16715" spans="2:5">
      <c r="B16715" s="121">
        <v>1403</v>
      </c>
      <c r="C16715" s="121">
        <v>34</v>
      </c>
      <c r="D16715" s="734">
        <v>146.78398652484611</v>
      </c>
      <c r="E16715" s="733"/>
    </row>
    <row r="16716" spans="2:5">
      <c r="B16716" s="121">
        <v>1403</v>
      </c>
      <c r="C16716" s="121">
        <v>35</v>
      </c>
      <c r="D16716" s="734">
        <v>134.55014599942697</v>
      </c>
      <c r="E16716" s="733"/>
    </row>
    <row r="16717" spans="2:5">
      <c r="B16717" s="121">
        <v>1403</v>
      </c>
      <c r="C16717" s="121">
        <v>36</v>
      </c>
      <c r="D16717" s="734">
        <v>139.3332308116259</v>
      </c>
      <c r="E16717" s="733"/>
    </row>
    <row r="16718" spans="2:5">
      <c r="B16718" s="121">
        <v>1404</v>
      </c>
      <c r="C16718" s="121">
        <v>1</v>
      </c>
      <c r="D16718" s="734">
        <v>5</v>
      </c>
      <c r="E16718" s="733"/>
    </row>
    <row r="16719" spans="2:5">
      <c r="B16719" s="121">
        <v>1404</v>
      </c>
      <c r="C16719" s="121">
        <v>2</v>
      </c>
      <c r="D16719" s="734">
        <v>98.523374809124761</v>
      </c>
      <c r="E16719" s="733"/>
    </row>
    <row r="16720" spans="2:5">
      <c r="B16720" s="121">
        <v>1404</v>
      </c>
      <c r="C16720" s="121">
        <v>3</v>
      </c>
      <c r="D16720" s="734">
        <v>122.11567486099966</v>
      </c>
      <c r="E16720" s="733"/>
    </row>
    <row r="16721" spans="2:5">
      <c r="B16721" s="121">
        <v>1404</v>
      </c>
      <c r="C16721" s="121">
        <v>4</v>
      </c>
      <c r="D16721" s="734">
        <v>134.28381879333341</v>
      </c>
      <c r="E16721" s="733"/>
    </row>
    <row r="16722" spans="2:5">
      <c r="B16722" s="121">
        <v>1404</v>
      </c>
      <c r="C16722" s="121">
        <v>5</v>
      </c>
      <c r="D16722" s="734">
        <v>138.74103720670152</v>
      </c>
      <c r="E16722" s="733"/>
    </row>
    <row r="16723" spans="2:5">
      <c r="B16723" s="121">
        <v>1404</v>
      </c>
      <c r="C16723" s="121">
        <v>6</v>
      </c>
      <c r="D16723" s="734">
        <v>140.88680609402195</v>
      </c>
      <c r="E16723" s="733"/>
    </row>
    <row r="16724" spans="2:5">
      <c r="B16724" s="121">
        <v>1404</v>
      </c>
      <c r="C16724" s="121">
        <v>7</v>
      </c>
      <c r="D16724" s="734">
        <v>145.9917312425317</v>
      </c>
      <c r="E16724" s="733"/>
    </row>
    <row r="16725" spans="2:5">
      <c r="B16725" s="121">
        <v>1404</v>
      </c>
      <c r="C16725" s="121">
        <v>8</v>
      </c>
      <c r="D16725" s="734">
        <v>135.86650282007963</v>
      </c>
      <c r="E16725" s="733"/>
    </row>
    <row r="16726" spans="2:5">
      <c r="B16726" s="121">
        <v>1404</v>
      </c>
      <c r="C16726" s="121">
        <v>9</v>
      </c>
      <c r="D16726" s="734">
        <v>136.96776887085232</v>
      </c>
      <c r="E16726" s="733"/>
    </row>
    <row r="16727" spans="2:5">
      <c r="B16727" s="121">
        <v>1404</v>
      </c>
      <c r="C16727" s="121">
        <v>10</v>
      </c>
      <c r="D16727" s="734">
        <v>142.54090708694531</v>
      </c>
      <c r="E16727" s="733"/>
    </row>
    <row r="16728" spans="2:5">
      <c r="B16728" s="121">
        <v>1404</v>
      </c>
      <c r="C16728" s="121">
        <v>11</v>
      </c>
      <c r="D16728" s="734">
        <v>139.80764369218247</v>
      </c>
      <c r="E16728" s="733"/>
    </row>
    <row r="16729" spans="2:5">
      <c r="B16729" s="121">
        <v>1404</v>
      </c>
      <c r="C16729" s="121">
        <v>12</v>
      </c>
      <c r="D16729" s="734">
        <v>137.36872959087418</v>
      </c>
      <c r="E16729" s="733"/>
    </row>
    <row r="16730" spans="2:5">
      <c r="B16730" s="121">
        <v>1404</v>
      </c>
      <c r="C16730" s="121">
        <v>13</v>
      </c>
      <c r="D16730" s="734">
        <v>139.73758987815856</v>
      </c>
      <c r="E16730" s="733"/>
    </row>
    <row r="16731" spans="2:5">
      <c r="B16731" s="121">
        <v>1404</v>
      </c>
      <c r="C16731" s="121">
        <v>14</v>
      </c>
      <c r="D16731" s="734">
        <v>137.87319526233972</v>
      </c>
      <c r="E16731" s="733"/>
    </row>
    <row r="16732" spans="2:5">
      <c r="B16732" s="121">
        <v>1404</v>
      </c>
      <c r="C16732" s="121">
        <v>15</v>
      </c>
      <c r="D16732" s="734">
        <v>140.97503368522723</v>
      </c>
      <c r="E16732" s="733"/>
    </row>
    <row r="16733" spans="2:5">
      <c r="B16733" s="121">
        <v>1404</v>
      </c>
      <c r="C16733" s="121">
        <v>16</v>
      </c>
      <c r="D16733" s="734">
        <v>134.84047759162769</v>
      </c>
      <c r="E16733" s="733"/>
    </row>
    <row r="16734" spans="2:5">
      <c r="B16734" s="121">
        <v>1404</v>
      </c>
      <c r="C16734" s="121">
        <v>17</v>
      </c>
      <c r="D16734" s="734">
        <v>142.68237102991375</v>
      </c>
      <c r="E16734" s="733"/>
    </row>
    <row r="16735" spans="2:5">
      <c r="B16735" s="121">
        <v>1404</v>
      </c>
      <c r="C16735" s="121">
        <v>18</v>
      </c>
      <c r="D16735" s="734">
        <v>139.91320811372282</v>
      </c>
      <c r="E16735" s="733"/>
    </row>
    <row r="16736" spans="2:5">
      <c r="B16736" s="121">
        <v>1404</v>
      </c>
      <c r="C16736" s="121">
        <v>19</v>
      </c>
      <c r="D16736" s="734">
        <v>138.32958651910792</v>
      </c>
      <c r="E16736" s="733"/>
    </row>
    <row r="16737" spans="2:5">
      <c r="B16737" s="121">
        <v>1404</v>
      </c>
      <c r="C16737" s="121">
        <v>20</v>
      </c>
      <c r="D16737" s="734">
        <v>136.04769899732213</v>
      </c>
      <c r="E16737" s="733"/>
    </row>
    <row r="16738" spans="2:5">
      <c r="B16738" s="121">
        <v>1404</v>
      </c>
      <c r="C16738" s="121">
        <v>21</v>
      </c>
      <c r="D16738" s="734">
        <v>141.55841400003146</v>
      </c>
      <c r="E16738" s="733"/>
    </row>
    <row r="16739" spans="2:5">
      <c r="B16739" s="121">
        <v>1404</v>
      </c>
      <c r="C16739" s="121">
        <v>22</v>
      </c>
      <c r="D16739" s="734">
        <v>144.41276805933532</v>
      </c>
      <c r="E16739" s="733"/>
    </row>
    <row r="16740" spans="2:5">
      <c r="B16740" s="121">
        <v>1404</v>
      </c>
      <c r="C16740" s="121">
        <v>23</v>
      </c>
      <c r="D16740" s="734">
        <v>136.39864053633661</v>
      </c>
      <c r="E16740" s="733"/>
    </row>
    <row r="16741" spans="2:5">
      <c r="B16741" s="121">
        <v>1404</v>
      </c>
      <c r="C16741" s="121">
        <v>24</v>
      </c>
      <c r="D16741" s="734">
        <v>134.70268821959294</v>
      </c>
      <c r="E16741" s="733"/>
    </row>
    <row r="16742" spans="2:5">
      <c r="B16742" s="121">
        <v>1404</v>
      </c>
      <c r="C16742" s="121">
        <v>25</v>
      </c>
      <c r="D16742" s="734">
        <v>137.6696643678975</v>
      </c>
      <c r="E16742" s="733"/>
    </row>
    <row r="16743" spans="2:5">
      <c r="B16743" s="121">
        <v>1404</v>
      </c>
      <c r="C16743" s="121">
        <v>26</v>
      </c>
      <c r="D16743" s="734">
        <v>142.82000686997856</v>
      </c>
      <c r="E16743" s="733"/>
    </row>
    <row r="16744" spans="2:5">
      <c r="B16744" s="121">
        <v>1404</v>
      </c>
      <c r="C16744" s="121">
        <v>27</v>
      </c>
      <c r="D16744" s="734">
        <v>135.46625050504329</v>
      </c>
      <c r="E16744" s="733"/>
    </row>
    <row r="16745" spans="2:5">
      <c r="B16745" s="121">
        <v>1404</v>
      </c>
      <c r="C16745" s="121">
        <v>28</v>
      </c>
      <c r="D16745" s="734">
        <v>144.45089968336057</v>
      </c>
      <c r="E16745" s="733"/>
    </row>
    <row r="16746" spans="2:5">
      <c r="B16746" s="121">
        <v>1404</v>
      </c>
      <c r="C16746" s="121">
        <v>29</v>
      </c>
      <c r="D16746" s="734">
        <v>135.31587057803856</v>
      </c>
      <c r="E16746" s="733"/>
    </row>
    <row r="16747" spans="2:5">
      <c r="B16747" s="121">
        <v>1404</v>
      </c>
      <c r="C16747" s="121">
        <v>30</v>
      </c>
      <c r="D16747" s="734">
        <v>137.1813457054447</v>
      </c>
      <c r="E16747" s="733"/>
    </row>
    <row r="16748" spans="2:5">
      <c r="B16748" s="121">
        <v>1404</v>
      </c>
      <c r="C16748" s="121">
        <v>31</v>
      </c>
      <c r="D16748" s="734">
        <v>146.03738738357393</v>
      </c>
      <c r="E16748" s="733"/>
    </row>
    <row r="16749" spans="2:5">
      <c r="B16749" s="121">
        <v>1404</v>
      </c>
      <c r="C16749" s="121">
        <v>32</v>
      </c>
      <c r="D16749" s="734">
        <v>135.91421289969119</v>
      </c>
      <c r="E16749" s="733"/>
    </row>
    <row r="16750" spans="2:5">
      <c r="B16750" s="121">
        <v>1404</v>
      </c>
      <c r="C16750" s="121">
        <v>33</v>
      </c>
      <c r="D16750" s="734">
        <v>134.75067027424495</v>
      </c>
      <c r="E16750" s="733"/>
    </row>
    <row r="16751" spans="2:5">
      <c r="B16751" s="121">
        <v>1404</v>
      </c>
      <c r="C16751" s="121">
        <v>34</v>
      </c>
      <c r="D16751" s="734">
        <v>135.71362301845474</v>
      </c>
      <c r="E16751" s="733"/>
    </row>
    <row r="16752" spans="2:5">
      <c r="B16752" s="121">
        <v>1404</v>
      </c>
      <c r="C16752" s="121">
        <v>35</v>
      </c>
      <c r="D16752" s="734">
        <v>135.90530469152282</v>
      </c>
      <c r="E16752" s="733"/>
    </row>
    <row r="16753" spans="2:5">
      <c r="B16753" s="121">
        <v>1404</v>
      </c>
      <c r="C16753" s="121">
        <v>36</v>
      </c>
      <c r="D16753" s="734">
        <v>141.24628354751562</v>
      </c>
      <c r="E16753" s="733"/>
    </row>
    <row r="16754" spans="2:5">
      <c r="B16754" s="121">
        <v>1405</v>
      </c>
      <c r="C16754" s="121">
        <v>1</v>
      </c>
      <c r="D16754" s="734">
        <v>5</v>
      </c>
      <c r="E16754" s="733"/>
    </row>
    <row r="16755" spans="2:5">
      <c r="B16755" s="121">
        <v>1405</v>
      </c>
      <c r="C16755" s="121">
        <v>2</v>
      </c>
      <c r="D16755" s="734">
        <v>96.790385013291512</v>
      </c>
      <c r="E16755" s="733"/>
    </row>
    <row r="16756" spans="2:5">
      <c r="B16756" s="121">
        <v>1406</v>
      </c>
      <c r="C16756" s="121">
        <v>1</v>
      </c>
      <c r="D16756" s="734">
        <v>5</v>
      </c>
      <c r="E16756" s="733"/>
    </row>
    <row r="16757" spans="2:5">
      <c r="B16757" s="121">
        <v>1406</v>
      </c>
      <c r="C16757" s="121">
        <v>2</v>
      </c>
      <c r="D16757" s="734">
        <v>99.955046957809117</v>
      </c>
      <c r="E16757" s="733"/>
    </row>
    <row r="16758" spans="2:5">
      <c r="B16758" s="121">
        <v>1406</v>
      </c>
      <c r="C16758" s="121">
        <v>3</v>
      </c>
      <c r="D16758" s="734">
        <v>125.29426942497483</v>
      </c>
      <c r="E16758" s="733"/>
    </row>
    <row r="16759" spans="2:5">
      <c r="B16759" s="121">
        <v>1406</v>
      </c>
      <c r="C16759" s="121">
        <v>4</v>
      </c>
      <c r="D16759" s="734">
        <v>134.3844109850333</v>
      </c>
      <c r="E16759" s="733"/>
    </row>
    <row r="16760" spans="2:5">
      <c r="B16760" s="121">
        <v>1406</v>
      </c>
      <c r="C16760" s="121">
        <v>5</v>
      </c>
      <c r="D16760" s="734">
        <v>136.6375906583454</v>
      </c>
      <c r="E16760" s="733"/>
    </row>
    <row r="16761" spans="2:5">
      <c r="B16761" s="121">
        <v>1406</v>
      </c>
      <c r="C16761" s="121">
        <v>6</v>
      </c>
      <c r="D16761" s="734">
        <v>140.88043850792332</v>
      </c>
      <c r="E16761" s="733"/>
    </row>
    <row r="16762" spans="2:5">
      <c r="B16762" s="121">
        <v>1406</v>
      </c>
      <c r="C16762" s="121">
        <v>7</v>
      </c>
      <c r="D16762" s="734">
        <v>143.76121137961252</v>
      </c>
      <c r="E16762" s="733"/>
    </row>
    <row r="16763" spans="2:5">
      <c r="B16763" s="121">
        <v>1406</v>
      </c>
      <c r="C16763" s="121">
        <v>8</v>
      </c>
      <c r="D16763" s="734">
        <v>144.082847019696</v>
      </c>
      <c r="E16763" s="733"/>
    </row>
    <row r="16764" spans="2:5">
      <c r="B16764" s="121">
        <v>1407</v>
      </c>
      <c r="C16764" s="121">
        <v>1</v>
      </c>
      <c r="D16764" s="734">
        <v>5</v>
      </c>
      <c r="E16764" s="733"/>
    </row>
    <row r="16765" spans="2:5">
      <c r="B16765" s="121">
        <v>1407</v>
      </c>
      <c r="C16765" s="121">
        <v>2</v>
      </c>
      <c r="D16765" s="734">
        <v>94.782809673259749</v>
      </c>
      <c r="E16765" s="733"/>
    </row>
    <row r="16766" spans="2:5">
      <c r="B16766" s="121">
        <v>1407</v>
      </c>
      <c r="C16766" s="121">
        <v>3</v>
      </c>
      <c r="D16766" s="734">
        <v>124.45689592564487</v>
      </c>
      <c r="E16766" s="733"/>
    </row>
    <row r="16767" spans="2:5">
      <c r="B16767" s="121">
        <v>1407</v>
      </c>
      <c r="C16767" s="121">
        <v>4</v>
      </c>
      <c r="D16767" s="734">
        <v>147.27058726365735</v>
      </c>
      <c r="E16767" s="733"/>
    </row>
    <row r="16768" spans="2:5">
      <c r="B16768" s="121">
        <v>1407</v>
      </c>
      <c r="C16768" s="121">
        <v>5</v>
      </c>
      <c r="D16768" s="734">
        <v>134.02837187852271</v>
      </c>
      <c r="E16768" s="733"/>
    </row>
    <row r="16769" spans="2:5">
      <c r="B16769" s="121">
        <v>1407</v>
      </c>
      <c r="C16769" s="121">
        <v>6</v>
      </c>
      <c r="D16769" s="734">
        <v>137.68513408665385</v>
      </c>
      <c r="E16769" s="733"/>
    </row>
    <row r="16770" spans="2:5">
      <c r="B16770" s="121">
        <v>1407</v>
      </c>
      <c r="C16770" s="121">
        <v>7</v>
      </c>
      <c r="D16770" s="734">
        <v>142.75093562534499</v>
      </c>
      <c r="E16770" s="733"/>
    </row>
    <row r="16771" spans="2:5">
      <c r="B16771" s="121">
        <v>1407</v>
      </c>
      <c r="C16771" s="121">
        <v>8</v>
      </c>
      <c r="D16771" s="734">
        <v>138.95859956959842</v>
      </c>
      <c r="E16771" s="733"/>
    </row>
    <row r="16772" spans="2:5">
      <c r="B16772" s="121">
        <v>1407</v>
      </c>
      <c r="C16772" s="121">
        <v>9</v>
      </c>
      <c r="D16772" s="734">
        <v>140.43452590784284</v>
      </c>
      <c r="E16772" s="733"/>
    </row>
    <row r="16773" spans="2:5">
      <c r="B16773" s="121">
        <v>1407</v>
      </c>
      <c r="C16773" s="121">
        <v>10</v>
      </c>
      <c r="D16773" s="734">
        <v>138.65942522678793</v>
      </c>
      <c r="E16773" s="733"/>
    </row>
    <row r="16774" spans="2:5">
      <c r="B16774" s="121">
        <v>1407</v>
      </c>
      <c r="C16774" s="121">
        <v>11</v>
      </c>
      <c r="D16774" s="734">
        <v>135.16760405422798</v>
      </c>
      <c r="E16774" s="733"/>
    </row>
    <row r="16775" spans="2:5">
      <c r="B16775" s="121">
        <v>1407</v>
      </c>
      <c r="C16775" s="121">
        <v>12</v>
      </c>
      <c r="D16775" s="734">
        <v>145.76696248280626</v>
      </c>
      <c r="E16775" s="733"/>
    </row>
    <row r="16776" spans="2:5">
      <c r="B16776" s="121">
        <v>1407</v>
      </c>
      <c r="C16776" s="121">
        <v>13</v>
      </c>
      <c r="D16776" s="734">
        <v>139.75354454093326</v>
      </c>
      <c r="E16776" s="733"/>
    </row>
    <row r="16777" spans="2:5">
      <c r="B16777" s="121">
        <v>1407</v>
      </c>
      <c r="C16777" s="121">
        <v>14</v>
      </c>
      <c r="D16777" s="734">
        <v>136.36120065390116</v>
      </c>
      <c r="E16777" s="733"/>
    </row>
    <row r="16778" spans="2:5">
      <c r="B16778" s="121">
        <v>1408</v>
      </c>
      <c r="C16778" s="121">
        <v>1</v>
      </c>
      <c r="D16778" s="734">
        <v>5</v>
      </c>
      <c r="E16778" s="733"/>
    </row>
    <row r="16779" spans="2:5">
      <c r="B16779" s="121">
        <v>1409</v>
      </c>
      <c r="C16779" s="121">
        <v>1</v>
      </c>
      <c r="D16779" s="734">
        <v>5</v>
      </c>
      <c r="E16779" s="733"/>
    </row>
    <row r="16780" spans="2:5">
      <c r="B16780" s="121">
        <v>1409</v>
      </c>
      <c r="C16780" s="121">
        <v>2</v>
      </c>
      <c r="D16780" s="734">
        <v>97.14899519167021</v>
      </c>
      <c r="E16780" s="733"/>
    </row>
    <row r="16781" spans="2:5">
      <c r="B16781" s="121">
        <v>1409</v>
      </c>
      <c r="C16781" s="121">
        <v>3</v>
      </c>
      <c r="D16781" s="734">
        <v>122.21040936711537</v>
      </c>
      <c r="E16781" s="733"/>
    </row>
    <row r="16782" spans="2:5">
      <c r="B16782" s="121">
        <v>1409</v>
      </c>
      <c r="C16782" s="121">
        <v>4</v>
      </c>
      <c r="D16782" s="734">
        <v>137.75737706550751</v>
      </c>
      <c r="E16782" s="733"/>
    </row>
    <row r="16783" spans="2:5">
      <c r="B16783" s="121">
        <v>1409</v>
      </c>
      <c r="C16783" s="121">
        <v>5</v>
      </c>
      <c r="D16783" s="734">
        <v>135.76713944191837</v>
      </c>
      <c r="E16783" s="733"/>
    </row>
    <row r="16784" spans="2:5">
      <c r="B16784" s="121">
        <v>1409</v>
      </c>
      <c r="C16784" s="121">
        <v>6</v>
      </c>
      <c r="D16784" s="734">
        <v>135.93020533852604</v>
      </c>
      <c r="E16784" s="733"/>
    </row>
    <row r="16785" spans="2:5">
      <c r="B16785" s="121">
        <v>1409</v>
      </c>
      <c r="C16785" s="121">
        <v>7</v>
      </c>
      <c r="D16785" s="734">
        <v>139.44216272477601</v>
      </c>
      <c r="E16785" s="733"/>
    </row>
    <row r="16786" spans="2:5">
      <c r="B16786" s="121">
        <v>1409</v>
      </c>
      <c r="C16786" s="121">
        <v>8</v>
      </c>
      <c r="D16786" s="734">
        <v>137.56428873054662</v>
      </c>
      <c r="E16786" s="733"/>
    </row>
    <row r="16787" spans="2:5">
      <c r="B16787" s="121">
        <v>1409</v>
      </c>
      <c r="C16787" s="121">
        <v>9</v>
      </c>
      <c r="D16787" s="734">
        <v>145.22574177231354</v>
      </c>
      <c r="E16787" s="733"/>
    </row>
    <row r="16788" spans="2:5">
      <c r="B16788" s="121">
        <v>1409</v>
      </c>
      <c r="C16788" s="121">
        <v>10</v>
      </c>
      <c r="D16788" s="734">
        <v>142.99284353801426</v>
      </c>
      <c r="E16788" s="733"/>
    </row>
    <row r="16789" spans="2:5">
      <c r="B16789" s="121">
        <v>1409</v>
      </c>
      <c r="C16789" s="121">
        <v>11</v>
      </c>
      <c r="D16789" s="734">
        <v>137.73868526211706</v>
      </c>
      <c r="E16789" s="733"/>
    </row>
    <row r="16790" spans="2:5">
      <c r="B16790" s="121">
        <v>1409</v>
      </c>
      <c r="C16790" s="121">
        <v>12</v>
      </c>
      <c r="D16790" s="734">
        <v>137.18871372128572</v>
      </c>
      <c r="E16790" s="733"/>
    </row>
    <row r="16791" spans="2:5">
      <c r="B16791" s="121">
        <v>1409</v>
      </c>
      <c r="C16791" s="121">
        <v>13</v>
      </c>
      <c r="D16791" s="734">
        <v>144.53583172243501</v>
      </c>
      <c r="E16791" s="733"/>
    </row>
    <row r="16792" spans="2:5">
      <c r="B16792" s="121">
        <v>1409</v>
      </c>
      <c r="C16792" s="121">
        <v>14</v>
      </c>
      <c r="D16792" s="734">
        <v>140.6411519671021</v>
      </c>
      <c r="E16792" s="733"/>
    </row>
    <row r="16793" spans="2:5">
      <c r="B16793" s="121">
        <v>1409</v>
      </c>
      <c r="C16793" s="121">
        <v>15</v>
      </c>
      <c r="D16793" s="734">
        <v>137.69761469554999</v>
      </c>
      <c r="E16793" s="733"/>
    </row>
    <row r="16794" spans="2:5">
      <c r="B16794" s="121">
        <v>1409</v>
      </c>
      <c r="C16794" s="121">
        <v>16</v>
      </c>
      <c r="D16794" s="734">
        <v>144.64038690984489</v>
      </c>
      <c r="E16794" s="733"/>
    </row>
    <row r="16795" spans="2:5">
      <c r="B16795" s="121">
        <v>1409</v>
      </c>
      <c r="C16795" s="121">
        <v>17</v>
      </c>
      <c r="D16795" s="734">
        <v>134.63314960755338</v>
      </c>
      <c r="E16795" s="733"/>
    </row>
    <row r="16796" spans="2:5">
      <c r="B16796" s="121">
        <v>1409</v>
      </c>
      <c r="C16796" s="121">
        <v>18</v>
      </c>
      <c r="D16796" s="734">
        <v>139.5415266199484</v>
      </c>
      <c r="E16796" s="733"/>
    </row>
    <row r="16797" spans="2:5">
      <c r="B16797" s="121">
        <v>1410</v>
      </c>
      <c r="C16797" s="121">
        <v>1</v>
      </c>
      <c r="D16797" s="734">
        <v>5</v>
      </c>
      <c r="E16797" s="733"/>
    </row>
    <row r="16798" spans="2:5">
      <c r="B16798" s="121">
        <v>1411</v>
      </c>
      <c r="C16798" s="121">
        <v>1</v>
      </c>
      <c r="D16798" s="734">
        <v>5</v>
      </c>
      <c r="E16798" s="733"/>
    </row>
    <row r="16799" spans="2:5">
      <c r="B16799" s="121">
        <v>1411</v>
      </c>
      <c r="C16799" s="121">
        <v>2</v>
      </c>
      <c r="D16799" s="734">
        <v>102.0524238209922</v>
      </c>
      <c r="E16799" s="733"/>
    </row>
    <row r="16800" spans="2:5">
      <c r="B16800" s="121">
        <v>1411</v>
      </c>
      <c r="C16800" s="121">
        <v>3</v>
      </c>
      <c r="D16800" s="734">
        <v>118.1789847469465</v>
      </c>
      <c r="E16800" s="733"/>
    </row>
    <row r="16801" spans="2:5">
      <c r="B16801" s="121">
        <v>1412</v>
      </c>
      <c r="C16801" s="121">
        <v>1</v>
      </c>
      <c r="D16801" s="734">
        <v>5</v>
      </c>
      <c r="E16801" s="733"/>
    </row>
    <row r="16802" spans="2:5">
      <c r="B16802" s="121">
        <v>1412</v>
      </c>
      <c r="C16802" s="121">
        <v>2</v>
      </c>
      <c r="D16802" s="734">
        <v>97.338374173839853</v>
      </c>
      <c r="E16802" s="733"/>
    </row>
    <row r="16803" spans="2:5">
      <c r="B16803" s="121">
        <v>1412</v>
      </c>
      <c r="C16803" s="121">
        <v>3</v>
      </c>
      <c r="D16803" s="734">
        <v>122.93691497320886</v>
      </c>
      <c r="E16803" s="733"/>
    </row>
    <row r="16804" spans="2:5">
      <c r="B16804" s="121">
        <v>1412</v>
      </c>
      <c r="C16804" s="121">
        <v>4</v>
      </c>
      <c r="D16804" s="734">
        <v>141.54082162347666</v>
      </c>
      <c r="E16804" s="733"/>
    </row>
    <row r="16805" spans="2:5">
      <c r="B16805" s="121">
        <v>1412</v>
      </c>
      <c r="C16805" s="121">
        <v>5</v>
      </c>
      <c r="D16805" s="734">
        <v>143.70408298436016</v>
      </c>
      <c r="E16805" s="733"/>
    </row>
    <row r="16806" spans="2:5">
      <c r="B16806" s="121">
        <v>1412</v>
      </c>
      <c r="C16806" s="121">
        <v>6</v>
      </c>
      <c r="D16806" s="734">
        <v>135.40258596736084</v>
      </c>
      <c r="E16806" s="733"/>
    </row>
    <row r="16807" spans="2:5">
      <c r="B16807" s="121">
        <v>1412</v>
      </c>
      <c r="C16807" s="121">
        <v>7</v>
      </c>
      <c r="D16807" s="734">
        <v>145.83486374791659</v>
      </c>
      <c r="E16807" s="733"/>
    </row>
    <row r="16808" spans="2:5">
      <c r="B16808" s="121">
        <v>1412</v>
      </c>
      <c r="C16808" s="121">
        <v>8</v>
      </c>
      <c r="D16808" s="734">
        <v>145.35034330978095</v>
      </c>
      <c r="E16808" s="733"/>
    </row>
    <row r="16809" spans="2:5">
      <c r="B16809" s="121">
        <v>1412</v>
      </c>
      <c r="C16809" s="121">
        <v>9</v>
      </c>
      <c r="D16809" s="734">
        <v>143.5761820030734</v>
      </c>
      <c r="E16809" s="733"/>
    </row>
    <row r="16810" spans="2:5">
      <c r="B16810" s="121">
        <v>1412</v>
      </c>
      <c r="C16810" s="121">
        <v>10</v>
      </c>
      <c r="D16810" s="734">
        <v>140.53648080043533</v>
      </c>
      <c r="E16810" s="733"/>
    </row>
    <row r="16811" spans="2:5">
      <c r="B16811" s="121">
        <v>1412</v>
      </c>
      <c r="C16811" s="121">
        <v>11</v>
      </c>
      <c r="D16811" s="734">
        <v>141.00942131656683</v>
      </c>
      <c r="E16811" s="733"/>
    </row>
    <row r="16812" spans="2:5">
      <c r="B16812" s="121">
        <v>1412</v>
      </c>
      <c r="C16812" s="121">
        <v>12</v>
      </c>
      <c r="D16812" s="734">
        <v>144.70434352457733</v>
      </c>
      <c r="E16812" s="733"/>
    </row>
    <row r="16813" spans="2:5">
      <c r="B16813" s="121">
        <v>1412</v>
      </c>
      <c r="C16813" s="121">
        <v>13</v>
      </c>
      <c r="D16813" s="734">
        <v>136.5495852981372</v>
      </c>
      <c r="E16813" s="733"/>
    </row>
    <row r="16814" spans="2:5">
      <c r="B16814" s="121">
        <v>1412</v>
      </c>
      <c r="C16814" s="121">
        <v>14</v>
      </c>
      <c r="D16814" s="734">
        <v>135.74311558208325</v>
      </c>
      <c r="E16814" s="733"/>
    </row>
    <row r="16815" spans="2:5">
      <c r="B16815" s="121">
        <v>1412</v>
      </c>
      <c r="C16815" s="121">
        <v>15</v>
      </c>
      <c r="D16815" s="734">
        <v>140.91525018186164</v>
      </c>
      <c r="E16815" s="733"/>
    </row>
    <row r="16816" spans="2:5">
      <c r="B16816" s="121">
        <v>1412</v>
      </c>
      <c r="C16816" s="121">
        <v>16</v>
      </c>
      <c r="D16816" s="734">
        <v>144.26906697043512</v>
      </c>
      <c r="E16816" s="733"/>
    </row>
    <row r="16817" spans="2:5">
      <c r="B16817" s="121">
        <v>1412</v>
      </c>
      <c r="C16817" s="121">
        <v>17</v>
      </c>
      <c r="D16817" s="734">
        <v>139.75553803268255</v>
      </c>
      <c r="E16817" s="733"/>
    </row>
    <row r="16818" spans="2:5">
      <c r="B16818" s="121">
        <v>1412</v>
      </c>
      <c r="C16818" s="121">
        <v>18</v>
      </c>
      <c r="D16818" s="734">
        <v>146.52030069809382</v>
      </c>
      <c r="E16818" s="733"/>
    </row>
    <row r="16819" spans="2:5">
      <c r="B16819" s="121">
        <v>1412</v>
      </c>
      <c r="C16819" s="121">
        <v>19</v>
      </c>
      <c r="D16819" s="734">
        <v>133.75476265142811</v>
      </c>
      <c r="E16819" s="733"/>
    </row>
    <row r="16820" spans="2:5">
      <c r="B16820" s="121">
        <v>1412</v>
      </c>
      <c r="C16820" s="121">
        <v>20</v>
      </c>
      <c r="D16820" s="734">
        <v>139.82185269548475</v>
      </c>
      <c r="E16820" s="733"/>
    </row>
    <row r="16821" spans="2:5">
      <c r="B16821" s="121">
        <v>1412</v>
      </c>
      <c r="C16821" s="121">
        <v>21</v>
      </c>
      <c r="D16821" s="734">
        <v>146.33923745380235</v>
      </c>
      <c r="E16821" s="733"/>
    </row>
    <row r="16822" spans="2:5">
      <c r="B16822" s="121">
        <v>1413</v>
      </c>
      <c r="C16822" s="121">
        <v>1</v>
      </c>
      <c r="D16822" s="734">
        <v>5</v>
      </c>
      <c r="E16822" s="733"/>
    </row>
    <row r="16823" spans="2:5">
      <c r="B16823" s="121">
        <v>1413</v>
      </c>
      <c r="C16823" s="121">
        <v>2</v>
      </c>
      <c r="D16823" s="734">
        <v>101.0750422230512</v>
      </c>
      <c r="E16823" s="733"/>
    </row>
    <row r="16824" spans="2:5">
      <c r="B16824" s="121">
        <v>1413</v>
      </c>
      <c r="C16824" s="121">
        <v>3</v>
      </c>
      <c r="D16824" s="734">
        <v>118.64415082429144</v>
      </c>
      <c r="E16824" s="733"/>
    </row>
    <row r="16825" spans="2:5">
      <c r="B16825" s="121">
        <v>1414</v>
      </c>
      <c r="C16825" s="121">
        <v>1</v>
      </c>
      <c r="D16825" s="734">
        <v>5</v>
      </c>
      <c r="E16825" s="733"/>
    </row>
    <row r="16826" spans="2:5">
      <c r="B16826" s="121">
        <v>1414</v>
      </c>
      <c r="C16826" s="121">
        <v>2</v>
      </c>
      <c r="D16826" s="734">
        <v>99.148408244059013</v>
      </c>
      <c r="E16826" s="733"/>
    </row>
    <row r="16827" spans="2:5">
      <c r="B16827" s="121">
        <v>1414</v>
      </c>
      <c r="C16827" s="121">
        <v>3</v>
      </c>
      <c r="D16827" s="734">
        <v>115.49257638429087</v>
      </c>
      <c r="E16827" s="733"/>
    </row>
    <row r="16828" spans="2:5">
      <c r="B16828" s="121">
        <v>1414</v>
      </c>
      <c r="C16828" s="121">
        <v>4</v>
      </c>
      <c r="D16828" s="734">
        <v>138.49858547944723</v>
      </c>
      <c r="E16828" s="733"/>
    </row>
    <row r="16829" spans="2:5">
      <c r="B16829" s="121">
        <v>1414</v>
      </c>
      <c r="C16829" s="121">
        <v>5</v>
      </c>
      <c r="D16829" s="734">
        <v>143.77295979273808</v>
      </c>
      <c r="E16829" s="733"/>
    </row>
    <row r="16830" spans="2:5">
      <c r="B16830" s="121">
        <v>1414</v>
      </c>
      <c r="C16830" s="121">
        <v>6</v>
      </c>
      <c r="D16830" s="734">
        <v>136.53291905171665</v>
      </c>
      <c r="E16830" s="733"/>
    </row>
    <row r="16831" spans="2:5">
      <c r="B16831" s="121">
        <v>1414</v>
      </c>
      <c r="C16831" s="121">
        <v>7</v>
      </c>
      <c r="D16831" s="734">
        <v>147.08304785433026</v>
      </c>
      <c r="E16831" s="733"/>
    </row>
    <row r="16832" spans="2:5">
      <c r="B16832" s="121">
        <v>1414</v>
      </c>
      <c r="C16832" s="121">
        <v>8</v>
      </c>
      <c r="D16832" s="734">
        <v>138.47714422619518</v>
      </c>
      <c r="E16832" s="733"/>
    </row>
    <row r="16833" spans="2:5">
      <c r="B16833" s="121">
        <v>1414</v>
      </c>
      <c r="C16833" s="121">
        <v>9</v>
      </c>
      <c r="D16833" s="734">
        <v>145.48124503430364</v>
      </c>
      <c r="E16833" s="733"/>
    </row>
    <row r="16834" spans="2:5">
      <c r="B16834" s="121">
        <v>1414</v>
      </c>
      <c r="C16834" s="121">
        <v>10</v>
      </c>
      <c r="D16834" s="734">
        <v>136.33628726613668</v>
      </c>
      <c r="E16834" s="733"/>
    </row>
    <row r="16835" spans="2:5">
      <c r="B16835" s="121">
        <v>1414</v>
      </c>
      <c r="C16835" s="121">
        <v>11</v>
      </c>
      <c r="D16835" s="734">
        <v>136.92821978819367</v>
      </c>
      <c r="E16835" s="733"/>
    </row>
    <row r="16836" spans="2:5">
      <c r="B16836" s="121">
        <v>1414</v>
      </c>
      <c r="C16836" s="121">
        <v>12</v>
      </c>
      <c r="D16836" s="734">
        <v>145.79882854621536</v>
      </c>
      <c r="E16836" s="733"/>
    </row>
    <row r="16837" spans="2:5">
      <c r="B16837" s="121">
        <v>1414</v>
      </c>
      <c r="C16837" s="121">
        <v>13</v>
      </c>
      <c r="D16837" s="734">
        <v>141.50824687969987</v>
      </c>
      <c r="E16837" s="733"/>
    </row>
    <row r="16838" spans="2:5">
      <c r="B16838" s="121">
        <v>1414</v>
      </c>
      <c r="C16838" s="121">
        <v>14</v>
      </c>
      <c r="D16838" s="734">
        <v>135.44510394990911</v>
      </c>
      <c r="E16838" s="733"/>
    </row>
    <row r="16839" spans="2:5">
      <c r="B16839" s="121">
        <v>1414</v>
      </c>
      <c r="C16839" s="121">
        <v>15</v>
      </c>
      <c r="D16839" s="734">
        <v>141.55683631677201</v>
      </c>
      <c r="E16839" s="733"/>
    </row>
    <row r="16840" spans="2:5">
      <c r="B16840" s="121">
        <v>1414</v>
      </c>
      <c r="C16840" s="121">
        <v>16</v>
      </c>
      <c r="D16840" s="734">
        <v>140.44458714979808</v>
      </c>
      <c r="E16840" s="733"/>
    </row>
    <row r="16841" spans="2:5">
      <c r="B16841" s="121">
        <v>1414</v>
      </c>
      <c r="C16841" s="121">
        <v>17</v>
      </c>
      <c r="D16841" s="734">
        <v>146.56407228996602</v>
      </c>
      <c r="E16841" s="733"/>
    </row>
    <row r="16842" spans="2:5">
      <c r="B16842" s="121">
        <v>1414</v>
      </c>
      <c r="C16842" s="121">
        <v>18</v>
      </c>
      <c r="D16842" s="734">
        <v>138.92031471453328</v>
      </c>
      <c r="E16842" s="733"/>
    </row>
    <row r="16843" spans="2:5">
      <c r="B16843" s="121">
        <v>1414</v>
      </c>
      <c r="C16843" s="121">
        <v>19</v>
      </c>
      <c r="D16843" s="734">
        <v>145.50102058526511</v>
      </c>
      <c r="E16843" s="733"/>
    </row>
    <row r="16844" spans="2:5">
      <c r="B16844" s="121">
        <v>1414</v>
      </c>
      <c r="C16844" s="121">
        <v>20</v>
      </c>
      <c r="D16844" s="734">
        <v>144.55459901654109</v>
      </c>
      <c r="E16844" s="733"/>
    </row>
    <row r="16845" spans="2:5">
      <c r="B16845" s="121">
        <v>1414</v>
      </c>
      <c r="C16845" s="121">
        <v>21</v>
      </c>
      <c r="D16845" s="734">
        <v>140.38342082016712</v>
      </c>
      <c r="E16845" s="733"/>
    </row>
    <row r="16846" spans="2:5">
      <c r="B16846" s="121">
        <v>1414</v>
      </c>
      <c r="C16846" s="121">
        <v>22</v>
      </c>
      <c r="D16846" s="734">
        <v>140.07187168549459</v>
      </c>
      <c r="E16846" s="733"/>
    </row>
    <row r="16847" spans="2:5">
      <c r="B16847" s="121">
        <v>1414</v>
      </c>
      <c r="C16847" s="121">
        <v>23</v>
      </c>
      <c r="D16847" s="734">
        <v>135.94483904100952</v>
      </c>
      <c r="E16847" s="733"/>
    </row>
    <row r="16848" spans="2:5">
      <c r="B16848" s="121">
        <v>1414</v>
      </c>
      <c r="C16848" s="121">
        <v>24</v>
      </c>
      <c r="D16848" s="734">
        <v>141.38610494600309</v>
      </c>
      <c r="E16848" s="733"/>
    </row>
    <row r="16849" spans="2:5">
      <c r="B16849" s="121">
        <v>1414</v>
      </c>
      <c r="C16849" s="121">
        <v>25</v>
      </c>
      <c r="D16849" s="734">
        <v>135.94322189478882</v>
      </c>
      <c r="E16849" s="733"/>
    </row>
    <row r="16850" spans="2:5">
      <c r="B16850" s="121">
        <v>1414</v>
      </c>
      <c r="C16850" s="121">
        <v>26</v>
      </c>
      <c r="D16850" s="734">
        <v>146.42867019222706</v>
      </c>
      <c r="E16850" s="733"/>
    </row>
    <row r="16851" spans="2:5">
      <c r="B16851" s="121">
        <v>1414</v>
      </c>
      <c r="C16851" s="121">
        <v>27</v>
      </c>
      <c r="D16851" s="734">
        <v>145.60795210561287</v>
      </c>
      <c r="E16851" s="733"/>
    </row>
    <row r="16852" spans="2:5">
      <c r="B16852" s="121">
        <v>1414</v>
      </c>
      <c r="C16852" s="121">
        <v>28</v>
      </c>
      <c r="D16852" s="734">
        <v>144.26172484770359</v>
      </c>
      <c r="E16852" s="733"/>
    </row>
    <row r="16853" spans="2:5">
      <c r="B16853" s="121">
        <v>1414</v>
      </c>
      <c r="C16853" s="121">
        <v>29</v>
      </c>
      <c r="D16853" s="734">
        <v>136.84532339905715</v>
      </c>
      <c r="E16853" s="733"/>
    </row>
    <row r="16854" spans="2:5">
      <c r="B16854" s="121">
        <v>1414</v>
      </c>
      <c r="C16854" s="121">
        <v>30</v>
      </c>
      <c r="D16854" s="734">
        <v>145.52415444307491</v>
      </c>
      <c r="E16854" s="733"/>
    </row>
    <row r="16855" spans="2:5">
      <c r="B16855" s="121">
        <v>1415</v>
      </c>
      <c r="C16855" s="121">
        <v>1</v>
      </c>
      <c r="D16855" s="734">
        <v>5</v>
      </c>
      <c r="E16855" s="733"/>
    </row>
    <row r="16856" spans="2:5">
      <c r="B16856" s="121">
        <v>1415</v>
      </c>
      <c r="C16856" s="121">
        <v>2</v>
      </c>
      <c r="D16856" s="734">
        <v>102.71785095940594</v>
      </c>
      <c r="E16856" s="733"/>
    </row>
    <row r="16857" spans="2:5">
      <c r="B16857" s="121">
        <v>1415</v>
      </c>
      <c r="C16857" s="121">
        <v>3</v>
      </c>
      <c r="D16857" s="734">
        <v>114.55160904163338</v>
      </c>
      <c r="E16857" s="733"/>
    </row>
    <row r="16858" spans="2:5">
      <c r="B16858" s="121">
        <v>1416</v>
      </c>
      <c r="C16858" s="121">
        <v>1</v>
      </c>
      <c r="D16858" s="734">
        <v>5</v>
      </c>
      <c r="E16858" s="733"/>
    </row>
    <row r="16859" spans="2:5">
      <c r="B16859" s="121">
        <v>1416</v>
      </c>
      <c r="C16859" s="121">
        <v>2</v>
      </c>
      <c r="D16859" s="734">
        <v>97.392518702435481</v>
      </c>
      <c r="E16859" s="733"/>
    </row>
    <row r="16860" spans="2:5">
      <c r="B16860" s="121">
        <v>1416</v>
      </c>
      <c r="C16860" s="121">
        <v>3</v>
      </c>
      <c r="D16860" s="734">
        <v>114.60584375534425</v>
      </c>
      <c r="E16860" s="733"/>
    </row>
    <row r="16861" spans="2:5">
      <c r="B16861" s="121">
        <v>1416</v>
      </c>
      <c r="C16861" s="121">
        <v>4</v>
      </c>
      <c r="D16861" s="734">
        <v>140.02137725001785</v>
      </c>
      <c r="E16861" s="733"/>
    </row>
    <row r="16862" spans="2:5">
      <c r="B16862" s="121">
        <v>1416</v>
      </c>
      <c r="C16862" s="121">
        <v>5</v>
      </c>
      <c r="D16862" s="734">
        <v>137.81904617975434</v>
      </c>
      <c r="E16862" s="733"/>
    </row>
    <row r="16863" spans="2:5">
      <c r="B16863" s="121">
        <v>1416</v>
      </c>
      <c r="C16863" s="121">
        <v>6</v>
      </c>
      <c r="D16863" s="734">
        <v>145.86615580246982</v>
      </c>
      <c r="E16863" s="733"/>
    </row>
    <row r="16864" spans="2:5">
      <c r="B16864" s="121">
        <v>1416</v>
      </c>
      <c r="C16864" s="121">
        <v>7</v>
      </c>
      <c r="D16864" s="734">
        <v>140.52559287588542</v>
      </c>
      <c r="E16864" s="733"/>
    </row>
    <row r="16865" spans="2:5">
      <c r="B16865" s="121">
        <v>1416</v>
      </c>
      <c r="C16865" s="121">
        <v>8</v>
      </c>
      <c r="D16865" s="734">
        <v>143.56386000676144</v>
      </c>
      <c r="E16865" s="733"/>
    </row>
    <row r="16866" spans="2:5">
      <c r="B16866" s="121">
        <v>1416</v>
      </c>
      <c r="C16866" s="121">
        <v>9</v>
      </c>
      <c r="D16866" s="734">
        <v>142.28936861862243</v>
      </c>
      <c r="E16866" s="733"/>
    </row>
    <row r="16867" spans="2:5">
      <c r="B16867" s="121">
        <v>1416</v>
      </c>
      <c r="C16867" s="121">
        <v>10</v>
      </c>
      <c r="D16867" s="734">
        <v>135.34006739085655</v>
      </c>
      <c r="E16867" s="733"/>
    </row>
    <row r="16868" spans="2:5">
      <c r="B16868" s="121">
        <v>1416</v>
      </c>
      <c r="C16868" s="121">
        <v>11</v>
      </c>
      <c r="D16868" s="734">
        <v>137.49891355855954</v>
      </c>
      <c r="E16868" s="733"/>
    </row>
    <row r="16869" spans="2:5">
      <c r="B16869" s="121">
        <v>1416</v>
      </c>
      <c r="C16869" s="121">
        <v>12</v>
      </c>
      <c r="D16869" s="734">
        <v>145.78555495158008</v>
      </c>
      <c r="E16869" s="733"/>
    </row>
    <row r="16870" spans="2:5">
      <c r="B16870" s="121">
        <v>1416</v>
      </c>
      <c r="C16870" s="121">
        <v>13</v>
      </c>
      <c r="D16870" s="734">
        <v>146.41678140114965</v>
      </c>
      <c r="E16870" s="733"/>
    </row>
    <row r="16871" spans="2:5">
      <c r="B16871" s="121">
        <v>1416</v>
      </c>
      <c r="C16871" s="121">
        <v>14</v>
      </c>
      <c r="D16871" s="734">
        <v>141.37940578103041</v>
      </c>
      <c r="E16871" s="733"/>
    </row>
    <row r="16872" spans="2:5">
      <c r="B16872" s="121">
        <v>1416</v>
      </c>
      <c r="C16872" s="121">
        <v>15</v>
      </c>
      <c r="D16872" s="734">
        <v>146.75311553698418</v>
      </c>
      <c r="E16872" s="733"/>
    </row>
    <row r="16873" spans="2:5">
      <c r="B16873" s="121">
        <v>1416</v>
      </c>
      <c r="C16873" s="121">
        <v>16</v>
      </c>
      <c r="D16873" s="734">
        <v>134.57302930635504</v>
      </c>
      <c r="E16873" s="733"/>
    </row>
    <row r="16874" spans="2:5">
      <c r="B16874" s="121">
        <v>1416</v>
      </c>
      <c r="C16874" s="121">
        <v>17</v>
      </c>
      <c r="D16874" s="734">
        <v>146.49690455232599</v>
      </c>
      <c r="E16874" s="733"/>
    </row>
    <row r="16875" spans="2:5">
      <c r="B16875" s="121">
        <v>1416</v>
      </c>
      <c r="C16875" s="121">
        <v>18</v>
      </c>
      <c r="D16875" s="734">
        <v>136.53211445850556</v>
      </c>
      <c r="E16875" s="733"/>
    </row>
    <row r="16876" spans="2:5">
      <c r="B16876" s="121">
        <v>1416</v>
      </c>
      <c r="C16876" s="121">
        <v>19</v>
      </c>
      <c r="D16876" s="734">
        <v>146.47391709366522</v>
      </c>
      <c r="E16876" s="733"/>
    </row>
    <row r="16877" spans="2:5">
      <c r="B16877" s="121">
        <v>1416</v>
      </c>
      <c r="C16877" s="121">
        <v>20</v>
      </c>
      <c r="D16877" s="734">
        <v>136.5412342298805</v>
      </c>
      <c r="E16877" s="733"/>
    </row>
    <row r="16878" spans="2:5">
      <c r="B16878" s="121">
        <v>1416</v>
      </c>
      <c r="C16878" s="121">
        <v>21</v>
      </c>
      <c r="D16878" s="734">
        <v>145.81629474235328</v>
      </c>
      <c r="E16878" s="733"/>
    </row>
    <row r="16879" spans="2:5">
      <c r="B16879" s="121">
        <v>1416</v>
      </c>
      <c r="C16879" s="121">
        <v>22</v>
      </c>
      <c r="D16879" s="734">
        <v>142.20337600941355</v>
      </c>
      <c r="E16879" s="733"/>
    </row>
    <row r="16880" spans="2:5">
      <c r="B16880" s="121">
        <v>1416</v>
      </c>
      <c r="C16880" s="121">
        <v>23</v>
      </c>
      <c r="D16880" s="734">
        <v>138.54802015876334</v>
      </c>
      <c r="E16880" s="733"/>
    </row>
    <row r="16881" spans="2:5">
      <c r="B16881" s="121">
        <v>1416</v>
      </c>
      <c r="C16881" s="121">
        <v>24</v>
      </c>
      <c r="D16881" s="734">
        <v>139.87683810383933</v>
      </c>
      <c r="E16881" s="733"/>
    </row>
    <row r="16882" spans="2:5">
      <c r="B16882" s="121">
        <v>1416</v>
      </c>
      <c r="C16882" s="121">
        <v>25</v>
      </c>
      <c r="D16882" s="734">
        <v>141.54034881875512</v>
      </c>
      <c r="E16882" s="733"/>
    </row>
    <row r="16883" spans="2:5">
      <c r="B16883" s="121">
        <v>1416</v>
      </c>
      <c r="C16883" s="121">
        <v>26</v>
      </c>
      <c r="D16883" s="734">
        <v>134.7428527202938</v>
      </c>
      <c r="E16883" s="733"/>
    </row>
    <row r="16884" spans="2:5">
      <c r="B16884" s="121">
        <v>1416</v>
      </c>
      <c r="C16884" s="121">
        <v>27</v>
      </c>
      <c r="D16884" s="734">
        <v>135.76148194562526</v>
      </c>
      <c r="E16884" s="733"/>
    </row>
    <row r="16885" spans="2:5">
      <c r="B16885" s="121">
        <v>1416</v>
      </c>
      <c r="C16885" s="121">
        <v>28</v>
      </c>
      <c r="D16885" s="734">
        <v>134.42110570975859</v>
      </c>
      <c r="E16885" s="733"/>
    </row>
    <row r="16886" spans="2:5">
      <c r="B16886" s="121">
        <v>1416</v>
      </c>
      <c r="C16886" s="121">
        <v>29</v>
      </c>
      <c r="D16886" s="734">
        <v>139.38288911946353</v>
      </c>
      <c r="E16886" s="733"/>
    </row>
    <row r="16887" spans="2:5">
      <c r="B16887" s="121">
        <v>1416</v>
      </c>
      <c r="C16887" s="121">
        <v>30</v>
      </c>
      <c r="D16887" s="734">
        <v>139.96437987101754</v>
      </c>
      <c r="E16887" s="733"/>
    </row>
    <row r="16888" spans="2:5">
      <c r="B16888" s="121">
        <v>1416</v>
      </c>
      <c r="C16888" s="121">
        <v>31</v>
      </c>
      <c r="D16888" s="734">
        <v>143.90999046472803</v>
      </c>
      <c r="E16888" s="733"/>
    </row>
    <row r="16889" spans="2:5">
      <c r="B16889" s="121">
        <v>1416</v>
      </c>
      <c r="C16889" s="121">
        <v>32</v>
      </c>
      <c r="D16889" s="734">
        <v>146.68537223420586</v>
      </c>
      <c r="E16889" s="733"/>
    </row>
    <row r="16890" spans="2:5">
      <c r="B16890" s="121">
        <v>1416</v>
      </c>
      <c r="C16890" s="121">
        <v>33</v>
      </c>
      <c r="D16890" s="734">
        <v>142.59600090566613</v>
      </c>
      <c r="E16890" s="733"/>
    </row>
    <row r="16891" spans="2:5">
      <c r="B16891" s="121">
        <v>1416</v>
      </c>
      <c r="C16891" s="121">
        <v>34</v>
      </c>
      <c r="D16891" s="734">
        <v>138.74688580161049</v>
      </c>
      <c r="E16891" s="733"/>
    </row>
    <row r="16892" spans="2:5">
      <c r="B16892" s="121">
        <v>1416</v>
      </c>
      <c r="C16892" s="121">
        <v>35</v>
      </c>
      <c r="D16892" s="734">
        <v>134.00575410041424</v>
      </c>
      <c r="E16892" s="733"/>
    </row>
    <row r="16893" spans="2:5">
      <c r="B16893" s="121">
        <v>1416</v>
      </c>
      <c r="C16893" s="121">
        <v>36</v>
      </c>
      <c r="D16893" s="734">
        <v>140.5104862846996</v>
      </c>
      <c r="E16893" s="733"/>
    </row>
    <row r="16894" spans="2:5">
      <c r="B16894" s="121">
        <v>1417</v>
      </c>
      <c r="C16894" s="121">
        <v>1</v>
      </c>
      <c r="D16894" s="734">
        <v>5</v>
      </c>
      <c r="E16894" s="733"/>
    </row>
    <row r="16895" spans="2:5">
      <c r="B16895" s="121">
        <v>1417</v>
      </c>
      <c r="C16895" s="121">
        <v>2</v>
      </c>
      <c r="D16895" s="734">
        <v>97.048044361945557</v>
      </c>
      <c r="E16895" s="733"/>
    </row>
    <row r="16896" spans="2:5">
      <c r="B16896" s="121">
        <v>1417</v>
      </c>
      <c r="C16896" s="121">
        <v>3</v>
      </c>
      <c r="D16896" s="734">
        <v>120.83945896858513</v>
      </c>
      <c r="E16896" s="733"/>
    </row>
    <row r="16897" spans="2:5">
      <c r="B16897" s="121">
        <v>1417</v>
      </c>
      <c r="C16897" s="121">
        <v>4</v>
      </c>
      <c r="D16897" s="734">
        <v>142.37498201508686</v>
      </c>
      <c r="E16897" s="733"/>
    </row>
    <row r="16898" spans="2:5">
      <c r="B16898" s="121">
        <v>1417</v>
      </c>
      <c r="C16898" s="121">
        <v>5</v>
      </c>
      <c r="D16898" s="734">
        <v>144.20935172304843</v>
      </c>
      <c r="E16898" s="733"/>
    </row>
    <row r="16899" spans="2:5">
      <c r="B16899" s="121">
        <v>1417</v>
      </c>
      <c r="C16899" s="121">
        <v>6</v>
      </c>
      <c r="D16899" s="734">
        <v>141.90034513375588</v>
      </c>
      <c r="E16899" s="733"/>
    </row>
    <row r="16900" spans="2:5">
      <c r="B16900" s="121">
        <v>1417</v>
      </c>
      <c r="C16900" s="121">
        <v>7</v>
      </c>
      <c r="D16900" s="734">
        <v>144.31318208406211</v>
      </c>
      <c r="E16900" s="733"/>
    </row>
    <row r="16901" spans="2:5">
      <c r="B16901" s="121">
        <v>1417</v>
      </c>
      <c r="C16901" s="121">
        <v>8</v>
      </c>
      <c r="D16901" s="734">
        <v>142.94365063215722</v>
      </c>
      <c r="E16901" s="733"/>
    </row>
    <row r="16902" spans="2:5">
      <c r="B16902" s="121">
        <v>1417</v>
      </c>
      <c r="C16902" s="121">
        <v>9</v>
      </c>
      <c r="D16902" s="734">
        <v>135.93309009301271</v>
      </c>
      <c r="E16902" s="733"/>
    </row>
    <row r="16903" spans="2:5">
      <c r="B16903" s="121">
        <v>1417</v>
      </c>
      <c r="C16903" s="121">
        <v>10</v>
      </c>
      <c r="D16903" s="734">
        <v>146.64679262202833</v>
      </c>
      <c r="E16903" s="733"/>
    </row>
    <row r="16904" spans="2:5">
      <c r="B16904" s="121">
        <v>1417</v>
      </c>
      <c r="C16904" s="121">
        <v>11</v>
      </c>
      <c r="D16904" s="734">
        <v>145.57989908726205</v>
      </c>
      <c r="E16904" s="733"/>
    </row>
    <row r="16905" spans="2:5">
      <c r="B16905" s="121">
        <v>1417</v>
      </c>
      <c r="C16905" s="121">
        <v>12</v>
      </c>
      <c r="D16905" s="734">
        <v>144.82420575518174</v>
      </c>
      <c r="E16905" s="733"/>
    </row>
    <row r="16906" spans="2:5">
      <c r="B16906" s="121">
        <v>1417</v>
      </c>
      <c r="C16906" s="121">
        <v>13</v>
      </c>
      <c r="D16906" s="734">
        <v>141.70027275859175</v>
      </c>
      <c r="E16906" s="733"/>
    </row>
    <row r="16907" spans="2:5">
      <c r="B16907" s="121">
        <v>1417</v>
      </c>
      <c r="C16907" s="121">
        <v>14</v>
      </c>
      <c r="D16907" s="734">
        <v>145.93168019968527</v>
      </c>
      <c r="E16907" s="733"/>
    </row>
    <row r="16908" spans="2:5">
      <c r="B16908" s="121">
        <v>1417</v>
      </c>
      <c r="C16908" s="121">
        <v>15</v>
      </c>
      <c r="D16908" s="734">
        <v>144.30700352678019</v>
      </c>
      <c r="E16908" s="733"/>
    </row>
    <row r="16909" spans="2:5">
      <c r="B16909" s="121">
        <v>1417</v>
      </c>
      <c r="C16909" s="121">
        <v>16</v>
      </c>
      <c r="D16909" s="734">
        <v>141.3966733339754</v>
      </c>
      <c r="E16909" s="733"/>
    </row>
    <row r="16910" spans="2:5">
      <c r="B16910" s="121">
        <v>1417</v>
      </c>
      <c r="C16910" s="121">
        <v>17</v>
      </c>
      <c r="D16910" s="734">
        <v>141.64559608351939</v>
      </c>
      <c r="E16910" s="733"/>
    </row>
    <row r="16911" spans="2:5">
      <c r="B16911" s="121">
        <v>1417</v>
      </c>
      <c r="C16911" s="121">
        <v>18</v>
      </c>
      <c r="D16911" s="734">
        <v>146.9136580973416</v>
      </c>
      <c r="E16911" s="733"/>
    </row>
    <row r="16912" spans="2:5">
      <c r="B16912" s="121">
        <v>1417</v>
      </c>
      <c r="C16912" s="121">
        <v>19</v>
      </c>
      <c r="D16912" s="734">
        <v>146.80556757356092</v>
      </c>
      <c r="E16912" s="733"/>
    </row>
    <row r="16913" spans="2:5">
      <c r="B16913" s="121">
        <v>1417</v>
      </c>
      <c r="C16913" s="121">
        <v>20</v>
      </c>
      <c r="D16913" s="734">
        <v>134.70608711114758</v>
      </c>
      <c r="E16913" s="733"/>
    </row>
    <row r="16914" spans="2:5">
      <c r="B16914" s="121">
        <v>1417</v>
      </c>
      <c r="C16914" s="121">
        <v>21</v>
      </c>
      <c r="D16914" s="734">
        <v>141.19577697792511</v>
      </c>
      <c r="E16914" s="733"/>
    </row>
    <row r="16915" spans="2:5">
      <c r="B16915" s="121">
        <v>1417</v>
      </c>
      <c r="C16915" s="121">
        <v>22</v>
      </c>
      <c r="D16915" s="734">
        <v>144.59913523157658</v>
      </c>
      <c r="E16915" s="733"/>
    </row>
    <row r="16916" spans="2:5">
      <c r="B16916" s="121">
        <v>1417</v>
      </c>
      <c r="C16916" s="121">
        <v>23</v>
      </c>
      <c r="D16916" s="734">
        <v>139.443379716582</v>
      </c>
      <c r="E16916" s="733"/>
    </row>
    <row r="16917" spans="2:5">
      <c r="B16917" s="121">
        <v>1417</v>
      </c>
      <c r="C16917" s="121">
        <v>24</v>
      </c>
      <c r="D16917" s="734">
        <v>141.75667557639335</v>
      </c>
      <c r="E16917" s="733"/>
    </row>
    <row r="16918" spans="2:5">
      <c r="B16918" s="121">
        <v>1417</v>
      </c>
      <c r="C16918" s="121">
        <v>25</v>
      </c>
      <c r="D16918" s="734">
        <v>142.39679671922406</v>
      </c>
      <c r="E16918" s="733"/>
    </row>
    <row r="16919" spans="2:5">
      <c r="B16919" s="121">
        <v>1417</v>
      </c>
      <c r="C16919" s="121">
        <v>26</v>
      </c>
      <c r="D16919" s="734">
        <v>146.21665284192218</v>
      </c>
      <c r="E16919" s="733"/>
    </row>
    <row r="16920" spans="2:5">
      <c r="B16920" s="121">
        <v>1417</v>
      </c>
      <c r="C16920" s="121">
        <v>27</v>
      </c>
      <c r="D16920" s="734">
        <v>140.58494825466849</v>
      </c>
      <c r="E16920" s="733"/>
    </row>
    <row r="16921" spans="2:5">
      <c r="B16921" s="121">
        <v>1417</v>
      </c>
      <c r="C16921" s="121">
        <v>28</v>
      </c>
      <c r="D16921" s="734">
        <v>139.69651473694586</v>
      </c>
      <c r="E16921" s="733"/>
    </row>
    <row r="16922" spans="2:5">
      <c r="B16922" s="121">
        <v>1417</v>
      </c>
      <c r="C16922" s="121">
        <v>29</v>
      </c>
      <c r="D16922" s="734">
        <v>145.43745665735801</v>
      </c>
      <c r="E16922" s="733"/>
    </row>
    <row r="16923" spans="2:5">
      <c r="B16923" s="121">
        <v>1417</v>
      </c>
      <c r="C16923" s="121">
        <v>30</v>
      </c>
      <c r="D16923" s="734">
        <v>141.08707971392602</v>
      </c>
      <c r="E16923" s="733"/>
    </row>
    <row r="16924" spans="2:5">
      <c r="B16924" s="121">
        <v>1417</v>
      </c>
      <c r="C16924" s="121">
        <v>31</v>
      </c>
      <c r="D16924" s="734">
        <v>137.41136476999625</v>
      </c>
      <c r="E16924" s="733"/>
    </row>
    <row r="16925" spans="2:5">
      <c r="B16925" s="121">
        <v>1417</v>
      </c>
      <c r="C16925" s="121">
        <v>32</v>
      </c>
      <c r="D16925" s="734">
        <v>143.24707096667035</v>
      </c>
      <c r="E16925" s="733"/>
    </row>
    <row r="16926" spans="2:5">
      <c r="B16926" s="121">
        <v>1417</v>
      </c>
      <c r="C16926" s="121">
        <v>33</v>
      </c>
      <c r="D16926" s="734">
        <v>134.38521394373097</v>
      </c>
      <c r="E16926" s="733"/>
    </row>
    <row r="16927" spans="2:5">
      <c r="B16927" s="121">
        <v>1417</v>
      </c>
      <c r="C16927" s="121">
        <v>34</v>
      </c>
      <c r="D16927" s="734">
        <v>143.74423034563549</v>
      </c>
      <c r="E16927" s="733"/>
    </row>
    <row r="16928" spans="2:5">
      <c r="B16928" s="121">
        <v>1417</v>
      </c>
      <c r="C16928" s="121">
        <v>35</v>
      </c>
      <c r="D16928" s="734">
        <v>138.97528881103216</v>
      </c>
      <c r="E16928" s="733"/>
    </row>
    <row r="16929" spans="2:5">
      <c r="B16929" s="121">
        <v>1417</v>
      </c>
      <c r="C16929" s="121">
        <v>36</v>
      </c>
      <c r="D16929" s="734">
        <v>138.83339787330806</v>
      </c>
      <c r="E16929" s="733"/>
    </row>
    <row r="16930" spans="2:5">
      <c r="B16930" s="121">
        <v>1418</v>
      </c>
      <c r="C16930" s="121">
        <v>1</v>
      </c>
      <c r="D16930" s="734">
        <v>5</v>
      </c>
      <c r="E16930" s="733"/>
    </row>
    <row r="16931" spans="2:5">
      <c r="B16931" s="121">
        <v>1418</v>
      </c>
      <c r="C16931" s="121">
        <v>2</v>
      </c>
      <c r="D16931" s="734">
        <v>96.679494541094741</v>
      </c>
      <c r="E16931" s="733"/>
    </row>
    <row r="16932" spans="2:5">
      <c r="B16932" s="121">
        <v>1418</v>
      </c>
      <c r="C16932" s="121">
        <v>3</v>
      </c>
      <c r="D16932" s="734">
        <v>114.62964206131586</v>
      </c>
      <c r="E16932" s="733"/>
    </row>
    <row r="16933" spans="2:5">
      <c r="B16933" s="121">
        <v>1418</v>
      </c>
      <c r="C16933" s="121">
        <v>4</v>
      </c>
      <c r="D16933" s="734">
        <v>138.72172365434699</v>
      </c>
      <c r="E16933" s="733"/>
    </row>
    <row r="16934" spans="2:5">
      <c r="B16934" s="121">
        <v>1418</v>
      </c>
      <c r="C16934" s="121">
        <v>5</v>
      </c>
      <c r="D16934" s="734">
        <v>144.68246971157407</v>
      </c>
      <c r="E16934" s="733"/>
    </row>
    <row r="16935" spans="2:5">
      <c r="B16935" s="121">
        <v>1418</v>
      </c>
      <c r="C16935" s="121">
        <v>6</v>
      </c>
      <c r="D16935" s="734">
        <v>144.4816371142449</v>
      </c>
      <c r="E16935" s="733"/>
    </row>
    <row r="16936" spans="2:5">
      <c r="B16936" s="121">
        <v>1418</v>
      </c>
      <c r="C16936" s="121">
        <v>7</v>
      </c>
      <c r="D16936" s="734">
        <v>146.41867763980804</v>
      </c>
      <c r="E16936" s="733"/>
    </row>
    <row r="16937" spans="2:5">
      <c r="B16937" s="121">
        <v>1418</v>
      </c>
      <c r="C16937" s="121">
        <v>8</v>
      </c>
      <c r="D16937" s="734">
        <v>138.26449915395617</v>
      </c>
      <c r="E16937" s="733"/>
    </row>
    <row r="16938" spans="2:5">
      <c r="B16938" s="121">
        <v>1418</v>
      </c>
      <c r="C16938" s="121">
        <v>9</v>
      </c>
      <c r="D16938" s="734">
        <v>143.63797369250113</v>
      </c>
      <c r="E16938" s="733"/>
    </row>
    <row r="16939" spans="2:5">
      <c r="B16939" s="121">
        <v>1418</v>
      </c>
      <c r="C16939" s="121">
        <v>10</v>
      </c>
      <c r="D16939" s="734">
        <v>134.95965854415539</v>
      </c>
      <c r="E16939" s="733"/>
    </row>
    <row r="16940" spans="2:5">
      <c r="B16940" s="121">
        <v>1418</v>
      </c>
      <c r="C16940" s="121">
        <v>11</v>
      </c>
      <c r="D16940" s="734">
        <v>140.69816919940641</v>
      </c>
      <c r="E16940" s="733"/>
    </row>
    <row r="16941" spans="2:5">
      <c r="B16941" s="121">
        <v>1418</v>
      </c>
      <c r="C16941" s="121">
        <v>12</v>
      </c>
      <c r="D16941" s="734">
        <v>137.20165525261484</v>
      </c>
      <c r="E16941" s="733"/>
    </row>
    <row r="16942" spans="2:5">
      <c r="B16942" s="121">
        <v>1418</v>
      </c>
      <c r="C16942" s="121">
        <v>13</v>
      </c>
      <c r="D16942" s="734">
        <v>140.82454484024811</v>
      </c>
      <c r="E16942" s="733"/>
    </row>
    <row r="16943" spans="2:5">
      <c r="B16943" s="121">
        <v>1418</v>
      </c>
      <c r="C16943" s="121">
        <v>14</v>
      </c>
      <c r="D16943" s="734">
        <v>142.43084523322116</v>
      </c>
      <c r="E16943" s="733"/>
    </row>
    <row r="16944" spans="2:5">
      <c r="B16944" s="121">
        <v>1418</v>
      </c>
      <c r="C16944" s="121">
        <v>15</v>
      </c>
      <c r="D16944" s="734">
        <v>135.84842643732722</v>
      </c>
      <c r="E16944" s="733"/>
    </row>
    <row r="16945" spans="2:5">
      <c r="B16945" s="121">
        <v>1418</v>
      </c>
      <c r="C16945" s="121">
        <v>16</v>
      </c>
      <c r="D16945" s="734">
        <v>137.4856698499527</v>
      </c>
      <c r="E16945" s="733"/>
    </row>
    <row r="16946" spans="2:5">
      <c r="B16946" s="121">
        <v>1418</v>
      </c>
      <c r="C16946" s="121">
        <v>17</v>
      </c>
      <c r="D16946" s="734">
        <v>144.25784119377141</v>
      </c>
      <c r="E16946" s="733"/>
    </row>
    <row r="16947" spans="2:5">
      <c r="B16947" s="121">
        <v>1418</v>
      </c>
      <c r="C16947" s="121">
        <v>18</v>
      </c>
      <c r="D16947" s="734">
        <v>134.69128977026918</v>
      </c>
      <c r="E16947" s="733"/>
    </row>
    <row r="16948" spans="2:5">
      <c r="B16948" s="121">
        <v>1418</v>
      </c>
      <c r="C16948" s="121">
        <v>19</v>
      </c>
      <c r="D16948" s="734">
        <v>146.58938981375297</v>
      </c>
      <c r="E16948" s="733"/>
    </row>
    <row r="16949" spans="2:5">
      <c r="B16949" s="121">
        <v>1418</v>
      </c>
      <c r="C16949" s="121">
        <v>20</v>
      </c>
      <c r="D16949" s="734">
        <v>143.23750045911385</v>
      </c>
      <c r="E16949" s="733"/>
    </row>
    <row r="16950" spans="2:5">
      <c r="B16950" s="121">
        <v>1418</v>
      </c>
      <c r="C16950" s="121">
        <v>21</v>
      </c>
      <c r="D16950" s="734">
        <v>143.70757913325826</v>
      </c>
      <c r="E16950" s="733"/>
    </row>
    <row r="16951" spans="2:5">
      <c r="B16951" s="121">
        <v>1418</v>
      </c>
      <c r="C16951" s="121">
        <v>22</v>
      </c>
      <c r="D16951" s="734">
        <v>135.45929930032025</v>
      </c>
      <c r="E16951" s="733"/>
    </row>
    <row r="16952" spans="2:5">
      <c r="B16952" s="121">
        <v>1418</v>
      </c>
      <c r="C16952" s="121">
        <v>23</v>
      </c>
      <c r="D16952" s="734">
        <v>143.46051263199507</v>
      </c>
      <c r="E16952" s="733"/>
    </row>
    <row r="16953" spans="2:5">
      <c r="B16953" s="121">
        <v>1418</v>
      </c>
      <c r="C16953" s="121">
        <v>24</v>
      </c>
      <c r="D16953" s="734">
        <v>135.75390506779746</v>
      </c>
      <c r="E16953" s="733"/>
    </row>
    <row r="16954" spans="2:5">
      <c r="B16954" s="121">
        <v>1418</v>
      </c>
      <c r="C16954" s="121">
        <v>25</v>
      </c>
      <c r="D16954" s="734">
        <v>135.87274289476173</v>
      </c>
      <c r="E16954" s="733"/>
    </row>
    <row r="16955" spans="2:5">
      <c r="B16955" s="121">
        <v>1418</v>
      </c>
      <c r="C16955" s="121">
        <v>26</v>
      </c>
      <c r="D16955" s="734">
        <v>137.6945231896469</v>
      </c>
      <c r="E16955" s="733"/>
    </row>
    <row r="16956" spans="2:5">
      <c r="B16956" s="121">
        <v>1418</v>
      </c>
      <c r="C16956" s="121">
        <v>27</v>
      </c>
      <c r="D16956" s="734">
        <v>137.56368858675125</v>
      </c>
      <c r="E16956" s="733"/>
    </row>
    <row r="16957" spans="2:5">
      <c r="B16957" s="121">
        <v>1418</v>
      </c>
      <c r="C16957" s="121">
        <v>28</v>
      </c>
      <c r="D16957" s="734">
        <v>135.30209121234645</v>
      </c>
      <c r="E16957" s="733"/>
    </row>
    <row r="16958" spans="2:5">
      <c r="B16958" s="121">
        <v>1418</v>
      </c>
      <c r="C16958" s="121">
        <v>29</v>
      </c>
      <c r="D16958" s="734">
        <v>141.8323575346603</v>
      </c>
      <c r="E16958" s="733"/>
    </row>
    <row r="16959" spans="2:5">
      <c r="B16959" s="121">
        <v>1418</v>
      </c>
      <c r="C16959" s="121">
        <v>30</v>
      </c>
      <c r="D16959" s="734">
        <v>140.48186438080415</v>
      </c>
      <c r="E16959" s="733"/>
    </row>
    <row r="16960" spans="2:5">
      <c r="B16960" s="121">
        <v>1418</v>
      </c>
      <c r="C16960" s="121">
        <v>31</v>
      </c>
      <c r="D16960" s="734">
        <v>145.62657180898458</v>
      </c>
      <c r="E16960" s="733"/>
    </row>
    <row r="16961" spans="2:5">
      <c r="B16961" s="121">
        <v>1418</v>
      </c>
      <c r="C16961" s="121">
        <v>32</v>
      </c>
      <c r="D16961" s="734">
        <v>136.67292658985536</v>
      </c>
      <c r="E16961" s="733"/>
    </row>
    <row r="16962" spans="2:5">
      <c r="B16962" s="121">
        <v>1418</v>
      </c>
      <c r="C16962" s="121">
        <v>33</v>
      </c>
      <c r="D16962" s="734">
        <v>138.41967056376168</v>
      </c>
      <c r="E16962" s="733"/>
    </row>
    <row r="16963" spans="2:5">
      <c r="B16963" s="121">
        <v>1418</v>
      </c>
      <c r="C16963" s="121">
        <v>34</v>
      </c>
      <c r="D16963" s="734">
        <v>133.91001779348338</v>
      </c>
      <c r="E16963" s="733"/>
    </row>
    <row r="16964" spans="2:5">
      <c r="B16964" s="121">
        <v>1418</v>
      </c>
      <c r="C16964" s="121">
        <v>35</v>
      </c>
      <c r="D16964" s="734">
        <v>146.21852283040209</v>
      </c>
      <c r="E16964" s="733"/>
    </row>
    <row r="16965" spans="2:5">
      <c r="B16965" s="121">
        <v>1418</v>
      </c>
      <c r="C16965" s="121">
        <v>36</v>
      </c>
      <c r="D16965" s="734">
        <v>134.38975561869702</v>
      </c>
      <c r="E16965" s="733"/>
    </row>
    <row r="16966" spans="2:5">
      <c r="B16966" s="121">
        <v>1419</v>
      </c>
      <c r="C16966" s="121">
        <v>1</v>
      </c>
      <c r="D16966" s="734">
        <v>5</v>
      </c>
      <c r="E16966" s="733"/>
    </row>
    <row r="16967" spans="2:5">
      <c r="B16967" s="121">
        <v>1419</v>
      </c>
      <c r="C16967" s="121">
        <v>2</v>
      </c>
      <c r="D16967" s="734">
        <v>101.22847892802467</v>
      </c>
      <c r="E16967" s="733"/>
    </row>
    <row r="16968" spans="2:5">
      <c r="B16968" s="121">
        <v>1419</v>
      </c>
      <c r="C16968" s="121">
        <v>3</v>
      </c>
      <c r="D16968" s="734">
        <v>114.96876610117364</v>
      </c>
      <c r="E16968" s="733"/>
    </row>
    <row r="16969" spans="2:5">
      <c r="B16969" s="121">
        <v>1419</v>
      </c>
      <c r="C16969" s="121">
        <v>4</v>
      </c>
      <c r="D16969" s="734">
        <v>135.57737233573951</v>
      </c>
      <c r="E16969" s="733"/>
    </row>
    <row r="16970" spans="2:5">
      <c r="B16970" s="121">
        <v>1419</v>
      </c>
      <c r="C16970" s="121">
        <v>5</v>
      </c>
      <c r="D16970" s="734">
        <v>143.25731116647529</v>
      </c>
      <c r="E16970" s="733"/>
    </row>
    <row r="16971" spans="2:5">
      <c r="B16971" s="121">
        <v>1419</v>
      </c>
      <c r="C16971" s="121">
        <v>6</v>
      </c>
      <c r="D16971" s="734">
        <v>145.68892152969084</v>
      </c>
      <c r="E16971" s="733"/>
    </row>
    <row r="16972" spans="2:5">
      <c r="B16972" s="121">
        <v>1419</v>
      </c>
      <c r="C16972" s="121">
        <v>7</v>
      </c>
      <c r="D16972" s="734">
        <v>139.5275300353332</v>
      </c>
      <c r="E16972" s="733"/>
    </row>
    <row r="16973" spans="2:5">
      <c r="B16973" s="121">
        <v>1419</v>
      </c>
      <c r="C16973" s="121">
        <v>8</v>
      </c>
      <c r="D16973" s="734">
        <v>144.78721528727618</v>
      </c>
      <c r="E16973" s="733"/>
    </row>
    <row r="16974" spans="2:5">
      <c r="B16974" s="121">
        <v>1419</v>
      </c>
      <c r="C16974" s="121">
        <v>9</v>
      </c>
      <c r="D16974" s="734">
        <v>145.79516919639923</v>
      </c>
      <c r="E16974" s="733"/>
    </row>
    <row r="16975" spans="2:5">
      <c r="B16975" s="121">
        <v>1419</v>
      </c>
      <c r="C16975" s="121">
        <v>10</v>
      </c>
      <c r="D16975" s="734">
        <v>134.57038347007074</v>
      </c>
      <c r="E16975" s="733"/>
    </row>
    <row r="16976" spans="2:5">
      <c r="B16976" s="121">
        <v>1419</v>
      </c>
      <c r="C16976" s="121">
        <v>11</v>
      </c>
      <c r="D16976" s="734">
        <v>136.9100386989677</v>
      </c>
      <c r="E16976" s="733"/>
    </row>
    <row r="16977" spans="2:5">
      <c r="B16977" s="121">
        <v>1419</v>
      </c>
      <c r="C16977" s="121">
        <v>12</v>
      </c>
      <c r="D16977" s="734">
        <v>144.90734739654332</v>
      </c>
      <c r="E16977" s="733"/>
    </row>
    <row r="16978" spans="2:5">
      <c r="B16978" s="121">
        <v>1419</v>
      </c>
      <c r="C16978" s="121">
        <v>13</v>
      </c>
      <c r="D16978" s="734">
        <v>143.73131277749627</v>
      </c>
      <c r="E16978" s="733"/>
    </row>
    <row r="16979" spans="2:5">
      <c r="B16979" s="121">
        <v>1420</v>
      </c>
      <c r="C16979" s="121">
        <v>1</v>
      </c>
      <c r="D16979" s="734">
        <v>5</v>
      </c>
      <c r="E16979" s="733"/>
    </row>
    <row r="16980" spans="2:5">
      <c r="B16980" s="121">
        <v>1420</v>
      </c>
      <c r="C16980" s="121">
        <v>2</v>
      </c>
      <c r="D16980" s="734">
        <v>99.670439919358373</v>
      </c>
      <c r="E16980" s="733"/>
    </row>
    <row r="16981" spans="2:5">
      <c r="B16981" s="121">
        <v>1420</v>
      </c>
      <c r="C16981" s="121">
        <v>3</v>
      </c>
      <c r="D16981" s="734">
        <v>121.17584916490028</v>
      </c>
      <c r="E16981" s="733"/>
    </row>
    <row r="16982" spans="2:5">
      <c r="B16982" s="121">
        <v>1420</v>
      </c>
      <c r="C16982" s="121">
        <v>4</v>
      </c>
      <c r="D16982" s="734">
        <v>143.52154503890225</v>
      </c>
      <c r="E16982" s="733"/>
    </row>
    <row r="16983" spans="2:5">
      <c r="B16983" s="121">
        <v>1420</v>
      </c>
      <c r="C16983" s="121">
        <v>5</v>
      </c>
      <c r="D16983" s="734">
        <v>141.74761831066371</v>
      </c>
      <c r="E16983" s="733"/>
    </row>
    <row r="16984" spans="2:5">
      <c r="B16984" s="121">
        <v>1420</v>
      </c>
      <c r="C16984" s="121">
        <v>6</v>
      </c>
      <c r="D16984" s="734">
        <v>146.79643259788071</v>
      </c>
      <c r="E16984" s="733"/>
    </row>
    <row r="16985" spans="2:5">
      <c r="B16985" s="121">
        <v>1420</v>
      </c>
      <c r="C16985" s="121">
        <v>7</v>
      </c>
      <c r="D16985" s="734">
        <v>134.54806591083661</v>
      </c>
      <c r="E16985" s="733"/>
    </row>
    <row r="16986" spans="2:5">
      <c r="B16986" s="121">
        <v>1420</v>
      </c>
      <c r="C16986" s="121">
        <v>8</v>
      </c>
      <c r="D16986" s="734">
        <v>144.67550348729154</v>
      </c>
      <c r="E16986" s="733"/>
    </row>
    <row r="16987" spans="2:5">
      <c r="B16987" s="121">
        <v>1420</v>
      </c>
      <c r="C16987" s="121">
        <v>9</v>
      </c>
      <c r="D16987" s="734">
        <v>135.31602081477646</v>
      </c>
      <c r="E16987" s="733"/>
    </row>
    <row r="16988" spans="2:5">
      <c r="B16988" s="121">
        <v>1420</v>
      </c>
      <c r="C16988" s="121">
        <v>10</v>
      </c>
      <c r="D16988" s="734">
        <v>133.74971096989191</v>
      </c>
      <c r="E16988" s="733"/>
    </row>
    <row r="16989" spans="2:5">
      <c r="B16989" s="121">
        <v>1420</v>
      </c>
      <c r="C16989" s="121">
        <v>11</v>
      </c>
      <c r="D16989" s="734">
        <v>145.74077984925952</v>
      </c>
      <c r="E16989" s="733"/>
    </row>
    <row r="16990" spans="2:5">
      <c r="B16990" s="121">
        <v>1420</v>
      </c>
      <c r="C16990" s="121">
        <v>12</v>
      </c>
      <c r="D16990" s="734">
        <v>137.91854175495172</v>
      </c>
      <c r="E16990" s="733"/>
    </row>
    <row r="16991" spans="2:5">
      <c r="B16991" s="121">
        <v>1420</v>
      </c>
      <c r="C16991" s="121">
        <v>13</v>
      </c>
      <c r="D16991" s="734">
        <v>143.23691555940778</v>
      </c>
      <c r="E16991" s="733"/>
    </row>
    <row r="16992" spans="2:5">
      <c r="B16992" s="121">
        <v>1420</v>
      </c>
      <c r="C16992" s="121">
        <v>14</v>
      </c>
      <c r="D16992" s="734">
        <v>143.76409222706769</v>
      </c>
      <c r="E16992" s="733"/>
    </row>
    <row r="16993" spans="2:5">
      <c r="B16993" s="121">
        <v>1420</v>
      </c>
      <c r="C16993" s="121">
        <v>15</v>
      </c>
      <c r="D16993" s="734">
        <v>146.31900551314163</v>
      </c>
      <c r="E16993" s="733"/>
    </row>
    <row r="16994" spans="2:5">
      <c r="B16994" s="121">
        <v>1420</v>
      </c>
      <c r="C16994" s="121">
        <v>16</v>
      </c>
      <c r="D16994" s="734">
        <v>146.63142539171875</v>
      </c>
      <c r="E16994" s="733"/>
    </row>
    <row r="16995" spans="2:5">
      <c r="B16995" s="121">
        <v>1420</v>
      </c>
      <c r="C16995" s="121">
        <v>17</v>
      </c>
      <c r="D16995" s="734">
        <v>134.75700851199477</v>
      </c>
      <c r="E16995" s="733"/>
    </row>
    <row r="16996" spans="2:5">
      <c r="B16996" s="121">
        <v>1420</v>
      </c>
      <c r="C16996" s="121">
        <v>18</v>
      </c>
      <c r="D16996" s="734">
        <v>146.83661452688935</v>
      </c>
      <c r="E16996" s="733"/>
    </row>
    <row r="16997" spans="2:5">
      <c r="B16997" s="121">
        <v>1420</v>
      </c>
      <c r="C16997" s="121">
        <v>19</v>
      </c>
      <c r="D16997" s="734">
        <v>143.49452853497863</v>
      </c>
      <c r="E16997" s="733"/>
    </row>
    <row r="16998" spans="2:5">
      <c r="B16998" s="121">
        <v>1420</v>
      </c>
      <c r="C16998" s="121">
        <v>20</v>
      </c>
      <c r="D16998" s="734">
        <v>139.41438623101106</v>
      </c>
      <c r="E16998" s="733"/>
    </row>
    <row r="16999" spans="2:5">
      <c r="B16999" s="121">
        <v>1420</v>
      </c>
      <c r="C16999" s="121">
        <v>21</v>
      </c>
      <c r="D16999" s="734">
        <v>145.00798228930765</v>
      </c>
      <c r="E16999" s="733"/>
    </row>
    <row r="17000" spans="2:5">
      <c r="B17000" s="121">
        <v>1420</v>
      </c>
      <c r="C17000" s="121">
        <v>22</v>
      </c>
      <c r="D17000" s="734">
        <v>146.33487827965698</v>
      </c>
      <c r="E17000" s="733"/>
    </row>
    <row r="17001" spans="2:5">
      <c r="B17001" s="121">
        <v>1420</v>
      </c>
      <c r="C17001" s="121">
        <v>23</v>
      </c>
      <c r="D17001" s="734">
        <v>144.70877816052345</v>
      </c>
      <c r="E17001" s="733"/>
    </row>
    <row r="17002" spans="2:5">
      <c r="B17002" s="121">
        <v>1420</v>
      </c>
      <c r="C17002" s="121">
        <v>24</v>
      </c>
      <c r="D17002" s="734">
        <v>145.40611237177211</v>
      </c>
      <c r="E17002" s="733"/>
    </row>
    <row r="17003" spans="2:5">
      <c r="B17003" s="121">
        <v>1420</v>
      </c>
      <c r="C17003" s="121">
        <v>25</v>
      </c>
      <c r="D17003" s="734">
        <v>139.53533985840676</v>
      </c>
      <c r="E17003" s="733"/>
    </row>
    <row r="17004" spans="2:5">
      <c r="B17004" s="121">
        <v>1420</v>
      </c>
      <c r="C17004" s="121">
        <v>26</v>
      </c>
      <c r="D17004" s="734">
        <v>141.72713676367891</v>
      </c>
      <c r="E17004" s="733"/>
    </row>
    <row r="17005" spans="2:5">
      <c r="B17005" s="121">
        <v>1421</v>
      </c>
      <c r="C17005" s="121">
        <v>1</v>
      </c>
      <c r="D17005" s="734">
        <v>5</v>
      </c>
      <c r="E17005" s="733"/>
    </row>
    <row r="17006" spans="2:5">
      <c r="B17006" s="121">
        <v>1421</v>
      </c>
      <c r="C17006" s="121">
        <v>2</v>
      </c>
      <c r="D17006" s="734">
        <v>96.886666260386335</v>
      </c>
      <c r="E17006" s="733"/>
    </row>
    <row r="17007" spans="2:5">
      <c r="B17007" s="121">
        <v>1421</v>
      </c>
      <c r="C17007" s="121">
        <v>3</v>
      </c>
      <c r="D17007" s="734">
        <v>115.25185872714601</v>
      </c>
      <c r="E17007" s="733"/>
    </row>
    <row r="17008" spans="2:5">
      <c r="B17008" s="121">
        <v>1421</v>
      </c>
      <c r="C17008" s="121">
        <v>4</v>
      </c>
      <c r="D17008" s="734">
        <v>134.62303545777985</v>
      </c>
      <c r="E17008" s="733"/>
    </row>
    <row r="17009" spans="2:5">
      <c r="B17009" s="121">
        <v>1421</v>
      </c>
      <c r="C17009" s="121">
        <v>5</v>
      </c>
      <c r="D17009" s="734">
        <v>140.73695114556961</v>
      </c>
      <c r="E17009" s="733"/>
    </row>
    <row r="17010" spans="2:5">
      <c r="B17010" s="121">
        <v>1421</v>
      </c>
      <c r="C17010" s="121">
        <v>6</v>
      </c>
      <c r="D17010" s="734">
        <v>141.72313205888213</v>
      </c>
      <c r="E17010" s="733"/>
    </row>
    <row r="17011" spans="2:5">
      <c r="B17011" s="121">
        <v>1421</v>
      </c>
      <c r="C17011" s="121">
        <v>7</v>
      </c>
      <c r="D17011" s="734">
        <v>142.98964100773341</v>
      </c>
      <c r="E17011" s="733"/>
    </row>
    <row r="17012" spans="2:5">
      <c r="B17012" s="121">
        <v>1421</v>
      </c>
      <c r="C17012" s="121">
        <v>8</v>
      </c>
      <c r="D17012" s="734">
        <v>142.76583662859503</v>
      </c>
      <c r="E17012" s="733"/>
    </row>
    <row r="17013" spans="2:5">
      <c r="B17013" s="121">
        <v>1421</v>
      </c>
      <c r="C17013" s="121">
        <v>9</v>
      </c>
      <c r="D17013" s="734">
        <v>138.92397055382597</v>
      </c>
      <c r="E17013" s="733"/>
    </row>
    <row r="17014" spans="2:5">
      <c r="B17014" s="121">
        <v>1421</v>
      </c>
      <c r="C17014" s="121">
        <v>10</v>
      </c>
      <c r="D17014" s="734">
        <v>142.58291560349903</v>
      </c>
      <c r="E17014" s="733"/>
    </row>
    <row r="17015" spans="2:5">
      <c r="B17015" s="121">
        <v>1421</v>
      </c>
      <c r="C17015" s="121">
        <v>11</v>
      </c>
      <c r="D17015" s="734">
        <v>145.04279587735496</v>
      </c>
      <c r="E17015" s="733"/>
    </row>
    <row r="17016" spans="2:5">
      <c r="B17016" s="121">
        <v>1421</v>
      </c>
      <c r="C17016" s="121">
        <v>12</v>
      </c>
      <c r="D17016" s="734">
        <v>135.71685252946472</v>
      </c>
      <c r="E17016" s="733"/>
    </row>
    <row r="17017" spans="2:5">
      <c r="B17017" s="121">
        <v>1421</v>
      </c>
      <c r="C17017" s="121">
        <v>13</v>
      </c>
      <c r="D17017" s="734">
        <v>138.5715668332985</v>
      </c>
      <c r="E17017" s="733"/>
    </row>
    <row r="17018" spans="2:5">
      <c r="B17018" s="121">
        <v>1421</v>
      </c>
      <c r="C17018" s="121">
        <v>14</v>
      </c>
      <c r="D17018" s="734">
        <v>135.23222785146959</v>
      </c>
      <c r="E17018" s="733"/>
    </row>
    <row r="17019" spans="2:5">
      <c r="B17019" s="121">
        <v>1421</v>
      </c>
      <c r="C17019" s="121">
        <v>15</v>
      </c>
      <c r="D17019" s="734">
        <v>138.81737132487754</v>
      </c>
      <c r="E17019" s="733"/>
    </row>
    <row r="17020" spans="2:5">
      <c r="B17020" s="121">
        <v>1421</v>
      </c>
      <c r="C17020" s="121">
        <v>16</v>
      </c>
      <c r="D17020" s="734">
        <v>145.95716352361572</v>
      </c>
      <c r="E17020" s="733"/>
    </row>
    <row r="17021" spans="2:5">
      <c r="B17021" s="121">
        <v>1421</v>
      </c>
      <c r="C17021" s="121">
        <v>17</v>
      </c>
      <c r="D17021" s="734">
        <v>141.81094579944047</v>
      </c>
      <c r="E17021" s="733"/>
    </row>
    <row r="17022" spans="2:5">
      <c r="B17022" s="121">
        <v>1421</v>
      </c>
      <c r="C17022" s="121">
        <v>18</v>
      </c>
      <c r="D17022" s="734">
        <v>142.25048211393511</v>
      </c>
      <c r="E17022" s="733"/>
    </row>
    <row r="17023" spans="2:5">
      <c r="B17023" s="121">
        <v>1421</v>
      </c>
      <c r="C17023" s="121">
        <v>19</v>
      </c>
      <c r="D17023" s="734">
        <v>135.60208179728122</v>
      </c>
      <c r="E17023" s="733"/>
    </row>
    <row r="17024" spans="2:5">
      <c r="B17024" s="121">
        <v>1422</v>
      </c>
      <c r="C17024" s="121">
        <v>1</v>
      </c>
      <c r="D17024" s="734">
        <v>5</v>
      </c>
      <c r="E17024" s="733"/>
    </row>
    <row r="17025" spans="2:5">
      <c r="B17025" s="121">
        <v>1422</v>
      </c>
      <c r="C17025" s="121">
        <v>2</v>
      </c>
      <c r="D17025" s="734">
        <v>94.257384368713602</v>
      </c>
      <c r="E17025" s="733"/>
    </row>
    <row r="17026" spans="2:5">
      <c r="B17026" s="121">
        <v>1422</v>
      </c>
      <c r="C17026" s="121">
        <v>3</v>
      </c>
      <c r="D17026" s="734">
        <v>115.22237124421324</v>
      </c>
      <c r="E17026" s="733"/>
    </row>
    <row r="17027" spans="2:5">
      <c r="B17027" s="121">
        <v>1422</v>
      </c>
      <c r="C17027" s="121">
        <v>4</v>
      </c>
      <c r="D17027" s="734">
        <v>137.34457701123213</v>
      </c>
      <c r="E17027" s="733"/>
    </row>
    <row r="17028" spans="2:5">
      <c r="B17028" s="121">
        <v>1422</v>
      </c>
      <c r="C17028" s="121">
        <v>5</v>
      </c>
      <c r="D17028" s="734">
        <v>135.72962320051354</v>
      </c>
      <c r="E17028" s="733"/>
    </row>
    <row r="17029" spans="2:5">
      <c r="B17029" s="121">
        <v>1423</v>
      </c>
      <c r="C17029" s="121">
        <v>1</v>
      </c>
      <c r="D17029" s="734">
        <v>5</v>
      </c>
      <c r="E17029" s="733"/>
    </row>
    <row r="17030" spans="2:5">
      <c r="B17030" s="121">
        <v>1424</v>
      </c>
      <c r="C17030" s="121">
        <v>1</v>
      </c>
      <c r="D17030" s="734">
        <v>5</v>
      </c>
      <c r="E17030" s="733"/>
    </row>
    <row r="17031" spans="2:5">
      <c r="B17031" s="121">
        <v>1424</v>
      </c>
      <c r="C17031" s="121">
        <v>2</v>
      </c>
      <c r="D17031" s="734">
        <v>96.536874232224918</v>
      </c>
      <c r="E17031" s="733"/>
    </row>
    <row r="17032" spans="2:5">
      <c r="B17032" s="121">
        <v>1424</v>
      </c>
      <c r="C17032" s="121">
        <v>3</v>
      </c>
      <c r="D17032" s="734">
        <v>121.42745407855024</v>
      </c>
      <c r="E17032" s="733"/>
    </row>
    <row r="17033" spans="2:5">
      <c r="B17033" s="121">
        <v>1424</v>
      </c>
      <c r="C17033" s="121">
        <v>4</v>
      </c>
      <c r="D17033" s="734">
        <v>145.54520754504497</v>
      </c>
      <c r="E17033" s="733"/>
    </row>
    <row r="17034" spans="2:5">
      <c r="B17034" s="121">
        <v>1424</v>
      </c>
      <c r="C17034" s="121">
        <v>5</v>
      </c>
      <c r="D17034" s="734">
        <v>138.44820497997492</v>
      </c>
      <c r="E17034" s="733"/>
    </row>
    <row r="17035" spans="2:5">
      <c r="B17035" s="121">
        <v>1425</v>
      </c>
      <c r="C17035" s="121">
        <v>1</v>
      </c>
      <c r="D17035" s="734">
        <v>5</v>
      </c>
      <c r="E17035" s="733"/>
    </row>
    <row r="17036" spans="2:5">
      <c r="B17036" s="121">
        <v>1425</v>
      </c>
      <c r="C17036" s="121">
        <v>2</v>
      </c>
      <c r="D17036" s="734">
        <v>103.05508475848298</v>
      </c>
      <c r="E17036" s="733"/>
    </row>
    <row r="17037" spans="2:5">
      <c r="B17037" s="121">
        <v>1425</v>
      </c>
      <c r="C17037" s="121">
        <v>3</v>
      </c>
      <c r="D17037" s="734">
        <v>116.69909784295905</v>
      </c>
      <c r="E17037" s="733"/>
    </row>
    <row r="17038" spans="2:5">
      <c r="B17038" s="121">
        <v>1425</v>
      </c>
      <c r="C17038" s="121">
        <v>4</v>
      </c>
      <c r="D17038" s="734">
        <v>144.33012959942522</v>
      </c>
      <c r="E17038" s="733"/>
    </row>
    <row r="17039" spans="2:5">
      <c r="B17039" s="121">
        <v>1425</v>
      </c>
      <c r="C17039" s="121">
        <v>5</v>
      </c>
      <c r="D17039" s="734">
        <v>143.73065861514937</v>
      </c>
      <c r="E17039" s="733"/>
    </row>
    <row r="17040" spans="2:5">
      <c r="B17040" s="121">
        <v>1425</v>
      </c>
      <c r="C17040" s="121">
        <v>6</v>
      </c>
      <c r="D17040" s="734">
        <v>136.38012130386059</v>
      </c>
      <c r="E17040" s="733"/>
    </row>
    <row r="17041" spans="2:5">
      <c r="B17041" s="121">
        <v>1425</v>
      </c>
      <c r="C17041" s="121">
        <v>7</v>
      </c>
      <c r="D17041" s="734">
        <v>136.85138022524094</v>
      </c>
      <c r="E17041" s="733"/>
    </row>
    <row r="17042" spans="2:5">
      <c r="B17042" s="121">
        <v>1425</v>
      </c>
      <c r="C17042" s="121">
        <v>8</v>
      </c>
      <c r="D17042" s="734">
        <v>139.53802942953138</v>
      </c>
      <c r="E17042" s="733"/>
    </row>
    <row r="17043" spans="2:5">
      <c r="B17043" s="121">
        <v>1425</v>
      </c>
      <c r="C17043" s="121">
        <v>9</v>
      </c>
      <c r="D17043" s="734">
        <v>136.4022480552463</v>
      </c>
      <c r="E17043" s="733"/>
    </row>
    <row r="17044" spans="2:5">
      <c r="B17044" s="121">
        <v>1425</v>
      </c>
      <c r="C17044" s="121">
        <v>10</v>
      </c>
      <c r="D17044" s="734">
        <v>145.29026125192368</v>
      </c>
      <c r="E17044" s="733"/>
    </row>
    <row r="17045" spans="2:5">
      <c r="B17045" s="121">
        <v>1425</v>
      </c>
      <c r="C17045" s="121">
        <v>11</v>
      </c>
      <c r="D17045" s="734">
        <v>134.21863340664308</v>
      </c>
      <c r="E17045" s="733"/>
    </row>
    <row r="17046" spans="2:5">
      <c r="B17046" s="121">
        <v>1426</v>
      </c>
      <c r="C17046" s="121">
        <v>1</v>
      </c>
      <c r="D17046" s="734">
        <v>5</v>
      </c>
      <c r="E17046" s="733"/>
    </row>
    <row r="17047" spans="2:5">
      <c r="B17047" s="121">
        <v>1427</v>
      </c>
      <c r="C17047" s="121">
        <v>1</v>
      </c>
      <c r="D17047" s="734">
        <v>5</v>
      </c>
      <c r="E17047" s="733"/>
    </row>
    <row r="17048" spans="2:5">
      <c r="B17048" s="121">
        <v>1428</v>
      </c>
      <c r="C17048" s="121">
        <v>1</v>
      </c>
      <c r="D17048" s="734">
        <v>5</v>
      </c>
      <c r="E17048" s="733"/>
    </row>
    <row r="17049" spans="2:5">
      <c r="B17049" s="121">
        <v>1429</v>
      </c>
      <c r="C17049" s="121">
        <v>1</v>
      </c>
      <c r="D17049" s="734">
        <v>5</v>
      </c>
      <c r="E17049" s="733"/>
    </row>
    <row r="17050" spans="2:5">
      <c r="B17050" s="121">
        <v>1429</v>
      </c>
      <c r="C17050" s="121">
        <v>2</v>
      </c>
      <c r="D17050" s="734">
        <v>99.075634348529476</v>
      </c>
      <c r="E17050" s="733"/>
    </row>
    <row r="17051" spans="2:5">
      <c r="B17051" s="121">
        <v>1429</v>
      </c>
      <c r="C17051" s="121">
        <v>3</v>
      </c>
      <c r="D17051" s="734">
        <v>121.87443228890926</v>
      </c>
      <c r="E17051" s="733"/>
    </row>
    <row r="17052" spans="2:5">
      <c r="B17052" s="121">
        <v>1429</v>
      </c>
      <c r="C17052" s="121">
        <v>4</v>
      </c>
      <c r="D17052" s="734">
        <v>140.34216875477597</v>
      </c>
      <c r="E17052" s="733"/>
    </row>
    <row r="17053" spans="2:5">
      <c r="B17053" s="121">
        <v>1429</v>
      </c>
      <c r="C17053" s="121">
        <v>5</v>
      </c>
      <c r="D17053" s="734">
        <v>144.44613026684621</v>
      </c>
      <c r="E17053" s="733"/>
    </row>
    <row r="17054" spans="2:5">
      <c r="B17054" s="121">
        <v>1429</v>
      </c>
      <c r="C17054" s="121">
        <v>6</v>
      </c>
      <c r="D17054" s="734">
        <v>133.74134769330516</v>
      </c>
      <c r="E17054" s="733"/>
    </row>
    <row r="17055" spans="2:5">
      <c r="B17055" s="121">
        <v>1429</v>
      </c>
      <c r="C17055" s="121">
        <v>7</v>
      </c>
      <c r="D17055" s="734">
        <v>140.60169330935409</v>
      </c>
      <c r="E17055" s="733"/>
    </row>
    <row r="17056" spans="2:5">
      <c r="B17056" s="121">
        <v>1429</v>
      </c>
      <c r="C17056" s="121">
        <v>8</v>
      </c>
      <c r="D17056" s="734">
        <v>142.02129707217361</v>
      </c>
      <c r="E17056" s="733"/>
    </row>
    <row r="17057" spans="2:5">
      <c r="B17057" s="121">
        <v>1429</v>
      </c>
      <c r="C17057" s="121">
        <v>9</v>
      </c>
      <c r="D17057" s="734">
        <v>146.21984118832503</v>
      </c>
      <c r="E17057" s="733"/>
    </row>
    <row r="17058" spans="2:5">
      <c r="B17058" s="121">
        <v>1429</v>
      </c>
      <c r="C17058" s="121">
        <v>10</v>
      </c>
      <c r="D17058" s="734">
        <v>138.30569509257887</v>
      </c>
      <c r="E17058" s="733"/>
    </row>
    <row r="17059" spans="2:5">
      <c r="B17059" s="121">
        <v>1429</v>
      </c>
      <c r="C17059" s="121">
        <v>11</v>
      </c>
      <c r="D17059" s="734">
        <v>141.40045822399338</v>
      </c>
      <c r="E17059" s="733"/>
    </row>
    <row r="17060" spans="2:5">
      <c r="B17060" s="121">
        <v>1429</v>
      </c>
      <c r="C17060" s="121">
        <v>12</v>
      </c>
      <c r="D17060" s="734">
        <v>140.72003731269035</v>
      </c>
      <c r="E17060" s="733"/>
    </row>
    <row r="17061" spans="2:5">
      <c r="B17061" s="121">
        <v>1429</v>
      </c>
      <c r="C17061" s="121">
        <v>13</v>
      </c>
      <c r="D17061" s="734">
        <v>143.50970647531193</v>
      </c>
      <c r="E17061" s="733"/>
    </row>
    <row r="17062" spans="2:5">
      <c r="B17062" s="121">
        <v>1429</v>
      </c>
      <c r="C17062" s="121">
        <v>14</v>
      </c>
      <c r="D17062" s="734">
        <v>137.68260975225809</v>
      </c>
      <c r="E17062" s="733"/>
    </row>
    <row r="17063" spans="2:5">
      <c r="B17063" s="121">
        <v>1429</v>
      </c>
      <c r="C17063" s="121">
        <v>15</v>
      </c>
      <c r="D17063" s="734">
        <v>136.26731462724263</v>
      </c>
      <c r="E17063" s="733"/>
    </row>
    <row r="17064" spans="2:5">
      <c r="B17064" s="121">
        <v>1429</v>
      </c>
      <c r="C17064" s="121">
        <v>16</v>
      </c>
      <c r="D17064" s="734">
        <v>138.64554795159196</v>
      </c>
      <c r="E17064" s="733"/>
    </row>
    <row r="17065" spans="2:5">
      <c r="B17065" s="121">
        <v>1429</v>
      </c>
      <c r="C17065" s="121">
        <v>17</v>
      </c>
      <c r="D17065" s="734">
        <v>139.56362414456424</v>
      </c>
      <c r="E17065" s="733"/>
    </row>
    <row r="17066" spans="2:5">
      <c r="B17066" s="121">
        <v>1429</v>
      </c>
      <c r="C17066" s="121">
        <v>18</v>
      </c>
      <c r="D17066" s="734">
        <v>136.69350904464352</v>
      </c>
      <c r="E17066" s="733"/>
    </row>
    <row r="17067" spans="2:5">
      <c r="B17067" s="121">
        <v>1429</v>
      </c>
      <c r="C17067" s="121">
        <v>19</v>
      </c>
      <c r="D17067" s="734">
        <v>145.94529187756456</v>
      </c>
      <c r="E17067" s="733"/>
    </row>
    <row r="17068" spans="2:5">
      <c r="B17068" s="121">
        <v>1429</v>
      </c>
      <c r="C17068" s="121">
        <v>20</v>
      </c>
      <c r="D17068" s="734">
        <v>146.67062467936867</v>
      </c>
      <c r="E17068" s="733"/>
    </row>
    <row r="17069" spans="2:5">
      <c r="B17069" s="121">
        <v>1429</v>
      </c>
      <c r="C17069" s="121">
        <v>21</v>
      </c>
      <c r="D17069" s="734">
        <v>145.81530928978913</v>
      </c>
      <c r="E17069" s="733"/>
    </row>
    <row r="17070" spans="2:5">
      <c r="B17070" s="121">
        <v>1429</v>
      </c>
      <c r="C17070" s="121">
        <v>22</v>
      </c>
      <c r="D17070" s="734">
        <v>134.3647736788015</v>
      </c>
      <c r="E17070" s="733"/>
    </row>
    <row r="17071" spans="2:5">
      <c r="B17071" s="121">
        <v>1429</v>
      </c>
      <c r="C17071" s="121">
        <v>23</v>
      </c>
      <c r="D17071" s="734">
        <v>141.85033636581585</v>
      </c>
      <c r="E17071" s="733"/>
    </row>
    <row r="17072" spans="2:5">
      <c r="B17072" s="121">
        <v>1429</v>
      </c>
      <c r="C17072" s="121">
        <v>24</v>
      </c>
      <c r="D17072" s="734">
        <v>143.07978417121518</v>
      </c>
      <c r="E17072" s="733"/>
    </row>
    <row r="17073" spans="2:5">
      <c r="B17073" s="121">
        <v>1429</v>
      </c>
      <c r="C17073" s="121">
        <v>25</v>
      </c>
      <c r="D17073" s="734">
        <v>146.41028500960147</v>
      </c>
      <c r="E17073" s="733"/>
    </row>
    <row r="17074" spans="2:5">
      <c r="B17074" s="121">
        <v>1429</v>
      </c>
      <c r="C17074" s="121">
        <v>26</v>
      </c>
      <c r="D17074" s="734">
        <v>143.51690467530113</v>
      </c>
      <c r="E17074" s="733"/>
    </row>
    <row r="17075" spans="2:5">
      <c r="B17075" s="121">
        <v>1429</v>
      </c>
      <c r="C17075" s="121">
        <v>27</v>
      </c>
      <c r="D17075" s="734">
        <v>146.54963876904085</v>
      </c>
      <c r="E17075" s="733"/>
    </row>
    <row r="17076" spans="2:5">
      <c r="B17076" s="121">
        <v>1429</v>
      </c>
      <c r="C17076" s="121">
        <v>28</v>
      </c>
      <c r="D17076" s="734">
        <v>146.232274119838</v>
      </c>
      <c r="E17076" s="733"/>
    </row>
    <row r="17077" spans="2:5">
      <c r="B17077" s="121">
        <v>1429</v>
      </c>
      <c r="C17077" s="121">
        <v>29</v>
      </c>
      <c r="D17077" s="734">
        <v>146.55906838989429</v>
      </c>
      <c r="E17077" s="733"/>
    </row>
    <row r="17078" spans="2:5">
      <c r="B17078" s="121">
        <v>1429</v>
      </c>
      <c r="C17078" s="121">
        <v>30</v>
      </c>
      <c r="D17078" s="734">
        <v>139.97647514522077</v>
      </c>
      <c r="E17078" s="733"/>
    </row>
    <row r="17079" spans="2:5">
      <c r="B17079" s="121">
        <v>1429</v>
      </c>
      <c r="C17079" s="121">
        <v>31</v>
      </c>
      <c r="D17079" s="734">
        <v>140.97300826531659</v>
      </c>
      <c r="E17079" s="733"/>
    </row>
    <row r="17080" spans="2:5">
      <c r="B17080" s="121">
        <v>1429</v>
      </c>
      <c r="C17080" s="121">
        <v>32</v>
      </c>
      <c r="D17080" s="734">
        <v>138.00358576363755</v>
      </c>
      <c r="E17080" s="733"/>
    </row>
    <row r="17081" spans="2:5">
      <c r="B17081" s="121">
        <v>1430</v>
      </c>
      <c r="C17081" s="121">
        <v>1</v>
      </c>
      <c r="D17081" s="734">
        <v>5</v>
      </c>
      <c r="E17081" s="733"/>
    </row>
    <row r="17082" spans="2:5">
      <c r="B17082" s="121">
        <v>1431</v>
      </c>
      <c r="C17082" s="121">
        <v>1</v>
      </c>
      <c r="D17082" s="734">
        <v>5</v>
      </c>
      <c r="E17082" s="733"/>
    </row>
    <row r="17083" spans="2:5">
      <c r="B17083" s="121">
        <v>1431</v>
      </c>
      <c r="C17083" s="121">
        <v>2</v>
      </c>
      <c r="D17083" s="734">
        <v>102.78959927977593</v>
      </c>
      <c r="E17083" s="733"/>
    </row>
    <row r="17084" spans="2:5">
      <c r="B17084" s="121">
        <v>1431</v>
      </c>
      <c r="C17084" s="121">
        <v>3</v>
      </c>
      <c r="D17084" s="734">
        <v>115.15045864923263</v>
      </c>
      <c r="E17084" s="733"/>
    </row>
    <row r="17085" spans="2:5">
      <c r="B17085" s="121">
        <v>1432</v>
      </c>
      <c r="C17085" s="121">
        <v>1</v>
      </c>
      <c r="D17085" s="734">
        <v>5</v>
      </c>
      <c r="E17085" s="733"/>
    </row>
    <row r="17086" spans="2:5">
      <c r="B17086" s="121">
        <v>1432</v>
      </c>
      <c r="C17086" s="121">
        <v>2</v>
      </c>
      <c r="D17086" s="734">
        <v>96.709471117995818</v>
      </c>
      <c r="E17086" s="733"/>
    </row>
    <row r="17087" spans="2:5">
      <c r="B17087" s="121">
        <v>1432</v>
      </c>
      <c r="C17087" s="121">
        <v>3</v>
      </c>
      <c r="D17087" s="734">
        <v>119.7192777133406</v>
      </c>
      <c r="E17087" s="733"/>
    </row>
    <row r="17088" spans="2:5">
      <c r="B17088" s="121">
        <v>1432</v>
      </c>
      <c r="C17088" s="121">
        <v>4</v>
      </c>
      <c r="D17088" s="734">
        <v>135.72966617380558</v>
      </c>
      <c r="E17088" s="733"/>
    </row>
    <row r="17089" spans="2:5">
      <c r="B17089" s="121">
        <v>1432</v>
      </c>
      <c r="C17089" s="121">
        <v>5</v>
      </c>
      <c r="D17089" s="734">
        <v>137.41831666480331</v>
      </c>
      <c r="E17089" s="733"/>
    </row>
    <row r="17090" spans="2:5">
      <c r="B17090" s="121">
        <v>1432</v>
      </c>
      <c r="C17090" s="121">
        <v>6</v>
      </c>
      <c r="D17090" s="734">
        <v>137.71534363211006</v>
      </c>
      <c r="E17090" s="733"/>
    </row>
    <row r="17091" spans="2:5">
      <c r="B17091" s="121">
        <v>1432</v>
      </c>
      <c r="C17091" s="121">
        <v>7</v>
      </c>
      <c r="D17091" s="734">
        <v>134.4367347752999</v>
      </c>
      <c r="E17091" s="733"/>
    </row>
    <row r="17092" spans="2:5">
      <c r="B17092" s="121">
        <v>1432</v>
      </c>
      <c r="C17092" s="121">
        <v>8</v>
      </c>
      <c r="D17092" s="734">
        <v>142.53278153388825</v>
      </c>
      <c r="E17092" s="733"/>
    </row>
    <row r="17093" spans="2:5">
      <c r="B17093" s="121">
        <v>1432</v>
      </c>
      <c r="C17093" s="121">
        <v>9</v>
      </c>
      <c r="D17093" s="734">
        <v>141.01048630272805</v>
      </c>
      <c r="E17093" s="733"/>
    </row>
    <row r="17094" spans="2:5">
      <c r="B17094" s="121">
        <v>1433</v>
      </c>
      <c r="C17094" s="121">
        <v>1</v>
      </c>
      <c r="D17094" s="734">
        <v>5</v>
      </c>
      <c r="E17094" s="733"/>
    </row>
    <row r="17095" spans="2:5">
      <c r="B17095" s="121">
        <v>1434</v>
      </c>
      <c r="C17095" s="121">
        <v>1</v>
      </c>
      <c r="D17095" s="734">
        <v>5</v>
      </c>
      <c r="E17095" s="733"/>
    </row>
    <row r="17096" spans="2:5">
      <c r="B17096" s="121">
        <v>1434</v>
      </c>
      <c r="C17096" s="121">
        <v>2</v>
      </c>
      <c r="D17096" s="734">
        <v>96.114924177939869</v>
      </c>
      <c r="E17096" s="733"/>
    </row>
    <row r="17097" spans="2:5">
      <c r="B17097" s="121">
        <v>1434</v>
      </c>
      <c r="C17097" s="121">
        <v>3</v>
      </c>
      <c r="D17097" s="734">
        <v>115.01801881316925</v>
      </c>
      <c r="E17097" s="733"/>
    </row>
    <row r="17098" spans="2:5">
      <c r="B17098" s="121">
        <v>1434</v>
      </c>
      <c r="C17098" s="121">
        <v>4</v>
      </c>
      <c r="D17098" s="734">
        <v>135.03138272690742</v>
      </c>
      <c r="E17098" s="733"/>
    </row>
    <row r="17099" spans="2:5">
      <c r="B17099" s="121">
        <v>1434</v>
      </c>
      <c r="C17099" s="121">
        <v>5</v>
      </c>
      <c r="D17099" s="734">
        <v>141.19850181164625</v>
      </c>
      <c r="E17099" s="733"/>
    </row>
    <row r="17100" spans="2:5">
      <c r="B17100" s="121">
        <v>1434</v>
      </c>
      <c r="C17100" s="121">
        <v>6</v>
      </c>
      <c r="D17100" s="734">
        <v>140.24459810319706</v>
      </c>
      <c r="E17100" s="733"/>
    </row>
    <row r="17101" spans="2:5">
      <c r="B17101" s="121">
        <v>1434</v>
      </c>
      <c r="C17101" s="121">
        <v>7</v>
      </c>
      <c r="D17101" s="734">
        <v>136.72057340926926</v>
      </c>
      <c r="E17101" s="733"/>
    </row>
    <row r="17102" spans="2:5">
      <c r="B17102" s="121">
        <v>1434</v>
      </c>
      <c r="C17102" s="121">
        <v>8</v>
      </c>
      <c r="D17102" s="734">
        <v>135.51440519398554</v>
      </c>
      <c r="E17102" s="733"/>
    </row>
    <row r="17103" spans="2:5">
      <c r="B17103" s="121">
        <v>1434</v>
      </c>
      <c r="C17103" s="121">
        <v>9</v>
      </c>
      <c r="D17103" s="734">
        <v>136.26639140119215</v>
      </c>
      <c r="E17103" s="733"/>
    </row>
    <row r="17104" spans="2:5">
      <c r="B17104" s="121">
        <v>1434</v>
      </c>
      <c r="C17104" s="121">
        <v>10</v>
      </c>
      <c r="D17104" s="734">
        <v>146.26388946519822</v>
      </c>
      <c r="E17104" s="733"/>
    </row>
    <row r="17105" spans="2:5">
      <c r="B17105" s="121">
        <v>1434</v>
      </c>
      <c r="C17105" s="121">
        <v>11</v>
      </c>
      <c r="D17105" s="734">
        <v>134.8529874438824</v>
      </c>
      <c r="E17105" s="733"/>
    </row>
    <row r="17106" spans="2:5">
      <c r="B17106" s="121">
        <v>1434</v>
      </c>
      <c r="C17106" s="121">
        <v>12</v>
      </c>
      <c r="D17106" s="734">
        <v>136.39050720105018</v>
      </c>
      <c r="E17106" s="733"/>
    </row>
    <row r="17107" spans="2:5">
      <c r="B17107" s="121">
        <v>1434</v>
      </c>
      <c r="C17107" s="121">
        <v>13</v>
      </c>
      <c r="D17107" s="734">
        <v>135.67175165560445</v>
      </c>
      <c r="E17107" s="733"/>
    </row>
    <row r="17108" spans="2:5">
      <c r="B17108" s="121">
        <v>1434</v>
      </c>
      <c r="C17108" s="121">
        <v>14</v>
      </c>
      <c r="D17108" s="734">
        <v>140.736729316994</v>
      </c>
      <c r="E17108" s="733"/>
    </row>
    <row r="17109" spans="2:5">
      <c r="B17109" s="121">
        <v>1434</v>
      </c>
      <c r="C17109" s="121">
        <v>15</v>
      </c>
      <c r="D17109" s="734">
        <v>140.71999571737646</v>
      </c>
      <c r="E17109" s="733"/>
    </row>
    <row r="17110" spans="2:5">
      <c r="B17110" s="121">
        <v>1434</v>
      </c>
      <c r="C17110" s="121">
        <v>16</v>
      </c>
      <c r="D17110" s="734">
        <v>135.27330326471576</v>
      </c>
      <c r="E17110" s="733"/>
    </row>
    <row r="17111" spans="2:5">
      <c r="B17111" s="121">
        <v>1434</v>
      </c>
      <c r="C17111" s="121">
        <v>17</v>
      </c>
      <c r="D17111" s="734">
        <v>136.30435373734099</v>
      </c>
      <c r="E17111" s="733"/>
    </row>
    <row r="17112" spans="2:5">
      <c r="B17112" s="121">
        <v>1434</v>
      </c>
      <c r="C17112" s="121">
        <v>18</v>
      </c>
      <c r="D17112" s="734">
        <v>146.64209172677431</v>
      </c>
      <c r="E17112" s="733"/>
    </row>
    <row r="17113" spans="2:5">
      <c r="B17113" s="121">
        <v>1434</v>
      </c>
      <c r="C17113" s="121">
        <v>19</v>
      </c>
      <c r="D17113" s="734">
        <v>144.74657694627842</v>
      </c>
      <c r="E17113" s="733"/>
    </row>
    <row r="17114" spans="2:5">
      <c r="B17114" s="121">
        <v>1434</v>
      </c>
      <c r="C17114" s="121">
        <v>20</v>
      </c>
      <c r="D17114" s="734">
        <v>140.77463315056625</v>
      </c>
      <c r="E17114" s="733"/>
    </row>
    <row r="17115" spans="2:5">
      <c r="B17115" s="121">
        <v>1434</v>
      </c>
      <c r="C17115" s="121">
        <v>21</v>
      </c>
      <c r="D17115" s="734">
        <v>142.79381315586787</v>
      </c>
      <c r="E17115" s="733"/>
    </row>
    <row r="17116" spans="2:5">
      <c r="B17116" s="121">
        <v>1434</v>
      </c>
      <c r="C17116" s="121">
        <v>22</v>
      </c>
      <c r="D17116" s="734">
        <v>139.96162260003024</v>
      </c>
      <c r="E17116" s="733"/>
    </row>
    <row r="17117" spans="2:5">
      <c r="B17117" s="121">
        <v>1434</v>
      </c>
      <c r="C17117" s="121">
        <v>23</v>
      </c>
      <c r="D17117" s="734">
        <v>145.48194422772204</v>
      </c>
      <c r="E17117" s="733"/>
    </row>
    <row r="17118" spans="2:5">
      <c r="B17118" s="121">
        <v>1434</v>
      </c>
      <c r="C17118" s="121">
        <v>24</v>
      </c>
      <c r="D17118" s="734">
        <v>139.72552209931078</v>
      </c>
      <c r="E17118" s="733"/>
    </row>
    <row r="17119" spans="2:5">
      <c r="B17119" s="121">
        <v>1434</v>
      </c>
      <c r="C17119" s="121">
        <v>25</v>
      </c>
      <c r="D17119" s="734">
        <v>146.04122801238088</v>
      </c>
      <c r="E17119" s="733"/>
    </row>
    <row r="17120" spans="2:5">
      <c r="B17120" s="121">
        <v>1434</v>
      </c>
      <c r="C17120" s="121">
        <v>26</v>
      </c>
      <c r="D17120" s="734">
        <v>147.1011561727089</v>
      </c>
      <c r="E17120" s="733"/>
    </row>
    <row r="17121" spans="2:5">
      <c r="B17121" s="121">
        <v>1435</v>
      </c>
      <c r="C17121" s="121">
        <v>1</v>
      </c>
      <c r="D17121" s="734">
        <v>5</v>
      </c>
      <c r="E17121" s="733"/>
    </row>
    <row r="17122" spans="2:5">
      <c r="B17122" s="121">
        <v>1435</v>
      </c>
      <c r="C17122" s="121">
        <v>2</v>
      </c>
      <c r="D17122" s="734">
        <v>101.62440936577714</v>
      </c>
      <c r="E17122" s="733"/>
    </row>
    <row r="17123" spans="2:5">
      <c r="B17123" s="121">
        <v>1435</v>
      </c>
      <c r="C17123" s="121">
        <v>3</v>
      </c>
      <c r="D17123" s="734">
        <v>116.06677653787098</v>
      </c>
      <c r="E17123" s="733"/>
    </row>
    <row r="17124" spans="2:5">
      <c r="B17124" s="121">
        <v>1435</v>
      </c>
      <c r="C17124" s="121">
        <v>4</v>
      </c>
      <c r="D17124" s="734">
        <v>141.20523642326179</v>
      </c>
      <c r="E17124" s="733"/>
    </row>
    <row r="17125" spans="2:5">
      <c r="B17125" s="121">
        <v>1435</v>
      </c>
      <c r="C17125" s="121">
        <v>5</v>
      </c>
      <c r="D17125" s="734">
        <v>143.87308927796272</v>
      </c>
      <c r="E17125" s="733"/>
    </row>
    <row r="17126" spans="2:5">
      <c r="B17126" s="121">
        <v>1435</v>
      </c>
      <c r="C17126" s="121">
        <v>6</v>
      </c>
      <c r="D17126" s="734">
        <v>141.74636088969325</v>
      </c>
      <c r="E17126" s="733"/>
    </row>
    <row r="17127" spans="2:5">
      <c r="B17127" s="121">
        <v>1435</v>
      </c>
      <c r="C17127" s="121">
        <v>7</v>
      </c>
      <c r="D17127" s="734">
        <v>141.66333066519957</v>
      </c>
      <c r="E17127" s="733"/>
    </row>
    <row r="17128" spans="2:5">
      <c r="B17128" s="121">
        <v>1435</v>
      </c>
      <c r="C17128" s="121">
        <v>8</v>
      </c>
      <c r="D17128" s="734">
        <v>136.70728159803483</v>
      </c>
      <c r="E17128" s="733"/>
    </row>
    <row r="17129" spans="2:5">
      <c r="B17129" s="121">
        <v>1435</v>
      </c>
      <c r="C17129" s="121">
        <v>9</v>
      </c>
      <c r="D17129" s="734">
        <v>139.53861849620299</v>
      </c>
      <c r="E17129" s="733"/>
    </row>
    <row r="17130" spans="2:5">
      <c r="B17130" s="121">
        <v>1436</v>
      </c>
      <c r="C17130" s="121">
        <v>1</v>
      </c>
      <c r="D17130" s="734">
        <v>5</v>
      </c>
      <c r="E17130" s="733"/>
    </row>
    <row r="17131" spans="2:5">
      <c r="B17131" s="121">
        <v>1436</v>
      </c>
      <c r="C17131" s="121">
        <v>2</v>
      </c>
      <c r="D17131" s="734">
        <v>94.550604467092782</v>
      </c>
      <c r="E17131" s="733"/>
    </row>
    <row r="17132" spans="2:5">
      <c r="B17132" s="121">
        <v>1437</v>
      </c>
      <c r="C17132" s="121">
        <v>1</v>
      </c>
      <c r="D17132" s="734">
        <v>5</v>
      </c>
      <c r="E17132" s="733"/>
    </row>
    <row r="17133" spans="2:5">
      <c r="B17133" s="121">
        <v>1438</v>
      </c>
      <c r="C17133" s="121">
        <v>1</v>
      </c>
      <c r="D17133" s="734">
        <v>5</v>
      </c>
      <c r="E17133" s="733"/>
    </row>
    <row r="17134" spans="2:5">
      <c r="B17134" s="121">
        <v>1439</v>
      </c>
      <c r="C17134" s="121">
        <v>1</v>
      </c>
      <c r="D17134" s="734">
        <v>5</v>
      </c>
      <c r="E17134" s="733"/>
    </row>
    <row r="17135" spans="2:5">
      <c r="B17135" s="121">
        <v>1440</v>
      </c>
      <c r="C17135" s="121">
        <v>1</v>
      </c>
      <c r="D17135" s="734">
        <v>5</v>
      </c>
      <c r="E17135" s="733"/>
    </row>
    <row r="17136" spans="2:5">
      <c r="B17136" s="121">
        <v>1440</v>
      </c>
      <c r="C17136" s="121">
        <v>2</v>
      </c>
      <c r="D17136" s="734">
        <v>103.13500929429237</v>
      </c>
      <c r="E17136" s="733"/>
    </row>
    <row r="17137" spans="2:5">
      <c r="B17137" s="121">
        <v>1440</v>
      </c>
      <c r="C17137" s="121">
        <v>3</v>
      </c>
      <c r="D17137" s="734">
        <v>117.99922612061479</v>
      </c>
      <c r="E17137" s="733"/>
    </row>
    <row r="17138" spans="2:5">
      <c r="B17138" s="121">
        <v>1441</v>
      </c>
      <c r="C17138" s="121">
        <v>1</v>
      </c>
      <c r="D17138" s="734">
        <v>5</v>
      </c>
      <c r="E17138" s="733"/>
    </row>
    <row r="17139" spans="2:5">
      <c r="B17139" s="121">
        <v>1441</v>
      </c>
      <c r="C17139" s="121">
        <v>2</v>
      </c>
      <c r="D17139" s="734">
        <v>101.56156677668069</v>
      </c>
      <c r="E17139" s="733"/>
    </row>
    <row r="17140" spans="2:5">
      <c r="B17140" s="121">
        <v>1441</v>
      </c>
      <c r="C17140" s="121">
        <v>3</v>
      </c>
      <c r="D17140" s="734">
        <v>120.19410083743303</v>
      </c>
      <c r="E17140" s="733"/>
    </row>
    <row r="17141" spans="2:5">
      <c r="B17141" s="121">
        <v>1441</v>
      </c>
      <c r="C17141" s="121">
        <v>4</v>
      </c>
      <c r="D17141" s="734">
        <v>137.85410995269558</v>
      </c>
      <c r="E17141" s="733"/>
    </row>
    <row r="17142" spans="2:5">
      <c r="B17142" s="121">
        <v>1441</v>
      </c>
      <c r="C17142" s="121">
        <v>5</v>
      </c>
      <c r="D17142" s="734">
        <v>146.99644925598693</v>
      </c>
      <c r="E17142" s="733"/>
    </row>
    <row r="17143" spans="2:5">
      <c r="B17143" s="121">
        <v>1441</v>
      </c>
      <c r="C17143" s="121">
        <v>6</v>
      </c>
      <c r="D17143" s="734">
        <v>142.77730115328455</v>
      </c>
      <c r="E17143" s="733"/>
    </row>
    <row r="17144" spans="2:5">
      <c r="B17144" s="121">
        <v>1441</v>
      </c>
      <c r="C17144" s="121">
        <v>7</v>
      </c>
      <c r="D17144" s="734">
        <v>134.743570086039</v>
      </c>
      <c r="E17144" s="733"/>
    </row>
    <row r="17145" spans="2:5">
      <c r="B17145" s="121">
        <v>1441</v>
      </c>
      <c r="C17145" s="121">
        <v>8</v>
      </c>
      <c r="D17145" s="734">
        <v>144.94627121711511</v>
      </c>
      <c r="E17145" s="733"/>
    </row>
    <row r="17146" spans="2:5">
      <c r="B17146" s="121">
        <v>1441</v>
      </c>
      <c r="C17146" s="121">
        <v>9</v>
      </c>
      <c r="D17146" s="734">
        <v>135.29216320819103</v>
      </c>
      <c r="E17146" s="733"/>
    </row>
    <row r="17147" spans="2:5">
      <c r="B17147" s="121">
        <v>1441</v>
      </c>
      <c r="C17147" s="121">
        <v>10</v>
      </c>
      <c r="D17147" s="734">
        <v>143.95802630758217</v>
      </c>
      <c r="E17147" s="733"/>
    </row>
    <row r="17148" spans="2:5">
      <c r="B17148" s="121">
        <v>1441</v>
      </c>
      <c r="C17148" s="121">
        <v>11</v>
      </c>
      <c r="D17148" s="734">
        <v>145.34725680497391</v>
      </c>
      <c r="E17148" s="733"/>
    </row>
    <row r="17149" spans="2:5">
      <c r="B17149" s="121">
        <v>1441</v>
      </c>
      <c r="C17149" s="121">
        <v>12</v>
      </c>
      <c r="D17149" s="734">
        <v>141.38305259573391</v>
      </c>
      <c r="E17149" s="733"/>
    </row>
    <row r="17150" spans="2:5">
      <c r="B17150" s="121">
        <v>1441</v>
      </c>
      <c r="C17150" s="121">
        <v>13</v>
      </c>
      <c r="D17150" s="734">
        <v>141.729232753216</v>
      </c>
      <c r="E17150" s="733"/>
    </row>
    <row r="17151" spans="2:5">
      <c r="B17151" s="121">
        <v>1441</v>
      </c>
      <c r="C17151" s="121">
        <v>14</v>
      </c>
      <c r="D17151" s="734">
        <v>144.64949432541368</v>
      </c>
      <c r="E17151" s="733"/>
    </row>
    <row r="17152" spans="2:5">
      <c r="B17152" s="121">
        <v>1442</v>
      </c>
      <c r="C17152" s="121">
        <v>1</v>
      </c>
      <c r="D17152" s="734">
        <v>5</v>
      </c>
      <c r="E17152" s="733"/>
    </row>
    <row r="17153" spans="2:5">
      <c r="B17153" s="121">
        <v>1442</v>
      </c>
      <c r="C17153" s="121">
        <v>2</v>
      </c>
      <c r="D17153" s="734">
        <v>101.8006374496218</v>
      </c>
      <c r="E17153" s="733"/>
    </row>
    <row r="17154" spans="2:5">
      <c r="B17154" s="121">
        <v>1442</v>
      </c>
      <c r="C17154" s="121">
        <v>3</v>
      </c>
      <c r="D17154" s="734">
        <v>123.99472992355381</v>
      </c>
      <c r="E17154" s="733"/>
    </row>
    <row r="17155" spans="2:5">
      <c r="B17155" s="121">
        <v>1442</v>
      </c>
      <c r="C17155" s="121">
        <v>4</v>
      </c>
      <c r="D17155" s="734">
        <v>146.95149188706975</v>
      </c>
      <c r="E17155" s="733"/>
    </row>
    <row r="17156" spans="2:5">
      <c r="B17156" s="121">
        <v>1442</v>
      </c>
      <c r="C17156" s="121">
        <v>5</v>
      </c>
      <c r="D17156" s="734">
        <v>145.76567730743315</v>
      </c>
      <c r="E17156" s="733"/>
    </row>
    <row r="17157" spans="2:5">
      <c r="B17157" s="121">
        <v>1442</v>
      </c>
      <c r="C17157" s="121">
        <v>6</v>
      </c>
      <c r="D17157" s="734">
        <v>135.33248126139381</v>
      </c>
      <c r="E17157" s="733"/>
    </row>
    <row r="17158" spans="2:5">
      <c r="B17158" s="121">
        <v>1442</v>
      </c>
      <c r="C17158" s="121">
        <v>7</v>
      </c>
      <c r="D17158" s="734">
        <v>140.05134504818875</v>
      </c>
      <c r="E17158" s="733"/>
    </row>
    <row r="17159" spans="2:5">
      <c r="B17159" s="121">
        <v>1442</v>
      </c>
      <c r="C17159" s="121">
        <v>8</v>
      </c>
      <c r="D17159" s="734">
        <v>138.61202008813981</v>
      </c>
      <c r="E17159" s="733"/>
    </row>
    <row r="17160" spans="2:5">
      <c r="B17160" s="121">
        <v>1442</v>
      </c>
      <c r="C17160" s="121">
        <v>9</v>
      </c>
      <c r="D17160" s="734">
        <v>146.36209394904986</v>
      </c>
      <c r="E17160" s="733"/>
    </row>
    <row r="17161" spans="2:5">
      <c r="B17161" s="121">
        <v>1442</v>
      </c>
      <c r="C17161" s="121">
        <v>10</v>
      </c>
      <c r="D17161" s="734">
        <v>146.38144077097797</v>
      </c>
      <c r="E17161" s="733"/>
    </row>
    <row r="17162" spans="2:5">
      <c r="B17162" s="121">
        <v>1442</v>
      </c>
      <c r="C17162" s="121">
        <v>11</v>
      </c>
      <c r="D17162" s="734">
        <v>137.41197245893073</v>
      </c>
      <c r="E17162" s="733"/>
    </row>
    <row r="17163" spans="2:5">
      <c r="B17163" s="121">
        <v>1442</v>
      </c>
      <c r="C17163" s="121">
        <v>12</v>
      </c>
      <c r="D17163" s="734">
        <v>140.73116712702318</v>
      </c>
      <c r="E17163" s="733"/>
    </row>
    <row r="17164" spans="2:5">
      <c r="B17164" s="121">
        <v>1442</v>
      </c>
      <c r="C17164" s="121">
        <v>13</v>
      </c>
      <c r="D17164" s="734">
        <v>141.94528917916998</v>
      </c>
      <c r="E17164" s="733"/>
    </row>
    <row r="17165" spans="2:5">
      <c r="B17165" s="121">
        <v>1442</v>
      </c>
      <c r="C17165" s="121">
        <v>14</v>
      </c>
      <c r="D17165" s="734">
        <v>143.78769079375851</v>
      </c>
      <c r="E17165" s="733"/>
    </row>
    <row r="17166" spans="2:5">
      <c r="B17166" s="121">
        <v>1442</v>
      </c>
      <c r="C17166" s="121">
        <v>15</v>
      </c>
      <c r="D17166" s="734">
        <v>144.74185374526587</v>
      </c>
      <c r="E17166" s="733"/>
    </row>
    <row r="17167" spans="2:5">
      <c r="B17167" s="121">
        <v>1442</v>
      </c>
      <c r="C17167" s="121">
        <v>16</v>
      </c>
      <c r="D17167" s="734">
        <v>142.51301926771495</v>
      </c>
      <c r="E17167" s="733"/>
    </row>
    <row r="17168" spans="2:5">
      <c r="B17168" s="121">
        <v>1443</v>
      </c>
      <c r="C17168" s="121">
        <v>1</v>
      </c>
      <c r="D17168" s="734">
        <v>5</v>
      </c>
      <c r="E17168" s="733"/>
    </row>
    <row r="17169" spans="2:5">
      <c r="B17169" s="121">
        <v>1443</v>
      </c>
      <c r="C17169" s="121">
        <v>2</v>
      </c>
      <c r="D17169" s="734">
        <v>97.235259695577199</v>
      </c>
      <c r="E17169" s="733"/>
    </row>
    <row r="17170" spans="2:5">
      <c r="B17170" s="121">
        <v>1443</v>
      </c>
      <c r="C17170" s="121">
        <v>3</v>
      </c>
      <c r="D17170" s="734">
        <v>123.97929681786533</v>
      </c>
      <c r="E17170" s="733"/>
    </row>
    <row r="17171" spans="2:5">
      <c r="B17171" s="121">
        <v>1444</v>
      </c>
      <c r="C17171" s="121">
        <v>1</v>
      </c>
      <c r="D17171" s="734">
        <v>5</v>
      </c>
      <c r="E17171" s="733"/>
    </row>
    <row r="17172" spans="2:5">
      <c r="B17172" s="121">
        <v>1444</v>
      </c>
      <c r="C17172" s="121">
        <v>2</v>
      </c>
      <c r="D17172" s="734">
        <v>96.342564887664437</v>
      </c>
      <c r="E17172" s="733"/>
    </row>
    <row r="17173" spans="2:5">
      <c r="B17173" s="121">
        <v>1444</v>
      </c>
      <c r="C17173" s="121">
        <v>3</v>
      </c>
      <c r="D17173" s="734">
        <v>113.98936058964718</v>
      </c>
      <c r="E17173" s="733"/>
    </row>
    <row r="17174" spans="2:5">
      <c r="B17174" s="121">
        <v>1444</v>
      </c>
      <c r="C17174" s="121">
        <v>4</v>
      </c>
      <c r="D17174" s="734">
        <v>136.82239017430524</v>
      </c>
      <c r="E17174" s="733"/>
    </row>
    <row r="17175" spans="2:5">
      <c r="B17175" s="121">
        <v>1444</v>
      </c>
      <c r="C17175" s="121">
        <v>5</v>
      </c>
      <c r="D17175" s="734">
        <v>139.6013432223312</v>
      </c>
      <c r="E17175" s="733"/>
    </row>
    <row r="17176" spans="2:5">
      <c r="B17176" s="121">
        <v>1444</v>
      </c>
      <c r="C17176" s="121">
        <v>6</v>
      </c>
      <c r="D17176" s="734">
        <v>138.32037867112271</v>
      </c>
      <c r="E17176" s="733"/>
    </row>
    <row r="17177" spans="2:5">
      <c r="B17177" s="121">
        <v>1444</v>
      </c>
      <c r="C17177" s="121">
        <v>7</v>
      </c>
      <c r="D17177" s="734">
        <v>144.66828315345609</v>
      </c>
      <c r="E17177" s="733"/>
    </row>
    <row r="17178" spans="2:5">
      <c r="B17178" s="121">
        <v>1444</v>
      </c>
      <c r="C17178" s="121">
        <v>8</v>
      </c>
      <c r="D17178" s="734">
        <v>145.04461483734627</v>
      </c>
      <c r="E17178" s="733"/>
    </row>
    <row r="17179" spans="2:5">
      <c r="B17179" s="121">
        <v>1444</v>
      </c>
      <c r="C17179" s="121">
        <v>9</v>
      </c>
      <c r="D17179" s="734">
        <v>146.59440200449728</v>
      </c>
      <c r="E17179" s="733"/>
    </row>
    <row r="17180" spans="2:5">
      <c r="B17180" s="121">
        <v>1444</v>
      </c>
      <c r="C17180" s="121">
        <v>10</v>
      </c>
      <c r="D17180" s="734">
        <v>144.95733798822101</v>
      </c>
      <c r="E17180" s="733"/>
    </row>
    <row r="17181" spans="2:5">
      <c r="B17181" s="121">
        <v>1444</v>
      </c>
      <c r="C17181" s="121">
        <v>11</v>
      </c>
      <c r="D17181" s="734">
        <v>137.60773158832814</v>
      </c>
      <c r="E17181" s="733"/>
    </row>
    <row r="17182" spans="2:5">
      <c r="B17182" s="121">
        <v>1444</v>
      </c>
      <c r="C17182" s="121">
        <v>12</v>
      </c>
      <c r="D17182" s="734">
        <v>141.75762489643918</v>
      </c>
      <c r="E17182" s="733"/>
    </row>
    <row r="17183" spans="2:5">
      <c r="B17183" s="121">
        <v>1444</v>
      </c>
      <c r="C17183" s="121">
        <v>13</v>
      </c>
      <c r="D17183" s="734">
        <v>146.27483234570153</v>
      </c>
      <c r="E17183" s="733"/>
    </row>
    <row r="17184" spans="2:5">
      <c r="B17184" s="121">
        <v>1444</v>
      </c>
      <c r="C17184" s="121">
        <v>14</v>
      </c>
      <c r="D17184" s="734">
        <v>140.78304194858856</v>
      </c>
      <c r="E17184" s="733"/>
    </row>
    <row r="17185" spans="2:5">
      <c r="B17185" s="121">
        <v>1444</v>
      </c>
      <c r="C17185" s="121">
        <v>15</v>
      </c>
      <c r="D17185" s="734">
        <v>141.92416151742822</v>
      </c>
      <c r="E17185" s="733"/>
    </row>
    <row r="17186" spans="2:5">
      <c r="B17186" s="121">
        <v>1444</v>
      </c>
      <c r="C17186" s="121">
        <v>16</v>
      </c>
      <c r="D17186" s="734">
        <v>142.59048238548272</v>
      </c>
      <c r="E17186" s="733"/>
    </row>
    <row r="17187" spans="2:5">
      <c r="B17187" s="121">
        <v>1444</v>
      </c>
      <c r="C17187" s="121">
        <v>17</v>
      </c>
      <c r="D17187" s="734">
        <v>137.43567403308145</v>
      </c>
      <c r="E17187" s="733"/>
    </row>
    <row r="17188" spans="2:5">
      <c r="B17188" s="121">
        <v>1444</v>
      </c>
      <c r="C17188" s="121">
        <v>18</v>
      </c>
      <c r="D17188" s="734">
        <v>140.46431612888802</v>
      </c>
      <c r="E17188" s="733"/>
    </row>
    <row r="17189" spans="2:5">
      <c r="B17189" s="121">
        <v>1445</v>
      </c>
      <c r="C17189" s="121">
        <v>1</v>
      </c>
      <c r="D17189" s="734">
        <v>5</v>
      </c>
      <c r="E17189" s="733"/>
    </row>
    <row r="17190" spans="2:5">
      <c r="B17190" s="121">
        <v>1446</v>
      </c>
      <c r="C17190" s="121">
        <v>1</v>
      </c>
      <c r="D17190" s="734">
        <v>5</v>
      </c>
      <c r="E17190" s="733"/>
    </row>
    <row r="17191" spans="2:5">
      <c r="B17191" s="121">
        <v>1446</v>
      </c>
      <c r="C17191" s="121">
        <v>2</v>
      </c>
      <c r="D17191" s="734">
        <v>97.313404939572777</v>
      </c>
      <c r="E17191" s="733"/>
    </row>
    <row r="17192" spans="2:5">
      <c r="B17192" s="121">
        <v>1446</v>
      </c>
      <c r="C17192" s="121">
        <v>3</v>
      </c>
      <c r="D17192" s="734">
        <v>118.68182144420651</v>
      </c>
      <c r="E17192" s="733"/>
    </row>
    <row r="17193" spans="2:5">
      <c r="B17193" s="121">
        <v>1446</v>
      </c>
      <c r="C17193" s="121">
        <v>4</v>
      </c>
      <c r="D17193" s="734">
        <v>135.86410257013654</v>
      </c>
      <c r="E17193" s="733"/>
    </row>
    <row r="17194" spans="2:5">
      <c r="B17194" s="121">
        <v>1446</v>
      </c>
      <c r="C17194" s="121">
        <v>5</v>
      </c>
      <c r="D17194" s="734">
        <v>143.50569065902883</v>
      </c>
      <c r="E17194" s="733"/>
    </row>
    <row r="17195" spans="2:5">
      <c r="B17195" s="121">
        <v>1446</v>
      </c>
      <c r="C17195" s="121">
        <v>6</v>
      </c>
      <c r="D17195" s="734">
        <v>147.04587810891357</v>
      </c>
      <c r="E17195" s="733"/>
    </row>
    <row r="17196" spans="2:5">
      <c r="B17196" s="121">
        <v>1446</v>
      </c>
      <c r="C17196" s="121">
        <v>7</v>
      </c>
      <c r="D17196" s="734">
        <v>145.74800132841642</v>
      </c>
      <c r="E17196" s="733"/>
    </row>
    <row r="17197" spans="2:5">
      <c r="B17197" s="121">
        <v>1446</v>
      </c>
      <c r="C17197" s="121">
        <v>8</v>
      </c>
      <c r="D17197" s="734">
        <v>135.74009044469139</v>
      </c>
      <c r="E17197" s="733"/>
    </row>
    <row r="17198" spans="2:5">
      <c r="B17198" s="121">
        <v>1446</v>
      </c>
      <c r="C17198" s="121">
        <v>9</v>
      </c>
      <c r="D17198" s="734">
        <v>146.46891192653393</v>
      </c>
      <c r="E17198" s="733"/>
    </row>
    <row r="17199" spans="2:5">
      <c r="B17199" s="121">
        <v>1446</v>
      </c>
      <c r="C17199" s="121">
        <v>10</v>
      </c>
      <c r="D17199" s="734">
        <v>144.00378315049801</v>
      </c>
      <c r="E17199" s="733"/>
    </row>
    <row r="17200" spans="2:5">
      <c r="B17200" s="121">
        <v>1446</v>
      </c>
      <c r="C17200" s="121">
        <v>11</v>
      </c>
      <c r="D17200" s="734">
        <v>142.81970135294137</v>
      </c>
      <c r="E17200" s="733"/>
    </row>
    <row r="17201" spans="2:5">
      <c r="B17201" s="121">
        <v>1446</v>
      </c>
      <c r="C17201" s="121">
        <v>12</v>
      </c>
      <c r="D17201" s="734">
        <v>143.37503548046848</v>
      </c>
      <c r="E17201" s="733"/>
    </row>
    <row r="17202" spans="2:5">
      <c r="B17202" s="121">
        <v>1446</v>
      </c>
      <c r="C17202" s="121">
        <v>13</v>
      </c>
      <c r="D17202" s="734">
        <v>141.05537401041784</v>
      </c>
      <c r="E17202" s="733"/>
    </row>
    <row r="17203" spans="2:5">
      <c r="B17203" s="121">
        <v>1446</v>
      </c>
      <c r="C17203" s="121">
        <v>14</v>
      </c>
      <c r="D17203" s="734">
        <v>139.79870843152273</v>
      </c>
      <c r="E17203" s="733"/>
    </row>
    <row r="17204" spans="2:5">
      <c r="B17204" s="121">
        <v>1446</v>
      </c>
      <c r="C17204" s="121">
        <v>15</v>
      </c>
      <c r="D17204" s="734">
        <v>140.38006457632011</v>
      </c>
      <c r="E17204" s="733"/>
    </row>
    <row r="17205" spans="2:5">
      <c r="B17205" s="121">
        <v>1446</v>
      </c>
      <c r="C17205" s="121">
        <v>16</v>
      </c>
      <c r="D17205" s="734">
        <v>142.09400466998036</v>
      </c>
      <c r="E17205" s="733"/>
    </row>
    <row r="17206" spans="2:5">
      <c r="B17206" s="121">
        <v>1446</v>
      </c>
      <c r="C17206" s="121">
        <v>17</v>
      </c>
      <c r="D17206" s="734">
        <v>143.4840401707375</v>
      </c>
      <c r="E17206" s="733"/>
    </row>
    <row r="17207" spans="2:5">
      <c r="B17207" s="121">
        <v>1446</v>
      </c>
      <c r="C17207" s="121">
        <v>18</v>
      </c>
      <c r="D17207" s="734">
        <v>141.55484974046544</v>
      </c>
      <c r="E17207" s="733"/>
    </row>
    <row r="17208" spans="2:5">
      <c r="B17208" s="121">
        <v>1446</v>
      </c>
      <c r="C17208" s="121">
        <v>19</v>
      </c>
      <c r="D17208" s="734">
        <v>146.27672994251975</v>
      </c>
      <c r="E17208" s="733"/>
    </row>
    <row r="17209" spans="2:5">
      <c r="B17209" s="121">
        <v>1446</v>
      </c>
      <c r="C17209" s="121">
        <v>20</v>
      </c>
      <c r="D17209" s="734">
        <v>140.34988941231106</v>
      </c>
      <c r="E17209" s="733"/>
    </row>
    <row r="17210" spans="2:5">
      <c r="B17210" s="121">
        <v>1446</v>
      </c>
      <c r="C17210" s="121">
        <v>21</v>
      </c>
      <c r="D17210" s="734">
        <v>133.90259903800435</v>
      </c>
      <c r="E17210" s="733"/>
    </row>
    <row r="17211" spans="2:5">
      <c r="B17211" s="121">
        <v>1446</v>
      </c>
      <c r="C17211" s="121">
        <v>22</v>
      </c>
      <c r="D17211" s="734">
        <v>133.68362498299646</v>
      </c>
      <c r="E17211" s="733"/>
    </row>
    <row r="17212" spans="2:5">
      <c r="B17212" s="121">
        <v>1446</v>
      </c>
      <c r="C17212" s="121">
        <v>23</v>
      </c>
      <c r="D17212" s="734">
        <v>138.99833290053351</v>
      </c>
      <c r="E17212" s="733"/>
    </row>
    <row r="17213" spans="2:5">
      <c r="B17213" s="121">
        <v>1446</v>
      </c>
      <c r="C17213" s="121">
        <v>24</v>
      </c>
      <c r="D17213" s="734">
        <v>142.62211344637419</v>
      </c>
      <c r="E17213" s="733"/>
    </row>
    <row r="17214" spans="2:5">
      <c r="B17214" s="121">
        <v>1446</v>
      </c>
      <c r="C17214" s="121">
        <v>25</v>
      </c>
      <c r="D17214" s="734">
        <v>142.91168082574097</v>
      </c>
      <c r="E17214" s="733"/>
    </row>
    <row r="17215" spans="2:5">
      <c r="B17215" s="121">
        <v>1446</v>
      </c>
      <c r="C17215" s="121">
        <v>26</v>
      </c>
      <c r="D17215" s="734">
        <v>143.98301364134579</v>
      </c>
      <c r="E17215" s="733"/>
    </row>
    <row r="17216" spans="2:5">
      <c r="B17216" s="121">
        <v>1446</v>
      </c>
      <c r="C17216" s="121">
        <v>27</v>
      </c>
      <c r="D17216" s="734">
        <v>139.68862680773233</v>
      </c>
      <c r="E17216" s="733"/>
    </row>
    <row r="17217" spans="2:5">
      <c r="B17217" s="121">
        <v>1446</v>
      </c>
      <c r="C17217" s="121">
        <v>28</v>
      </c>
      <c r="D17217" s="734">
        <v>145.35412384197096</v>
      </c>
      <c r="E17217" s="733"/>
    </row>
    <row r="17218" spans="2:5">
      <c r="B17218" s="121">
        <v>1446</v>
      </c>
      <c r="C17218" s="121">
        <v>29</v>
      </c>
      <c r="D17218" s="734">
        <v>134.65445579722305</v>
      </c>
      <c r="E17218" s="733"/>
    </row>
    <row r="17219" spans="2:5">
      <c r="B17219" s="121">
        <v>1446</v>
      </c>
      <c r="C17219" s="121">
        <v>30</v>
      </c>
      <c r="D17219" s="734">
        <v>146.47046122302692</v>
      </c>
      <c r="E17219" s="733"/>
    </row>
    <row r="17220" spans="2:5">
      <c r="B17220" s="121">
        <v>1446</v>
      </c>
      <c r="C17220" s="121">
        <v>31</v>
      </c>
      <c r="D17220" s="734">
        <v>139.89533257572376</v>
      </c>
      <c r="E17220" s="733"/>
    </row>
    <row r="17221" spans="2:5">
      <c r="B17221" s="121">
        <v>1446</v>
      </c>
      <c r="C17221" s="121">
        <v>32</v>
      </c>
      <c r="D17221" s="734">
        <v>140.36141753763911</v>
      </c>
      <c r="E17221" s="733"/>
    </row>
    <row r="17222" spans="2:5">
      <c r="B17222" s="121">
        <v>1446</v>
      </c>
      <c r="C17222" s="121">
        <v>33</v>
      </c>
      <c r="D17222" s="734">
        <v>142.71723295660937</v>
      </c>
      <c r="E17222" s="733"/>
    </row>
    <row r="17223" spans="2:5">
      <c r="B17223" s="121">
        <v>1446</v>
      </c>
      <c r="C17223" s="121">
        <v>34</v>
      </c>
      <c r="D17223" s="734">
        <v>144.73818488514789</v>
      </c>
      <c r="E17223" s="733"/>
    </row>
    <row r="17224" spans="2:5">
      <c r="B17224" s="121">
        <v>1446</v>
      </c>
      <c r="C17224" s="121">
        <v>35</v>
      </c>
      <c r="D17224" s="734">
        <v>140.95452248200957</v>
      </c>
      <c r="E17224" s="733"/>
    </row>
    <row r="17225" spans="2:5">
      <c r="B17225" s="121">
        <v>1446</v>
      </c>
      <c r="C17225" s="121">
        <v>36</v>
      </c>
      <c r="D17225" s="734">
        <v>135.44158757159613</v>
      </c>
      <c r="E17225" s="733"/>
    </row>
    <row r="17226" spans="2:5">
      <c r="B17226" s="121">
        <v>1447</v>
      </c>
      <c r="C17226" s="121">
        <v>1</v>
      </c>
      <c r="D17226" s="734">
        <v>5</v>
      </c>
      <c r="E17226" s="733"/>
    </row>
    <row r="17227" spans="2:5">
      <c r="B17227" s="121">
        <v>1448</v>
      </c>
      <c r="C17227" s="121">
        <v>1</v>
      </c>
      <c r="D17227" s="734">
        <v>5</v>
      </c>
      <c r="E17227" s="733"/>
    </row>
    <row r="17228" spans="2:5">
      <c r="B17228" s="121">
        <v>1448</v>
      </c>
      <c r="C17228" s="121">
        <v>2</v>
      </c>
      <c r="D17228" s="734">
        <v>97.608713442292867</v>
      </c>
      <c r="E17228" s="733"/>
    </row>
    <row r="17229" spans="2:5">
      <c r="B17229" s="121">
        <v>1448</v>
      </c>
      <c r="C17229" s="121">
        <v>3</v>
      </c>
      <c r="D17229" s="734">
        <v>115.96795737710806</v>
      </c>
      <c r="E17229" s="733"/>
    </row>
    <row r="17230" spans="2:5">
      <c r="B17230" s="121">
        <v>1448</v>
      </c>
      <c r="C17230" s="121">
        <v>4</v>
      </c>
      <c r="D17230" s="734">
        <v>146.47464889464661</v>
      </c>
      <c r="E17230" s="733"/>
    </row>
    <row r="17231" spans="2:5">
      <c r="B17231" s="121">
        <v>1448</v>
      </c>
      <c r="C17231" s="121">
        <v>5</v>
      </c>
      <c r="D17231" s="734">
        <v>142.76675152983739</v>
      </c>
      <c r="E17231" s="733"/>
    </row>
    <row r="17232" spans="2:5">
      <c r="B17232" s="121">
        <v>1448</v>
      </c>
      <c r="C17232" s="121">
        <v>6</v>
      </c>
      <c r="D17232" s="734">
        <v>140.56174103666581</v>
      </c>
      <c r="E17232" s="733"/>
    </row>
    <row r="17233" spans="2:5">
      <c r="B17233" s="121">
        <v>1448</v>
      </c>
      <c r="C17233" s="121">
        <v>7</v>
      </c>
      <c r="D17233" s="734">
        <v>137.01333839305494</v>
      </c>
      <c r="E17233" s="733"/>
    </row>
    <row r="17234" spans="2:5">
      <c r="B17234" s="121">
        <v>1448</v>
      </c>
      <c r="C17234" s="121">
        <v>8</v>
      </c>
      <c r="D17234" s="734">
        <v>140.88272640174816</v>
      </c>
      <c r="E17234" s="733"/>
    </row>
    <row r="17235" spans="2:5">
      <c r="B17235" s="121">
        <v>1448</v>
      </c>
      <c r="C17235" s="121">
        <v>9</v>
      </c>
      <c r="D17235" s="734">
        <v>146.28876058951903</v>
      </c>
      <c r="E17235" s="733"/>
    </row>
    <row r="17236" spans="2:5">
      <c r="B17236" s="121">
        <v>1448</v>
      </c>
      <c r="C17236" s="121">
        <v>10</v>
      </c>
      <c r="D17236" s="734">
        <v>143.96048334779667</v>
      </c>
      <c r="E17236" s="733"/>
    </row>
    <row r="17237" spans="2:5">
      <c r="B17237" s="121">
        <v>1448</v>
      </c>
      <c r="C17237" s="121">
        <v>11</v>
      </c>
      <c r="D17237" s="734">
        <v>143.86595564487806</v>
      </c>
      <c r="E17237" s="733"/>
    </row>
    <row r="17238" spans="2:5">
      <c r="B17238" s="121">
        <v>1448</v>
      </c>
      <c r="C17238" s="121">
        <v>12</v>
      </c>
      <c r="D17238" s="734">
        <v>144.38922413840186</v>
      </c>
      <c r="E17238" s="733"/>
    </row>
    <row r="17239" spans="2:5">
      <c r="B17239" s="121">
        <v>1448</v>
      </c>
      <c r="C17239" s="121">
        <v>13</v>
      </c>
      <c r="D17239" s="734">
        <v>138.2132959748227</v>
      </c>
      <c r="E17239" s="733"/>
    </row>
    <row r="17240" spans="2:5">
      <c r="B17240" s="121">
        <v>1448</v>
      </c>
      <c r="C17240" s="121">
        <v>14</v>
      </c>
      <c r="D17240" s="734">
        <v>146.78531919212281</v>
      </c>
      <c r="E17240" s="733"/>
    </row>
    <row r="17241" spans="2:5">
      <c r="B17241" s="121">
        <v>1448</v>
      </c>
      <c r="C17241" s="121">
        <v>15</v>
      </c>
      <c r="D17241" s="734">
        <v>145.78297288105441</v>
      </c>
      <c r="E17241" s="733"/>
    </row>
    <row r="17242" spans="2:5">
      <c r="B17242" s="121">
        <v>1448</v>
      </c>
      <c r="C17242" s="121">
        <v>16</v>
      </c>
      <c r="D17242" s="734">
        <v>134.71319991837476</v>
      </c>
      <c r="E17242" s="733"/>
    </row>
    <row r="17243" spans="2:5">
      <c r="B17243" s="121">
        <v>1448</v>
      </c>
      <c r="C17243" s="121">
        <v>17</v>
      </c>
      <c r="D17243" s="734">
        <v>139.68283067994966</v>
      </c>
      <c r="E17243" s="733"/>
    </row>
    <row r="17244" spans="2:5">
      <c r="B17244" s="121">
        <v>1448</v>
      </c>
      <c r="C17244" s="121">
        <v>18</v>
      </c>
      <c r="D17244" s="734">
        <v>146.47550218414932</v>
      </c>
      <c r="E17244" s="733"/>
    </row>
    <row r="17245" spans="2:5">
      <c r="B17245" s="121">
        <v>1448</v>
      </c>
      <c r="C17245" s="121">
        <v>19</v>
      </c>
      <c r="D17245" s="734">
        <v>139.66560100901987</v>
      </c>
      <c r="E17245" s="733"/>
    </row>
    <row r="17246" spans="2:5">
      <c r="B17246" s="121">
        <v>1448</v>
      </c>
      <c r="C17246" s="121">
        <v>20</v>
      </c>
      <c r="D17246" s="734">
        <v>140.44140005384077</v>
      </c>
      <c r="E17246" s="733"/>
    </row>
    <row r="17247" spans="2:5">
      <c r="B17247" s="121">
        <v>1448</v>
      </c>
      <c r="C17247" s="121">
        <v>21</v>
      </c>
      <c r="D17247" s="734">
        <v>134.84492491846274</v>
      </c>
      <c r="E17247" s="733"/>
    </row>
    <row r="17248" spans="2:5">
      <c r="B17248" s="121">
        <v>1448</v>
      </c>
      <c r="C17248" s="121">
        <v>22</v>
      </c>
      <c r="D17248" s="734">
        <v>135.54822001231506</v>
      </c>
      <c r="E17248" s="733"/>
    </row>
    <row r="17249" spans="2:5">
      <c r="B17249" s="121">
        <v>1448</v>
      </c>
      <c r="C17249" s="121">
        <v>23</v>
      </c>
      <c r="D17249" s="734">
        <v>145.350070607665</v>
      </c>
      <c r="E17249" s="733"/>
    </row>
    <row r="17250" spans="2:5">
      <c r="B17250" s="121">
        <v>1448</v>
      </c>
      <c r="C17250" s="121">
        <v>24</v>
      </c>
      <c r="D17250" s="734">
        <v>134.79451821921094</v>
      </c>
      <c r="E17250" s="733"/>
    </row>
    <row r="17251" spans="2:5">
      <c r="B17251" s="121">
        <v>1448</v>
      </c>
      <c r="C17251" s="121">
        <v>25</v>
      </c>
      <c r="D17251" s="734">
        <v>136.59137487208494</v>
      </c>
      <c r="E17251" s="733"/>
    </row>
    <row r="17252" spans="2:5">
      <c r="B17252" s="121">
        <v>1448</v>
      </c>
      <c r="C17252" s="121">
        <v>26</v>
      </c>
      <c r="D17252" s="734">
        <v>139.86945889374408</v>
      </c>
      <c r="E17252" s="733"/>
    </row>
    <row r="17253" spans="2:5">
      <c r="B17253" s="121">
        <v>1448</v>
      </c>
      <c r="C17253" s="121">
        <v>27</v>
      </c>
      <c r="D17253" s="734">
        <v>138.68437886313615</v>
      </c>
      <c r="E17253" s="733"/>
    </row>
    <row r="17254" spans="2:5">
      <c r="B17254" s="121">
        <v>1448</v>
      </c>
      <c r="C17254" s="121">
        <v>28</v>
      </c>
      <c r="D17254" s="734">
        <v>144.90579085385889</v>
      </c>
      <c r="E17254" s="733"/>
    </row>
    <row r="17255" spans="2:5">
      <c r="B17255" s="121">
        <v>1448</v>
      </c>
      <c r="C17255" s="121">
        <v>29</v>
      </c>
      <c r="D17255" s="734">
        <v>139.78270165432093</v>
      </c>
      <c r="E17255" s="733"/>
    </row>
    <row r="17256" spans="2:5">
      <c r="B17256" s="121">
        <v>1448</v>
      </c>
      <c r="C17256" s="121">
        <v>30</v>
      </c>
      <c r="D17256" s="734">
        <v>138.82808273260449</v>
      </c>
      <c r="E17256" s="733"/>
    </row>
    <row r="17257" spans="2:5">
      <c r="B17257" s="121">
        <v>1448</v>
      </c>
      <c r="C17257" s="121">
        <v>31</v>
      </c>
      <c r="D17257" s="734">
        <v>134.70056471825069</v>
      </c>
      <c r="E17257" s="733"/>
    </row>
    <row r="17258" spans="2:5">
      <c r="B17258" s="121">
        <v>1448</v>
      </c>
      <c r="C17258" s="121">
        <v>32</v>
      </c>
      <c r="D17258" s="734">
        <v>137.34910098020472</v>
      </c>
      <c r="E17258" s="733"/>
    </row>
    <row r="17259" spans="2:5">
      <c r="B17259" s="121">
        <v>1448</v>
      </c>
      <c r="C17259" s="121">
        <v>33</v>
      </c>
      <c r="D17259" s="734">
        <v>137.68508946199728</v>
      </c>
      <c r="E17259" s="733"/>
    </row>
    <row r="17260" spans="2:5">
      <c r="B17260" s="121">
        <v>1448</v>
      </c>
      <c r="C17260" s="121">
        <v>34</v>
      </c>
      <c r="D17260" s="734">
        <v>146.80697823025949</v>
      </c>
      <c r="E17260" s="733"/>
    </row>
    <row r="17261" spans="2:5">
      <c r="B17261" s="121">
        <v>1448</v>
      </c>
      <c r="C17261" s="121">
        <v>35</v>
      </c>
      <c r="D17261" s="734">
        <v>145.38401273308062</v>
      </c>
      <c r="E17261" s="733"/>
    </row>
    <row r="17262" spans="2:5">
      <c r="B17262" s="121">
        <v>1448</v>
      </c>
      <c r="C17262" s="121">
        <v>36</v>
      </c>
      <c r="D17262" s="734">
        <v>145.74341915013002</v>
      </c>
      <c r="E17262" s="733"/>
    </row>
    <row r="17263" spans="2:5">
      <c r="B17263" s="121">
        <v>1449</v>
      </c>
      <c r="C17263" s="121">
        <v>1</v>
      </c>
      <c r="D17263" s="734">
        <v>5</v>
      </c>
      <c r="E17263" s="733"/>
    </row>
    <row r="17264" spans="2:5">
      <c r="B17264" s="121">
        <v>1449</v>
      </c>
      <c r="C17264" s="121">
        <v>2</v>
      </c>
      <c r="D17264" s="734">
        <v>99.851550097985836</v>
      </c>
      <c r="E17264" s="733"/>
    </row>
    <row r="17265" spans="2:5">
      <c r="B17265" s="121">
        <v>1449</v>
      </c>
      <c r="C17265" s="121">
        <v>3</v>
      </c>
      <c r="D17265" s="734">
        <v>123.9699282355879</v>
      </c>
      <c r="E17265" s="733"/>
    </row>
    <row r="17266" spans="2:5">
      <c r="B17266" s="121">
        <v>1449</v>
      </c>
      <c r="C17266" s="121">
        <v>4</v>
      </c>
      <c r="D17266" s="734">
        <v>137.8226489221654</v>
      </c>
      <c r="E17266" s="733"/>
    </row>
    <row r="17267" spans="2:5">
      <c r="B17267" s="121">
        <v>1449</v>
      </c>
      <c r="C17267" s="121">
        <v>5</v>
      </c>
      <c r="D17267" s="734">
        <v>134.68752556080528</v>
      </c>
      <c r="E17267" s="733"/>
    </row>
    <row r="17268" spans="2:5">
      <c r="B17268" s="121">
        <v>1450</v>
      </c>
      <c r="C17268" s="121">
        <v>1</v>
      </c>
      <c r="D17268" s="734">
        <v>5</v>
      </c>
      <c r="E17268" s="733"/>
    </row>
    <row r="17269" spans="2:5">
      <c r="B17269" s="121">
        <v>1451</v>
      </c>
      <c r="C17269" s="121">
        <v>1</v>
      </c>
      <c r="D17269" s="734">
        <v>5</v>
      </c>
      <c r="E17269" s="733"/>
    </row>
    <row r="17270" spans="2:5">
      <c r="B17270" s="121">
        <v>1451</v>
      </c>
      <c r="C17270" s="121">
        <v>2</v>
      </c>
      <c r="D17270" s="734">
        <v>99.761749486225398</v>
      </c>
      <c r="E17270" s="733"/>
    </row>
    <row r="17271" spans="2:5">
      <c r="B17271" s="121">
        <v>1451</v>
      </c>
      <c r="C17271" s="121">
        <v>3</v>
      </c>
      <c r="D17271" s="734">
        <v>115.79869914023044</v>
      </c>
      <c r="E17271" s="733"/>
    </row>
    <row r="17272" spans="2:5">
      <c r="B17272" s="121">
        <v>1451</v>
      </c>
      <c r="C17272" s="121">
        <v>4</v>
      </c>
      <c r="D17272" s="734">
        <v>138.81548321097014</v>
      </c>
      <c r="E17272" s="733"/>
    </row>
    <row r="17273" spans="2:5">
      <c r="B17273" s="121">
        <v>1451</v>
      </c>
      <c r="C17273" s="121">
        <v>5</v>
      </c>
      <c r="D17273" s="734">
        <v>142.52743416354494</v>
      </c>
      <c r="E17273" s="733"/>
    </row>
    <row r="17274" spans="2:5">
      <c r="B17274" s="121">
        <v>1451</v>
      </c>
      <c r="C17274" s="121">
        <v>6</v>
      </c>
      <c r="D17274" s="734">
        <v>136.79115093532798</v>
      </c>
      <c r="E17274" s="733"/>
    </row>
    <row r="17275" spans="2:5">
      <c r="B17275" s="121">
        <v>1451</v>
      </c>
      <c r="C17275" s="121">
        <v>7</v>
      </c>
      <c r="D17275" s="734">
        <v>139.31636515885467</v>
      </c>
      <c r="E17275" s="733"/>
    </row>
    <row r="17276" spans="2:5">
      <c r="B17276" s="121">
        <v>1451</v>
      </c>
      <c r="C17276" s="121">
        <v>8</v>
      </c>
      <c r="D17276" s="734">
        <v>138.00377031800616</v>
      </c>
      <c r="E17276" s="733"/>
    </row>
    <row r="17277" spans="2:5">
      <c r="B17277" s="121">
        <v>1451</v>
      </c>
      <c r="C17277" s="121">
        <v>9</v>
      </c>
      <c r="D17277" s="734">
        <v>136.77110884577107</v>
      </c>
      <c r="E17277" s="733"/>
    </row>
    <row r="17278" spans="2:5">
      <c r="B17278" s="121">
        <v>1451</v>
      </c>
      <c r="C17278" s="121">
        <v>10</v>
      </c>
      <c r="D17278" s="734">
        <v>134.7340866715866</v>
      </c>
      <c r="E17278" s="733"/>
    </row>
    <row r="17279" spans="2:5">
      <c r="B17279" s="121">
        <v>1451</v>
      </c>
      <c r="C17279" s="121">
        <v>11</v>
      </c>
      <c r="D17279" s="734">
        <v>146.95335159290465</v>
      </c>
      <c r="E17279" s="733"/>
    </row>
    <row r="17280" spans="2:5">
      <c r="B17280" s="121">
        <v>1451</v>
      </c>
      <c r="C17280" s="121">
        <v>12</v>
      </c>
      <c r="D17280" s="734">
        <v>145.95440353223191</v>
      </c>
      <c r="E17280" s="733"/>
    </row>
    <row r="17281" spans="2:5">
      <c r="B17281" s="121">
        <v>1451</v>
      </c>
      <c r="C17281" s="121">
        <v>13</v>
      </c>
      <c r="D17281" s="734">
        <v>145.38660536336582</v>
      </c>
      <c r="E17281" s="733"/>
    </row>
    <row r="17282" spans="2:5">
      <c r="B17282" s="121">
        <v>1451</v>
      </c>
      <c r="C17282" s="121">
        <v>14</v>
      </c>
      <c r="D17282" s="734">
        <v>140.00250496301587</v>
      </c>
      <c r="E17282" s="733"/>
    </row>
    <row r="17283" spans="2:5">
      <c r="B17283" s="121">
        <v>1451</v>
      </c>
      <c r="C17283" s="121">
        <v>15</v>
      </c>
      <c r="D17283" s="734">
        <v>136.65229358123963</v>
      </c>
      <c r="E17283" s="733"/>
    </row>
    <row r="17284" spans="2:5">
      <c r="B17284" s="121">
        <v>1451</v>
      </c>
      <c r="C17284" s="121">
        <v>16</v>
      </c>
      <c r="D17284" s="734">
        <v>135.5771274925506</v>
      </c>
      <c r="E17284" s="733"/>
    </row>
    <row r="17285" spans="2:5">
      <c r="B17285" s="121">
        <v>1451</v>
      </c>
      <c r="C17285" s="121">
        <v>17</v>
      </c>
      <c r="D17285" s="734">
        <v>144.40676343675869</v>
      </c>
      <c r="E17285" s="733"/>
    </row>
    <row r="17286" spans="2:5">
      <c r="B17286" s="121">
        <v>1451</v>
      </c>
      <c r="C17286" s="121">
        <v>18</v>
      </c>
      <c r="D17286" s="734">
        <v>136.20970805843064</v>
      </c>
      <c r="E17286" s="733"/>
    </row>
    <row r="17287" spans="2:5">
      <c r="B17287" s="121">
        <v>1451</v>
      </c>
      <c r="C17287" s="121">
        <v>19</v>
      </c>
      <c r="D17287" s="734">
        <v>137.61521556882082</v>
      </c>
      <c r="E17287" s="733"/>
    </row>
    <row r="17288" spans="2:5">
      <c r="B17288" s="121">
        <v>1451</v>
      </c>
      <c r="C17288" s="121">
        <v>20</v>
      </c>
      <c r="D17288" s="734">
        <v>134.24502586710739</v>
      </c>
      <c r="E17288" s="733"/>
    </row>
    <row r="17289" spans="2:5">
      <c r="B17289" s="121">
        <v>1451</v>
      </c>
      <c r="C17289" s="121">
        <v>21</v>
      </c>
      <c r="D17289" s="734">
        <v>139.05875372503874</v>
      </c>
      <c r="E17289" s="733"/>
    </row>
    <row r="17290" spans="2:5">
      <c r="B17290" s="121">
        <v>1451</v>
      </c>
      <c r="C17290" s="121">
        <v>22</v>
      </c>
      <c r="D17290" s="734">
        <v>146.98664837927163</v>
      </c>
      <c r="E17290" s="733"/>
    </row>
    <row r="17291" spans="2:5">
      <c r="B17291" s="121">
        <v>1451</v>
      </c>
      <c r="C17291" s="121">
        <v>23</v>
      </c>
      <c r="D17291" s="734">
        <v>143.61451849738137</v>
      </c>
      <c r="E17291" s="733"/>
    </row>
    <row r="17292" spans="2:5">
      <c r="B17292" s="121">
        <v>1451</v>
      </c>
      <c r="C17292" s="121">
        <v>24</v>
      </c>
      <c r="D17292" s="734">
        <v>138.37109152656205</v>
      </c>
      <c r="E17292" s="733"/>
    </row>
    <row r="17293" spans="2:5">
      <c r="B17293" s="121">
        <v>1451</v>
      </c>
      <c r="C17293" s="121">
        <v>25</v>
      </c>
      <c r="D17293" s="734">
        <v>138.18673435446703</v>
      </c>
      <c r="E17293" s="733"/>
    </row>
    <row r="17294" spans="2:5">
      <c r="B17294" s="121">
        <v>1451</v>
      </c>
      <c r="C17294" s="121">
        <v>26</v>
      </c>
      <c r="D17294" s="734">
        <v>136.89830645441924</v>
      </c>
      <c r="E17294" s="733"/>
    </row>
    <row r="17295" spans="2:5">
      <c r="B17295" s="121">
        <v>1451</v>
      </c>
      <c r="C17295" s="121">
        <v>27</v>
      </c>
      <c r="D17295" s="734">
        <v>143.62970400728517</v>
      </c>
      <c r="E17295" s="733"/>
    </row>
    <row r="17296" spans="2:5">
      <c r="B17296" s="121">
        <v>1451</v>
      </c>
      <c r="C17296" s="121">
        <v>28</v>
      </c>
      <c r="D17296" s="734">
        <v>134.16447790304002</v>
      </c>
      <c r="E17296" s="733"/>
    </row>
    <row r="17297" spans="2:5">
      <c r="B17297" s="121">
        <v>1451</v>
      </c>
      <c r="C17297" s="121">
        <v>29</v>
      </c>
      <c r="D17297" s="734">
        <v>145.21666901788552</v>
      </c>
      <c r="E17297" s="733"/>
    </row>
    <row r="17298" spans="2:5">
      <c r="B17298" s="121">
        <v>1451</v>
      </c>
      <c r="C17298" s="121">
        <v>30</v>
      </c>
      <c r="D17298" s="734">
        <v>136.58237110888729</v>
      </c>
      <c r="E17298" s="733"/>
    </row>
    <row r="17299" spans="2:5">
      <c r="B17299" s="121">
        <v>1451</v>
      </c>
      <c r="C17299" s="121">
        <v>31</v>
      </c>
      <c r="D17299" s="734">
        <v>138.20806906161502</v>
      </c>
      <c r="E17299" s="733"/>
    </row>
    <row r="17300" spans="2:5">
      <c r="B17300" s="121">
        <v>1451</v>
      </c>
      <c r="C17300" s="121">
        <v>32</v>
      </c>
      <c r="D17300" s="734">
        <v>143.85862670631786</v>
      </c>
      <c r="E17300" s="733"/>
    </row>
    <row r="17301" spans="2:5">
      <c r="B17301" s="121">
        <v>1451</v>
      </c>
      <c r="C17301" s="121">
        <v>33</v>
      </c>
      <c r="D17301" s="734">
        <v>145.34087494856169</v>
      </c>
      <c r="E17301" s="733"/>
    </row>
    <row r="17302" spans="2:5">
      <c r="B17302" s="121">
        <v>1451</v>
      </c>
      <c r="C17302" s="121">
        <v>34</v>
      </c>
      <c r="D17302" s="734">
        <v>133.72429360156093</v>
      </c>
      <c r="E17302" s="733"/>
    </row>
    <row r="17303" spans="2:5">
      <c r="B17303" s="121">
        <v>1451</v>
      </c>
      <c r="C17303" s="121">
        <v>35</v>
      </c>
      <c r="D17303" s="734">
        <v>139.65437654943432</v>
      </c>
      <c r="E17303" s="733"/>
    </row>
    <row r="17304" spans="2:5">
      <c r="B17304" s="121">
        <v>1451</v>
      </c>
      <c r="C17304" s="121">
        <v>36</v>
      </c>
      <c r="D17304" s="734">
        <v>141.43567151485721</v>
      </c>
      <c r="E17304" s="733"/>
    </row>
    <row r="17305" spans="2:5">
      <c r="B17305" s="121">
        <v>1452</v>
      </c>
      <c r="C17305" s="121">
        <v>1</v>
      </c>
      <c r="D17305" s="734">
        <v>5</v>
      </c>
      <c r="E17305" s="733"/>
    </row>
    <row r="17306" spans="2:5">
      <c r="B17306" s="121">
        <v>1452</v>
      </c>
      <c r="C17306" s="121">
        <v>2</v>
      </c>
      <c r="D17306" s="734">
        <v>97.812421636744602</v>
      </c>
      <c r="E17306" s="733"/>
    </row>
    <row r="17307" spans="2:5">
      <c r="B17307" s="121">
        <v>1452</v>
      </c>
      <c r="C17307" s="121">
        <v>3</v>
      </c>
      <c r="D17307" s="734">
        <v>116.16948515547809</v>
      </c>
      <c r="E17307" s="733"/>
    </row>
    <row r="17308" spans="2:5">
      <c r="B17308" s="121">
        <v>1452</v>
      </c>
      <c r="C17308" s="121">
        <v>4</v>
      </c>
      <c r="D17308" s="734">
        <v>143.39320102339005</v>
      </c>
      <c r="E17308" s="733"/>
    </row>
    <row r="17309" spans="2:5">
      <c r="B17309" s="121">
        <v>1452</v>
      </c>
      <c r="C17309" s="121">
        <v>5</v>
      </c>
      <c r="D17309" s="734">
        <v>136.29221070246894</v>
      </c>
      <c r="E17309" s="733"/>
    </row>
    <row r="17310" spans="2:5">
      <c r="B17310" s="121">
        <v>1452</v>
      </c>
      <c r="C17310" s="121">
        <v>6</v>
      </c>
      <c r="D17310" s="734">
        <v>138.24147291141233</v>
      </c>
      <c r="E17310" s="733"/>
    </row>
    <row r="17311" spans="2:5">
      <c r="B17311" s="121">
        <v>1452</v>
      </c>
      <c r="C17311" s="121">
        <v>7</v>
      </c>
      <c r="D17311" s="734">
        <v>144.28657822499466</v>
      </c>
      <c r="E17311" s="733"/>
    </row>
    <row r="17312" spans="2:5">
      <c r="B17312" s="121">
        <v>1452</v>
      </c>
      <c r="C17312" s="121">
        <v>8</v>
      </c>
      <c r="D17312" s="734">
        <v>145.30026421052827</v>
      </c>
      <c r="E17312" s="733"/>
    </row>
    <row r="17313" spans="2:5">
      <c r="B17313" s="121">
        <v>1452</v>
      </c>
      <c r="C17313" s="121">
        <v>9</v>
      </c>
      <c r="D17313" s="734">
        <v>140.29850458581865</v>
      </c>
      <c r="E17313" s="733"/>
    </row>
    <row r="17314" spans="2:5">
      <c r="B17314" s="121">
        <v>1452</v>
      </c>
      <c r="C17314" s="121">
        <v>10</v>
      </c>
      <c r="D17314" s="734">
        <v>135.86593564736344</v>
      </c>
      <c r="E17314" s="733"/>
    </row>
    <row r="17315" spans="2:5">
      <c r="B17315" s="121">
        <v>1452</v>
      </c>
      <c r="C17315" s="121">
        <v>11</v>
      </c>
      <c r="D17315" s="734">
        <v>141.94765780314441</v>
      </c>
      <c r="E17315" s="733"/>
    </row>
    <row r="17316" spans="2:5">
      <c r="B17316" s="121">
        <v>1452</v>
      </c>
      <c r="C17316" s="121">
        <v>12</v>
      </c>
      <c r="D17316" s="734">
        <v>144.05576969574227</v>
      </c>
      <c r="E17316" s="733"/>
    </row>
    <row r="17317" spans="2:5">
      <c r="B17317" s="121">
        <v>1452</v>
      </c>
      <c r="C17317" s="121">
        <v>13</v>
      </c>
      <c r="D17317" s="734">
        <v>142.96091044591429</v>
      </c>
      <c r="E17317" s="733"/>
    </row>
    <row r="17318" spans="2:5">
      <c r="B17318" s="121">
        <v>1452</v>
      </c>
      <c r="C17318" s="121">
        <v>14</v>
      </c>
      <c r="D17318" s="734">
        <v>143.88679471300944</v>
      </c>
      <c r="E17318" s="733"/>
    </row>
    <row r="17319" spans="2:5">
      <c r="B17319" s="121">
        <v>1452</v>
      </c>
      <c r="C17319" s="121">
        <v>15</v>
      </c>
      <c r="D17319" s="734">
        <v>146.2529123008357</v>
      </c>
      <c r="E17319" s="733"/>
    </row>
    <row r="17320" spans="2:5">
      <c r="B17320" s="121">
        <v>1452</v>
      </c>
      <c r="C17320" s="121">
        <v>16</v>
      </c>
      <c r="D17320" s="734">
        <v>134.97341800931113</v>
      </c>
      <c r="E17320" s="733"/>
    </row>
    <row r="17321" spans="2:5">
      <c r="B17321" s="121">
        <v>1452</v>
      </c>
      <c r="C17321" s="121">
        <v>17</v>
      </c>
      <c r="D17321" s="734">
        <v>138.47851219427392</v>
      </c>
      <c r="E17321" s="733"/>
    </row>
    <row r="17322" spans="2:5">
      <c r="B17322" s="121">
        <v>1452</v>
      </c>
      <c r="C17322" s="121">
        <v>18</v>
      </c>
      <c r="D17322" s="734">
        <v>135.67905763373608</v>
      </c>
      <c r="E17322" s="733"/>
    </row>
    <row r="17323" spans="2:5">
      <c r="B17323" s="121">
        <v>1452</v>
      </c>
      <c r="C17323" s="121">
        <v>19</v>
      </c>
      <c r="D17323" s="734">
        <v>145.91368164171675</v>
      </c>
      <c r="E17323" s="733"/>
    </row>
    <row r="17324" spans="2:5">
      <c r="B17324" s="121">
        <v>1452</v>
      </c>
      <c r="C17324" s="121">
        <v>20</v>
      </c>
      <c r="D17324" s="734">
        <v>141.65181125471267</v>
      </c>
      <c r="E17324" s="733"/>
    </row>
    <row r="17325" spans="2:5">
      <c r="B17325" s="121">
        <v>1452</v>
      </c>
      <c r="C17325" s="121">
        <v>21</v>
      </c>
      <c r="D17325" s="734">
        <v>140.85853740761073</v>
      </c>
      <c r="E17325" s="733"/>
    </row>
    <row r="17326" spans="2:5">
      <c r="B17326" s="121">
        <v>1452</v>
      </c>
      <c r="C17326" s="121">
        <v>22</v>
      </c>
      <c r="D17326" s="734">
        <v>133.97748855849673</v>
      </c>
      <c r="E17326" s="733"/>
    </row>
    <row r="17327" spans="2:5">
      <c r="B17327" s="121">
        <v>1452</v>
      </c>
      <c r="C17327" s="121">
        <v>23</v>
      </c>
      <c r="D17327" s="734">
        <v>135.87202487233617</v>
      </c>
      <c r="E17327" s="733"/>
    </row>
    <row r="17328" spans="2:5">
      <c r="B17328" s="121">
        <v>1452</v>
      </c>
      <c r="C17328" s="121">
        <v>24</v>
      </c>
      <c r="D17328" s="734">
        <v>143.40859460859326</v>
      </c>
      <c r="E17328" s="733"/>
    </row>
    <row r="17329" spans="2:5">
      <c r="B17329" s="121">
        <v>1452</v>
      </c>
      <c r="C17329" s="121">
        <v>25</v>
      </c>
      <c r="D17329" s="734">
        <v>146.41655719302022</v>
      </c>
      <c r="E17329" s="733"/>
    </row>
    <row r="17330" spans="2:5">
      <c r="B17330" s="121">
        <v>1452</v>
      </c>
      <c r="C17330" s="121">
        <v>26</v>
      </c>
      <c r="D17330" s="734">
        <v>145.20774237621637</v>
      </c>
      <c r="E17330" s="733"/>
    </row>
    <row r="17331" spans="2:5">
      <c r="B17331" s="121">
        <v>1452</v>
      </c>
      <c r="C17331" s="121">
        <v>27</v>
      </c>
      <c r="D17331" s="734">
        <v>139.29693130202651</v>
      </c>
      <c r="E17331" s="733"/>
    </row>
    <row r="17332" spans="2:5">
      <c r="B17332" s="121">
        <v>1452</v>
      </c>
      <c r="C17332" s="121">
        <v>28</v>
      </c>
      <c r="D17332" s="734">
        <v>137.40296255191396</v>
      </c>
      <c r="E17332" s="733"/>
    </row>
    <row r="17333" spans="2:5">
      <c r="B17333" s="121">
        <v>1452</v>
      </c>
      <c r="C17333" s="121">
        <v>29</v>
      </c>
      <c r="D17333" s="734">
        <v>145.22985414175261</v>
      </c>
      <c r="E17333" s="733"/>
    </row>
    <row r="17334" spans="2:5">
      <c r="B17334" s="121">
        <v>1452</v>
      </c>
      <c r="C17334" s="121">
        <v>30</v>
      </c>
      <c r="D17334" s="734">
        <v>145.42133575995521</v>
      </c>
      <c r="E17334" s="733"/>
    </row>
    <row r="17335" spans="2:5">
      <c r="B17335" s="121">
        <v>1452</v>
      </c>
      <c r="C17335" s="121">
        <v>31</v>
      </c>
      <c r="D17335" s="734">
        <v>147.06047668426072</v>
      </c>
      <c r="E17335" s="733"/>
    </row>
    <row r="17336" spans="2:5">
      <c r="B17336" s="121">
        <v>1452</v>
      </c>
      <c r="C17336" s="121">
        <v>32</v>
      </c>
      <c r="D17336" s="734">
        <v>146.28892977823389</v>
      </c>
      <c r="E17336" s="733"/>
    </row>
    <row r="17337" spans="2:5">
      <c r="B17337" s="121">
        <v>1452</v>
      </c>
      <c r="C17337" s="121">
        <v>33</v>
      </c>
      <c r="D17337" s="734">
        <v>137.34608458591609</v>
      </c>
      <c r="E17337" s="733"/>
    </row>
    <row r="17338" spans="2:5">
      <c r="B17338" s="121">
        <v>1452</v>
      </c>
      <c r="C17338" s="121">
        <v>34</v>
      </c>
      <c r="D17338" s="734">
        <v>135.64472029608649</v>
      </c>
      <c r="E17338" s="733"/>
    </row>
    <row r="17339" spans="2:5">
      <c r="B17339" s="121">
        <v>1452</v>
      </c>
      <c r="C17339" s="121">
        <v>35</v>
      </c>
      <c r="D17339" s="734">
        <v>139.7189630753787</v>
      </c>
      <c r="E17339" s="733"/>
    </row>
    <row r="17340" spans="2:5">
      <c r="B17340" s="121">
        <v>1452</v>
      </c>
      <c r="C17340" s="121">
        <v>36</v>
      </c>
      <c r="D17340" s="734">
        <v>145.60690435182272</v>
      </c>
      <c r="E17340" s="733"/>
    </row>
    <row r="17341" spans="2:5">
      <c r="B17341" s="121">
        <v>1453</v>
      </c>
      <c r="C17341" s="121">
        <v>1</v>
      </c>
      <c r="D17341" s="734">
        <v>5</v>
      </c>
      <c r="E17341" s="733"/>
    </row>
    <row r="17342" spans="2:5">
      <c r="B17342" s="121">
        <v>1453</v>
      </c>
      <c r="C17342" s="121">
        <v>2</v>
      </c>
      <c r="D17342" s="734">
        <v>100.68735404056251</v>
      </c>
      <c r="E17342" s="733"/>
    </row>
    <row r="17343" spans="2:5">
      <c r="B17343" s="121">
        <v>1453</v>
      </c>
      <c r="C17343" s="121">
        <v>3</v>
      </c>
      <c r="D17343" s="734">
        <v>114.97802764343373</v>
      </c>
      <c r="E17343" s="733"/>
    </row>
    <row r="17344" spans="2:5">
      <c r="B17344" s="121">
        <v>1454</v>
      </c>
      <c r="C17344" s="121">
        <v>1</v>
      </c>
      <c r="D17344" s="734">
        <v>5</v>
      </c>
      <c r="E17344" s="733"/>
    </row>
    <row r="17345" spans="2:5">
      <c r="B17345" s="121">
        <v>1454</v>
      </c>
      <c r="C17345" s="121">
        <v>2</v>
      </c>
      <c r="D17345" s="734">
        <v>96.318957338242001</v>
      </c>
      <c r="E17345" s="733"/>
    </row>
    <row r="17346" spans="2:5">
      <c r="B17346" s="121">
        <v>1454</v>
      </c>
      <c r="C17346" s="121">
        <v>3</v>
      </c>
      <c r="D17346" s="734">
        <v>118.97967039480358</v>
      </c>
      <c r="E17346" s="733"/>
    </row>
    <row r="17347" spans="2:5">
      <c r="B17347" s="121">
        <v>1454</v>
      </c>
      <c r="C17347" s="121">
        <v>4</v>
      </c>
      <c r="D17347" s="734">
        <v>143.77715380048042</v>
      </c>
      <c r="E17347" s="733"/>
    </row>
    <row r="17348" spans="2:5">
      <c r="B17348" s="121">
        <v>1454</v>
      </c>
      <c r="C17348" s="121">
        <v>5</v>
      </c>
      <c r="D17348" s="734">
        <v>139.74914110260664</v>
      </c>
      <c r="E17348" s="733"/>
    </row>
    <row r="17349" spans="2:5">
      <c r="B17349" s="121">
        <v>1454</v>
      </c>
      <c r="C17349" s="121">
        <v>6</v>
      </c>
      <c r="D17349" s="734">
        <v>145.28719521471677</v>
      </c>
      <c r="E17349" s="733"/>
    </row>
    <row r="17350" spans="2:5">
      <c r="B17350" s="121">
        <v>1454</v>
      </c>
      <c r="C17350" s="121">
        <v>7</v>
      </c>
      <c r="D17350" s="734">
        <v>144.73482838002826</v>
      </c>
      <c r="E17350" s="733"/>
    </row>
    <row r="17351" spans="2:5">
      <c r="B17351" s="121">
        <v>1454</v>
      </c>
      <c r="C17351" s="121">
        <v>8</v>
      </c>
      <c r="D17351" s="734">
        <v>137.50778715554105</v>
      </c>
      <c r="E17351" s="733"/>
    </row>
    <row r="17352" spans="2:5">
      <c r="B17352" s="121">
        <v>1454</v>
      </c>
      <c r="C17352" s="121">
        <v>9</v>
      </c>
      <c r="D17352" s="734">
        <v>144.69107126996502</v>
      </c>
      <c r="E17352" s="733"/>
    </row>
    <row r="17353" spans="2:5">
      <c r="B17353" s="121">
        <v>1454</v>
      </c>
      <c r="C17353" s="121">
        <v>10</v>
      </c>
      <c r="D17353" s="734">
        <v>143.74739216251456</v>
      </c>
      <c r="E17353" s="733"/>
    </row>
    <row r="17354" spans="2:5">
      <c r="B17354" s="121">
        <v>1454</v>
      </c>
      <c r="C17354" s="121">
        <v>11</v>
      </c>
      <c r="D17354" s="734">
        <v>135.28679028347301</v>
      </c>
      <c r="E17354" s="733"/>
    </row>
    <row r="17355" spans="2:5">
      <c r="B17355" s="121">
        <v>1454</v>
      </c>
      <c r="C17355" s="121">
        <v>12</v>
      </c>
      <c r="D17355" s="734">
        <v>145.71783084628592</v>
      </c>
      <c r="E17355" s="733"/>
    </row>
    <row r="17356" spans="2:5">
      <c r="B17356" s="121">
        <v>1454</v>
      </c>
      <c r="C17356" s="121">
        <v>13</v>
      </c>
      <c r="D17356" s="734">
        <v>133.72409894044844</v>
      </c>
      <c r="E17356" s="733"/>
    </row>
    <row r="17357" spans="2:5">
      <c r="B17357" s="121">
        <v>1454</v>
      </c>
      <c r="C17357" s="121">
        <v>14</v>
      </c>
      <c r="D17357" s="734">
        <v>136.71284202084524</v>
      </c>
      <c r="E17357" s="733"/>
    </row>
    <row r="17358" spans="2:5">
      <c r="B17358" s="121">
        <v>1454</v>
      </c>
      <c r="C17358" s="121">
        <v>15</v>
      </c>
      <c r="D17358" s="734">
        <v>139.31775577042913</v>
      </c>
      <c r="E17358" s="733"/>
    </row>
    <row r="17359" spans="2:5">
      <c r="B17359" s="121">
        <v>1454</v>
      </c>
      <c r="C17359" s="121">
        <v>16</v>
      </c>
      <c r="D17359" s="734">
        <v>141.77527486755949</v>
      </c>
      <c r="E17359" s="733"/>
    </row>
    <row r="17360" spans="2:5">
      <c r="B17360" s="121">
        <v>1454</v>
      </c>
      <c r="C17360" s="121">
        <v>17</v>
      </c>
      <c r="D17360" s="734">
        <v>143.23520148441338</v>
      </c>
      <c r="E17360" s="733"/>
    </row>
    <row r="17361" spans="2:5">
      <c r="B17361" s="121">
        <v>1454</v>
      </c>
      <c r="C17361" s="121">
        <v>18</v>
      </c>
      <c r="D17361" s="734">
        <v>141.53489663645217</v>
      </c>
      <c r="E17361" s="733"/>
    </row>
    <row r="17362" spans="2:5">
      <c r="B17362" s="121">
        <v>1454</v>
      </c>
      <c r="C17362" s="121">
        <v>19</v>
      </c>
      <c r="D17362" s="734">
        <v>142.78526572133271</v>
      </c>
      <c r="E17362" s="733"/>
    </row>
    <row r="17363" spans="2:5">
      <c r="B17363" s="121">
        <v>1454</v>
      </c>
      <c r="C17363" s="121">
        <v>20</v>
      </c>
      <c r="D17363" s="734">
        <v>134.57145657436055</v>
      </c>
      <c r="E17363" s="733"/>
    </row>
    <row r="17364" spans="2:5">
      <c r="B17364" s="121">
        <v>1454</v>
      </c>
      <c r="C17364" s="121">
        <v>21</v>
      </c>
      <c r="D17364" s="734">
        <v>138.42597026002645</v>
      </c>
      <c r="E17364" s="733"/>
    </row>
    <row r="17365" spans="2:5">
      <c r="B17365" s="121">
        <v>1454</v>
      </c>
      <c r="C17365" s="121">
        <v>22</v>
      </c>
      <c r="D17365" s="734">
        <v>143.98903406965604</v>
      </c>
      <c r="E17365" s="733"/>
    </row>
    <row r="17366" spans="2:5">
      <c r="B17366" s="121">
        <v>1454</v>
      </c>
      <c r="C17366" s="121">
        <v>23</v>
      </c>
      <c r="D17366" s="734">
        <v>136.6094257653935</v>
      </c>
      <c r="E17366" s="733"/>
    </row>
    <row r="17367" spans="2:5">
      <c r="B17367" s="121">
        <v>1454</v>
      </c>
      <c r="C17367" s="121">
        <v>24</v>
      </c>
      <c r="D17367" s="734">
        <v>146.5119355995466</v>
      </c>
      <c r="E17367" s="733"/>
    </row>
    <row r="17368" spans="2:5">
      <c r="B17368" s="121">
        <v>1454</v>
      </c>
      <c r="C17368" s="121">
        <v>25</v>
      </c>
      <c r="D17368" s="734">
        <v>140.01403346902015</v>
      </c>
      <c r="E17368" s="733"/>
    </row>
    <row r="17369" spans="2:5">
      <c r="B17369" s="121">
        <v>1454</v>
      </c>
      <c r="C17369" s="121">
        <v>26</v>
      </c>
      <c r="D17369" s="734">
        <v>145.83251659951884</v>
      </c>
      <c r="E17369" s="733"/>
    </row>
    <row r="17370" spans="2:5">
      <c r="B17370" s="121">
        <v>1454</v>
      </c>
      <c r="C17370" s="121">
        <v>27</v>
      </c>
      <c r="D17370" s="734">
        <v>145.9546561015525</v>
      </c>
      <c r="E17370" s="733"/>
    </row>
    <row r="17371" spans="2:5">
      <c r="B17371" s="121">
        <v>1454</v>
      </c>
      <c r="C17371" s="121">
        <v>28</v>
      </c>
      <c r="D17371" s="734">
        <v>135.69647139585487</v>
      </c>
      <c r="E17371" s="733"/>
    </row>
    <row r="17372" spans="2:5">
      <c r="B17372" s="121">
        <v>1455</v>
      </c>
      <c r="C17372" s="121">
        <v>1</v>
      </c>
      <c r="D17372" s="734">
        <v>5</v>
      </c>
      <c r="E17372" s="733"/>
    </row>
    <row r="17373" spans="2:5">
      <c r="B17373" s="121">
        <v>1455</v>
      </c>
      <c r="C17373" s="121">
        <v>2</v>
      </c>
      <c r="D17373" s="734">
        <v>99.555134127075917</v>
      </c>
      <c r="E17373" s="733"/>
    </row>
    <row r="17374" spans="2:5">
      <c r="B17374" s="121">
        <v>1455</v>
      </c>
      <c r="C17374" s="121">
        <v>3</v>
      </c>
      <c r="D17374" s="734">
        <v>121.18667484158286</v>
      </c>
      <c r="E17374" s="733"/>
    </row>
    <row r="17375" spans="2:5">
      <c r="B17375" s="121">
        <v>1455</v>
      </c>
      <c r="C17375" s="121">
        <v>4</v>
      </c>
      <c r="D17375" s="734">
        <v>141.04864941872191</v>
      </c>
      <c r="E17375" s="733"/>
    </row>
    <row r="17376" spans="2:5">
      <c r="B17376" s="121">
        <v>1455</v>
      </c>
      <c r="C17376" s="121">
        <v>5</v>
      </c>
      <c r="D17376" s="734">
        <v>137.35540812933704</v>
      </c>
      <c r="E17376" s="733"/>
    </row>
    <row r="17377" spans="2:5">
      <c r="B17377" s="121">
        <v>1455</v>
      </c>
      <c r="C17377" s="121">
        <v>6</v>
      </c>
      <c r="D17377" s="734">
        <v>145.01074679112679</v>
      </c>
      <c r="E17377" s="733"/>
    </row>
    <row r="17378" spans="2:5">
      <c r="B17378" s="121">
        <v>1456</v>
      </c>
      <c r="C17378" s="121">
        <v>1</v>
      </c>
      <c r="D17378" s="734">
        <v>5</v>
      </c>
      <c r="E17378" s="733"/>
    </row>
    <row r="17379" spans="2:5">
      <c r="B17379" s="121">
        <v>1456</v>
      </c>
      <c r="C17379" s="121">
        <v>2</v>
      </c>
      <c r="D17379" s="734">
        <v>99.776331933406155</v>
      </c>
      <c r="E17379" s="733"/>
    </row>
    <row r="17380" spans="2:5">
      <c r="B17380" s="121">
        <v>1456</v>
      </c>
      <c r="C17380" s="121">
        <v>3</v>
      </c>
      <c r="D17380" s="734">
        <v>125.21476960406311</v>
      </c>
      <c r="E17380" s="733"/>
    </row>
    <row r="17381" spans="2:5">
      <c r="B17381" s="121">
        <v>1456</v>
      </c>
      <c r="C17381" s="121">
        <v>4</v>
      </c>
      <c r="D17381" s="734">
        <v>137.64430754416748</v>
      </c>
      <c r="E17381" s="733"/>
    </row>
    <row r="17382" spans="2:5">
      <c r="B17382" s="121">
        <v>1456</v>
      </c>
      <c r="C17382" s="121">
        <v>5</v>
      </c>
      <c r="D17382" s="734">
        <v>146.33908884711363</v>
      </c>
      <c r="E17382" s="733"/>
    </row>
    <row r="17383" spans="2:5">
      <c r="B17383" s="121">
        <v>1456</v>
      </c>
      <c r="C17383" s="121">
        <v>6</v>
      </c>
      <c r="D17383" s="734">
        <v>134.44384670153559</v>
      </c>
      <c r="E17383" s="733"/>
    </row>
    <row r="17384" spans="2:5">
      <c r="B17384" s="121">
        <v>1456</v>
      </c>
      <c r="C17384" s="121">
        <v>7</v>
      </c>
      <c r="D17384" s="734">
        <v>144.60622705351966</v>
      </c>
      <c r="E17384" s="733"/>
    </row>
    <row r="17385" spans="2:5">
      <c r="B17385" s="121">
        <v>1456</v>
      </c>
      <c r="C17385" s="121">
        <v>8</v>
      </c>
      <c r="D17385" s="734">
        <v>137.02041488612284</v>
      </c>
      <c r="E17385" s="733"/>
    </row>
    <row r="17386" spans="2:5">
      <c r="B17386" s="121">
        <v>1456</v>
      </c>
      <c r="C17386" s="121">
        <v>9</v>
      </c>
      <c r="D17386" s="734">
        <v>140.48468983050009</v>
      </c>
      <c r="E17386" s="733"/>
    </row>
    <row r="17387" spans="2:5">
      <c r="B17387" s="121">
        <v>1456</v>
      </c>
      <c r="C17387" s="121">
        <v>10</v>
      </c>
      <c r="D17387" s="734">
        <v>144.97867705166365</v>
      </c>
      <c r="E17387" s="733"/>
    </row>
    <row r="17388" spans="2:5">
      <c r="B17388" s="121">
        <v>1456</v>
      </c>
      <c r="C17388" s="121">
        <v>11</v>
      </c>
      <c r="D17388" s="734">
        <v>146.88994707338585</v>
      </c>
      <c r="E17388" s="733"/>
    </row>
    <row r="17389" spans="2:5">
      <c r="B17389" s="121">
        <v>1456</v>
      </c>
      <c r="C17389" s="121">
        <v>12</v>
      </c>
      <c r="D17389" s="734">
        <v>141.75166143079176</v>
      </c>
      <c r="E17389" s="733"/>
    </row>
    <row r="17390" spans="2:5">
      <c r="B17390" s="121">
        <v>1456</v>
      </c>
      <c r="C17390" s="121">
        <v>13</v>
      </c>
      <c r="D17390" s="734">
        <v>137.17606977276614</v>
      </c>
      <c r="E17390" s="733"/>
    </row>
    <row r="17391" spans="2:5">
      <c r="B17391" s="121">
        <v>1456</v>
      </c>
      <c r="C17391" s="121">
        <v>14</v>
      </c>
      <c r="D17391" s="734">
        <v>143.7316393705467</v>
      </c>
      <c r="E17391" s="733"/>
    </row>
    <row r="17392" spans="2:5">
      <c r="B17392" s="121">
        <v>1456</v>
      </c>
      <c r="C17392" s="121">
        <v>15</v>
      </c>
      <c r="D17392" s="734">
        <v>145.50368618141607</v>
      </c>
      <c r="E17392" s="733"/>
    </row>
    <row r="17393" spans="2:5">
      <c r="B17393" s="121">
        <v>1456</v>
      </c>
      <c r="C17393" s="121">
        <v>16</v>
      </c>
      <c r="D17393" s="734">
        <v>144.23865054079798</v>
      </c>
      <c r="E17393" s="733"/>
    </row>
    <row r="17394" spans="2:5">
      <c r="B17394" s="121">
        <v>1456</v>
      </c>
      <c r="C17394" s="121">
        <v>17</v>
      </c>
      <c r="D17394" s="734">
        <v>145.03853038433351</v>
      </c>
      <c r="E17394" s="733"/>
    </row>
    <row r="17395" spans="2:5">
      <c r="B17395" s="121">
        <v>1456</v>
      </c>
      <c r="C17395" s="121">
        <v>18</v>
      </c>
      <c r="D17395" s="734">
        <v>140.28031770558871</v>
      </c>
      <c r="E17395" s="733"/>
    </row>
    <row r="17396" spans="2:5">
      <c r="B17396" s="121">
        <v>1456</v>
      </c>
      <c r="C17396" s="121">
        <v>19</v>
      </c>
      <c r="D17396" s="734">
        <v>144.69937752711485</v>
      </c>
      <c r="E17396" s="733"/>
    </row>
    <row r="17397" spans="2:5">
      <c r="B17397" s="121">
        <v>1456</v>
      </c>
      <c r="C17397" s="121">
        <v>20</v>
      </c>
      <c r="D17397" s="734">
        <v>147.02149898977169</v>
      </c>
      <c r="E17397" s="733"/>
    </row>
    <row r="17398" spans="2:5">
      <c r="B17398" s="121">
        <v>1456</v>
      </c>
      <c r="C17398" s="121">
        <v>21</v>
      </c>
      <c r="D17398" s="734">
        <v>143.92465552780052</v>
      </c>
      <c r="E17398" s="733"/>
    </row>
    <row r="17399" spans="2:5">
      <c r="B17399" s="121">
        <v>1456</v>
      </c>
      <c r="C17399" s="121">
        <v>22</v>
      </c>
      <c r="D17399" s="734">
        <v>136.40998549654768</v>
      </c>
      <c r="E17399" s="733"/>
    </row>
    <row r="17400" spans="2:5">
      <c r="B17400" s="121">
        <v>1456</v>
      </c>
      <c r="C17400" s="121">
        <v>23</v>
      </c>
      <c r="D17400" s="734">
        <v>136.44678108659389</v>
      </c>
      <c r="E17400" s="733"/>
    </row>
    <row r="17401" spans="2:5">
      <c r="B17401" s="121">
        <v>1456</v>
      </c>
      <c r="C17401" s="121">
        <v>24</v>
      </c>
      <c r="D17401" s="734">
        <v>142.94232074290076</v>
      </c>
      <c r="E17401" s="733"/>
    </row>
    <row r="17402" spans="2:5">
      <c r="B17402" s="121">
        <v>1456</v>
      </c>
      <c r="C17402" s="121">
        <v>25</v>
      </c>
      <c r="D17402" s="734">
        <v>146.4565425359099</v>
      </c>
      <c r="E17402" s="733"/>
    </row>
    <row r="17403" spans="2:5">
      <c r="B17403" s="121">
        <v>1456</v>
      </c>
      <c r="C17403" s="121">
        <v>26</v>
      </c>
      <c r="D17403" s="734">
        <v>145.80001163034723</v>
      </c>
      <c r="E17403" s="733"/>
    </row>
    <row r="17404" spans="2:5">
      <c r="B17404" s="121">
        <v>1456</v>
      </c>
      <c r="C17404" s="121">
        <v>27</v>
      </c>
      <c r="D17404" s="734">
        <v>141.38209301015129</v>
      </c>
      <c r="E17404" s="733"/>
    </row>
    <row r="17405" spans="2:5">
      <c r="B17405" s="121">
        <v>1456</v>
      </c>
      <c r="C17405" s="121">
        <v>28</v>
      </c>
      <c r="D17405" s="734">
        <v>142.85332944410155</v>
      </c>
      <c r="E17405" s="733"/>
    </row>
    <row r="17406" spans="2:5">
      <c r="B17406" s="121">
        <v>1456</v>
      </c>
      <c r="C17406" s="121">
        <v>29</v>
      </c>
      <c r="D17406" s="734">
        <v>146.64936685590118</v>
      </c>
      <c r="E17406" s="733"/>
    </row>
    <row r="17407" spans="2:5">
      <c r="B17407" s="121">
        <v>1456</v>
      </c>
      <c r="C17407" s="121">
        <v>30</v>
      </c>
      <c r="D17407" s="734">
        <v>143.78185106890143</v>
      </c>
      <c r="E17407" s="733"/>
    </row>
    <row r="17408" spans="2:5">
      <c r="B17408" s="121">
        <v>1456</v>
      </c>
      <c r="C17408" s="121">
        <v>31</v>
      </c>
      <c r="D17408" s="734">
        <v>138.72661036602744</v>
      </c>
      <c r="E17408" s="733"/>
    </row>
    <row r="17409" spans="2:5">
      <c r="B17409" s="121">
        <v>1456</v>
      </c>
      <c r="C17409" s="121">
        <v>32</v>
      </c>
      <c r="D17409" s="734">
        <v>141.48228801005394</v>
      </c>
      <c r="E17409" s="733"/>
    </row>
    <row r="17410" spans="2:5">
      <c r="B17410" s="121">
        <v>1457</v>
      </c>
      <c r="C17410" s="121">
        <v>1</v>
      </c>
      <c r="D17410" s="734">
        <v>5</v>
      </c>
      <c r="E17410" s="733"/>
    </row>
    <row r="17411" spans="2:5">
      <c r="B17411" s="121">
        <v>1457</v>
      </c>
      <c r="C17411" s="121">
        <v>2</v>
      </c>
      <c r="D17411" s="734">
        <v>103.33116018503121</v>
      </c>
      <c r="E17411" s="733"/>
    </row>
    <row r="17412" spans="2:5">
      <c r="B17412" s="121">
        <v>1457</v>
      </c>
      <c r="C17412" s="121">
        <v>3</v>
      </c>
      <c r="D17412" s="734">
        <v>125.49033968707644</v>
      </c>
      <c r="E17412" s="733"/>
    </row>
    <row r="17413" spans="2:5">
      <c r="B17413" s="121">
        <v>1457</v>
      </c>
      <c r="C17413" s="121">
        <v>4</v>
      </c>
      <c r="D17413" s="734">
        <v>140.70621723672213</v>
      </c>
      <c r="E17413" s="733"/>
    </row>
    <row r="17414" spans="2:5">
      <c r="B17414" s="121">
        <v>1457</v>
      </c>
      <c r="C17414" s="121">
        <v>5</v>
      </c>
      <c r="D17414" s="734">
        <v>141.78203915969908</v>
      </c>
      <c r="E17414" s="733"/>
    </row>
    <row r="17415" spans="2:5">
      <c r="B17415" s="121">
        <v>1457</v>
      </c>
      <c r="C17415" s="121">
        <v>6</v>
      </c>
      <c r="D17415" s="734">
        <v>134.20250821413296</v>
      </c>
      <c r="E17415" s="733"/>
    </row>
    <row r="17416" spans="2:5">
      <c r="B17416" s="121">
        <v>1457</v>
      </c>
      <c r="C17416" s="121">
        <v>7</v>
      </c>
      <c r="D17416" s="734">
        <v>144.41669956464278</v>
      </c>
      <c r="E17416" s="733"/>
    </row>
    <row r="17417" spans="2:5">
      <c r="B17417" s="121">
        <v>1457</v>
      </c>
      <c r="C17417" s="121">
        <v>8</v>
      </c>
      <c r="D17417" s="734">
        <v>145.8046460966531</v>
      </c>
      <c r="E17417" s="733"/>
    </row>
    <row r="17418" spans="2:5">
      <c r="B17418" s="121">
        <v>1457</v>
      </c>
      <c r="C17418" s="121">
        <v>9</v>
      </c>
      <c r="D17418" s="734">
        <v>142.38931440532122</v>
      </c>
      <c r="E17418" s="733"/>
    </row>
    <row r="17419" spans="2:5">
      <c r="B17419" s="121">
        <v>1457</v>
      </c>
      <c r="C17419" s="121">
        <v>10</v>
      </c>
      <c r="D17419" s="734">
        <v>145.51148001598591</v>
      </c>
      <c r="E17419" s="733"/>
    </row>
    <row r="17420" spans="2:5">
      <c r="B17420" s="121">
        <v>1457</v>
      </c>
      <c r="C17420" s="121">
        <v>11</v>
      </c>
      <c r="D17420" s="734">
        <v>144.84326627886611</v>
      </c>
      <c r="E17420" s="733"/>
    </row>
    <row r="17421" spans="2:5">
      <c r="B17421" s="121">
        <v>1457</v>
      </c>
      <c r="C17421" s="121">
        <v>12</v>
      </c>
      <c r="D17421" s="734">
        <v>144.00835169269601</v>
      </c>
      <c r="E17421" s="733"/>
    </row>
    <row r="17422" spans="2:5">
      <c r="B17422" s="121">
        <v>1457</v>
      </c>
      <c r="C17422" s="121">
        <v>13</v>
      </c>
      <c r="D17422" s="734">
        <v>137.75912704991342</v>
      </c>
      <c r="E17422" s="733"/>
    </row>
    <row r="17423" spans="2:5">
      <c r="B17423" s="121">
        <v>1458</v>
      </c>
      <c r="C17423" s="121">
        <v>1</v>
      </c>
      <c r="D17423" s="734">
        <v>5</v>
      </c>
      <c r="E17423" s="733"/>
    </row>
    <row r="17424" spans="2:5">
      <c r="B17424" s="121">
        <v>1458</v>
      </c>
      <c r="C17424" s="121">
        <v>2</v>
      </c>
      <c r="D17424" s="734">
        <v>102.6494941789115</v>
      </c>
      <c r="E17424" s="733"/>
    </row>
    <row r="17425" spans="2:5">
      <c r="B17425" s="121">
        <v>1458</v>
      </c>
      <c r="C17425" s="121">
        <v>3</v>
      </c>
      <c r="D17425" s="734">
        <v>116.76836553705112</v>
      </c>
      <c r="E17425" s="733"/>
    </row>
    <row r="17426" spans="2:5">
      <c r="B17426" s="121">
        <v>1458</v>
      </c>
      <c r="C17426" s="121">
        <v>4</v>
      </c>
      <c r="D17426" s="734">
        <v>139.75855074488814</v>
      </c>
      <c r="E17426" s="733"/>
    </row>
    <row r="17427" spans="2:5">
      <c r="B17427" s="121">
        <v>1458</v>
      </c>
      <c r="C17427" s="121">
        <v>5</v>
      </c>
      <c r="D17427" s="734">
        <v>137.78090325436281</v>
      </c>
      <c r="E17427" s="733"/>
    </row>
    <row r="17428" spans="2:5">
      <c r="B17428" s="121">
        <v>1458</v>
      </c>
      <c r="C17428" s="121">
        <v>6</v>
      </c>
      <c r="D17428" s="734">
        <v>138.30498486077553</v>
      </c>
      <c r="E17428" s="733"/>
    </row>
    <row r="17429" spans="2:5">
      <c r="B17429" s="121">
        <v>1458</v>
      </c>
      <c r="C17429" s="121">
        <v>7</v>
      </c>
      <c r="D17429" s="734">
        <v>136.73130092422701</v>
      </c>
      <c r="E17429" s="733"/>
    </row>
    <row r="17430" spans="2:5">
      <c r="B17430" s="121">
        <v>1458</v>
      </c>
      <c r="C17430" s="121">
        <v>8</v>
      </c>
      <c r="D17430" s="734">
        <v>136.31190979619802</v>
      </c>
      <c r="E17430" s="733"/>
    </row>
    <row r="17431" spans="2:5">
      <c r="B17431" s="121">
        <v>1458</v>
      </c>
      <c r="C17431" s="121">
        <v>9</v>
      </c>
      <c r="D17431" s="734">
        <v>144.09362702717092</v>
      </c>
      <c r="E17431" s="733"/>
    </row>
    <row r="17432" spans="2:5">
      <c r="B17432" s="121">
        <v>1458</v>
      </c>
      <c r="C17432" s="121">
        <v>10</v>
      </c>
      <c r="D17432" s="734">
        <v>144.43571947105369</v>
      </c>
      <c r="E17432" s="733"/>
    </row>
    <row r="17433" spans="2:5">
      <c r="B17433" s="121">
        <v>1458</v>
      </c>
      <c r="C17433" s="121">
        <v>11</v>
      </c>
      <c r="D17433" s="734">
        <v>136.63419562956713</v>
      </c>
      <c r="E17433" s="733"/>
    </row>
    <row r="17434" spans="2:5">
      <c r="B17434" s="121">
        <v>1458</v>
      </c>
      <c r="C17434" s="121">
        <v>12</v>
      </c>
      <c r="D17434" s="734">
        <v>143.72248288234428</v>
      </c>
      <c r="E17434" s="733"/>
    </row>
    <row r="17435" spans="2:5">
      <c r="B17435" s="121">
        <v>1458</v>
      </c>
      <c r="C17435" s="121">
        <v>13</v>
      </c>
      <c r="D17435" s="734">
        <v>137.50902064813556</v>
      </c>
      <c r="E17435" s="733"/>
    </row>
    <row r="17436" spans="2:5">
      <c r="B17436" s="121">
        <v>1458</v>
      </c>
      <c r="C17436" s="121">
        <v>14</v>
      </c>
      <c r="D17436" s="734">
        <v>136.85602218825335</v>
      </c>
      <c r="E17436" s="733"/>
    </row>
    <row r="17437" spans="2:5">
      <c r="B17437" s="121">
        <v>1458</v>
      </c>
      <c r="C17437" s="121">
        <v>15</v>
      </c>
      <c r="D17437" s="734">
        <v>139.04946728908408</v>
      </c>
      <c r="E17437" s="733"/>
    </row>
    <row r="17438" spans="2:5">
      <c r="B17438" s="121">
        <v>1459</v>
      </c>
      <c r="C17438" s="121">
        <v>1</v>
      </c>
      <c r="D17438" s="734">
        <v>5</v>
      </c>
      <c r="E17438" s="733"/>
    </row>
    <row r="17439" spans="2:5">
      <c r="B17439" s="121">
        <v>1459</v>
      </c>
      <c r="C17439" s="121">
        <v>2</v>
      </c>
      <c r="D17439" s="734">
        <v>96.931096586769911</v>
      </c>
      <c r="E17439" s="733"/>
    </row>
    <row r="17440" spans="2:5">
      <c r="B17440" s="121">
        <v>1459</v>
      </c>
      <c r="C17440" s="121">
        <v>3</v>
      </c>
      <c r="D17440" s="734">
        <v>119.69839297881578</v>
      </c>
      <c r="E17440" s="733"/>
    </row>
    <row r="17441" spans="2:5">
      <c r="B17441" s="121">
        <v>1459</v>
      </c>
      <c r="C17441" s="121">
        <v>4</v>
      </c>
      <c r="D17441" s="734">
        <v>141.31037566562782</v>
      </c>
      <c r="E17441" s="733"/>
    </row>
    <row r="17442" spans="2:5">
      <c r="B17442" s="121">
        <v>1459</v>
      </c>
      <c r="C17442" s="121">
        <v>5</v>
      </c>
      <c r="D17442" s="734">
        <v>141.71518939174604</v>
      </c>
      <c r="E17442" s="733"/>
    </row>
    <row r="17443" spans="2:5">
      <c r="B17443" s="121">
        <v>1459</v>
      </c>
      <c r="C17443" s="121">
        <v>6</v>
      </c>
      <c r="D17443" s="734">
        <v>146.89267396179596</v>
      </c>
      <c r="E17443" s="733"/>
    </row>
    <row r="17444" spans="2:5">
      <c r="B17444" s="121">
        <v>1459</v>
      </c>
      <c r="C17444" s="121">
        <v>7</v>
      </c>
      <c r="D17444" s="734">
        <v>143.84830073566135</v>
      </c>
      <c r="E17444" s="733"/>
    </row>
    <row r="17445" spans="2:5">
      <c r="B17445" s="121">
        <v>1459</v>
      </c>
      <c r="C17445" s="121">
        <v>8</v>
      </c>
      <c r="D17445" s="734">
        <v>144.72236974086127</v>
      </c>
      <c r="E17445" s="733"/>
    </row>
    <row r="17446" spans="2:5">
      <c r="B17446" s="121">
        <v>1459</v>
      </c>
      <c r="C17446" s="121">
        <v>9</v>
      </c>
      <c r="D17446" s="734">
        <v>136.94249925516087</v>
      </c>
      <c r="E17446" s="733"/>
    </row>
    <row r="17447" spans="2:5">
      <c r="B17447" s="121">
        <v>1459</v>
      </c>
      <c r="C17447" s="121">
        <v>10</v>
      </c>
      <c r="D17447" s="734">
        <v>141.76124596797882</v>
      </c>
      <c r="E17447" s="733"/>
    </row>
    <row r="17448" spans="2:5">
      <c r="B17448" s="121">
        <v>1459</v>
      </c>
      <c r="C17448" s="121">
        <v>11</v>
      </c>
      <c r="D17448" s="734">
        <v>138.57062753462878</v>
      </c>
      <c r="E17448" s="733"/>
    </row>
    <row r="17449" spans="2:5">
      <c r="B17449" s="121">
        <v>1459</v>
      </c>
      <c r="C17449" s="121">
        <v>12</v>
      </c>
      <c r="D17449" s="734">
        <v>144.86983288234273</v>
      </c>
      <c r="E17449" s="733"/>
    </row>
    <row r="17450" spans="2:5">
      <c r="B17450" s="121">
        <v>1459</v>
      </c>
      <c r="C17450" s="121">
        <v>13</v>
      </c>
      <c r="D17450" s="734">
        <v>146.66443338790793</v>
      </c>
      <c r="E17450" s="733"/>
    </row>
    <row r="17451" spans="2:5">
      <c r="B17451" s="121">
        <v>1459</v>
      </c>
      <c r="C17451" s="121">
        <v>14</v>
      </c>
      <c r="D17451" s="734">
        <v>146.30208507842511</v>
      </c>
      <c r="E17451" s="733"/>
    </row>
    <row r="17452" spans="2:5">
      <c r="B17452" s="121">
        <v>1459</v>
      </c>
      <c r="C17452" s="121">
        <v>15</v>
      </c>
      <c r="D17452" s="734">
        <v>145.51813141210843</v>
      </c>
      <c r="E17452" s="733"/>
    </row>
    <row r="17453" spans="2:5">
      <c r="B17453" s="121">
        <v>1459</v>
      </c>
      <c r="C17453" s="121">
        <v>16</v>
      </c>
      <c r="D17453" s="734">
        <v>144.22247755648235</v>
      </c>
      <c r="E17453" s="733"/>
    </row>
    <row r="17454" spans="2:5">
      <c r="B17454" s="121">
        <v>1459</v>
      </c>
      <c r="C17454" s="121">
        <v>17</v>
      </c>
      <c r="D17454" s="734">
        <v>141.53174944861757</v>
      </c>
      <c r="E17454" s="733"/>
    </row>
    <row r="17455" spans="2:5">
      <c r="B17455" s="121">
        <v>1459</v>
      </c>
      <c r="C17455" s="121">
        <v>18</v>
      </c>
      <c r="D17455" s="734">
        <v>134.31633116226431</v>
      </c>
      <c r="E17455" s="733"/>
    </row>
    <row r="17456" spans="2:5">
      <c r="B17456" s="121">
        <v>1459</v>
      </c>
      <c r="C17456" s="121">
        <v>19</v>
      </c>
      <c r="D17456" s="734">
        <v>142.53010261099726</v>
      </c>
      <c r="E17456" s="733"/>
    </row>
    <row r="17457" spans="2:5">
      <c r="B17457" s="121">
        <v>1459</v>
      </c>
      <c r="C17457" s="121">
        <v>20</v>
      </c>
      <c r="D17457" s="734">
        <v>144.00880672793866</v>
      </c>
      <c r="E17457" s="733"/>
    </row>
    <row r="17458" spans="2:5">
      <c r="B17458" s="121">
        <v>1459</v>
      </c>
      <c r="C17458" s="121">
        <v>21</v>
      </c>
      <c r="D17458" s="734">
        <v>144.43361083943006</v>
      </c>
      <c r="E17458" s="733"/>
    </row>
    <row r="17459" spans="2:5">
      <c r="B17459" s="121">
        <v>1459</v>
      </c>
      <c r="C17459" s="121">
        <v>22</v>
      </c>
      <c r="D17459" s="734">
        <v>138.46112401227515</v>
      </c>
      <c r="E17459" s="733"/>
    </row>
    <row r="17460" spans="2:5">
      <c r="B17460" s="121">
        <v>1459</v>
      </c>
      <c r="C17460" s="121">
        <v>23</v>
      </c>
      <c r="D17460" s="734">
        <v>135.73984534772086</v>
      </c>
      <c r="E17460" s="733"/>
    </row>
    <row r="17461" spans="2:5">
      <c r="B17461" s="121">
        <v>1459</v>
      </c>
      <c r="C17461" s="121">
        <v>24</v>
      </c>
      <c r="D17461" s="734">
        <v>143.96311441857304</v>
      </c>
      <c r="E17461" s="733"/>
    </row>
    <row r="17462" spans="2:5">
      <c r="B17462" s="121">
        <v>1459</v>
      </c>
      <c r="C17462" s="121">
        <v>25</v>
      </c>
      <c r="D17462" s="734">
        <v>137.77188401290493</v>
      </c>
      <c r="E17462" s="733"/>
    </row>
    <row r="17463" spans="2:5">
      <c r="B17463" s="121">
        <v>1459</v>
      </c>
      <c r="C17463" s="121">
        <v>26</v>
      </c>
      <c r="D17463" s="734">
        <v>137.79561657948523</v>
      </c>
      <c r="E17463" s="733"/>
    </row>
    <row r="17464" spans="2:5">
      <c r="B17464" s="121">
        <v>1459</v>
      </c>
      <c r="C17464" s="121">
        <v>27</v>
      </c>
      <c r="D17464" s="734">
        <v>144.53543998817423</v>
      </c>
      <c r="E17464" s="733"/>
    </row>
    <row r="17465" spans="2:5">
      <c r="B17465" s="121">
        <v>1459</v>
      </c>
      <c r="C17465" s="121">
        <v>28</v>
      </c>
      <c r="D17465" s="734">
        <v>140.42055383642054</v>
      </c>
      <c r="E17465" s="733"/>
    </row>
    <row r="17466" spans="2:5">
      <c r="B17466" s="121">
        <v>1459</v>
      </c>
      <c r="C17466" s="121">
        <v>29</v>
      </c>
      <c r="D17466" s="734">
        <v>143.30817474216531</v>
      </c>
      <c r="E17466" s="733"/>
    </row>
    <row r="17467" spans="2:5">
      <c r="B17467" s="121">
        <v>1459</v>
      </c>
      <c r="C17467" s="121">
        <v>30</v>
      </c>
      <c r="D17467" s="734">
        <v>136.52611002492119</v>
      </c>
      <c r="E17467" s="733"/>
    </row>
    <row r="17468" spans="2:5">
      <c r="B17468" s="121">
        <v>1459</v>
      </c>
      <c r="C17468" s="121">
        <v>31</v>
      </c>
      <c r="D17468" s="734">
        <v>138.49302132781605</v>
      </c>
      <c r="E17468" s="733"/>
    </row>
    <row r="17469" spans="2:5">
      <c r="B17469" s="121">
        <v>1459</v>
      </c>
      <c r="C17469" s="121">
        <v>32</v>
      </c>
      <c r="D17469" s="734">
        <v>144.78508005366282</v>
      </c>
      <c r="E17469" s="733"/>
    </row>
    <row r="17470" spans="2:5">
      <c r="B17470" s="121">
        <v>1459</v>
      </c>
      <c r="C17470" s="121">
        <v>33</v>
      </c>
      <c r="D17470" s="734">
        <v>136.50562075213142</v>
      </c>
      <c r="E17470" s="733"/>
    </row>
    <row r="17471" spans="2:5">
      <c r="B17471" s="121">
        <v>1459</v>
      </c>
      <c r="C17471" s="121">
        <v>34</v>
      </c>
      <c r="D17471" s="734">
        <v>136.96225644760042</v>
      </c>
      <c r="E17471" s="733"/>
    </row>
    <row r="17472" spans="2:5">
      <c r="B17472" s="121">
        <v>1459</v>
      </c>
      <c r="C17472" s="121">
        <v>35</v>
      </c>
      <c r="D17472" s="734">
        <v>145.40424877569632</v>
      </c>
      <c r="E17472" s="733"/>
    </row>
    <row r="17473" spans="2:5">
      <c r="B17473" s="121">
        <v>1459</v>
      </c>
      <c r="C17473" s="121">
        <v>36</v>
      </c>
      <c r="D17473" s="734">
        <v>145.25306585792515</v>
      </c>
      <c r="E17473" s="733"/>
    </row>
    <row r="17474" spans="2:5">
      <c r="B17474" s="121">
        <v>1460</v>
      </c>
      <c r="C17474" s="121">
        <v>1</v>
      </c>
      <c r="D17474" s="734">
        <v>5</v>
      </c>
      <c r="E17474" s="733"/>
    </row>
    <row r="17475" spans="2:5">
      <c r="B17475" s="121">
        <v>1460</v>
      </c>
      <c r="C17475" s="121">
        <v>2</v>
      </c>
      <c r="D17475" s="734">
        <v>101.9091089571539</v>
      </c>
      <c r="E17475" s="733"/>
    </row>
    <row r="17476" spans="2:5">
      <c r="B17476" s="121">
        <v>1460</v>
      </c>
      <c r="C17476" s="121">
        <v>3</v>
      </c>
      <c r="D17476" s="734">
        <v>116.56058256420035</v>
      </c>
      <c r="E17476" s="733"/>
    </row>
    <row r="17477" spans="2:5">
      <c r="B17477" s="121">
        <v>1460</v>
      </c>
      <c r="C17477" s="121">
        <v>4</v>
      </c>
      <c r="D17477" s="734">
        <v>135.92029292332165</v>
      </c>
      <c r="E17477" s="733"/>
    </row>
    <row r="17478" spans="2:5">
      <c r="B17478" s="121">
        <v>1460</v>
      </c>
      <c r="C17478" s="121">
        <v>5</v>
      </c>
      <c r="D17478" s="734">
        <v>135.35121665709522</v>
      </c>
      <c r="E17478" s="733"/>
    </row>
    <row r="17479" spans="2:5">
      <c r="B17479" s="121">
        <v>1460</v>
      </c>
      <c r="C17479" s="121">
        <v>6</v>
      </c>
      <c r="D17479" s="734">
        <v>145.54825237547354</v>
      </c>
      <c r="E17479" s="733"/>
    </row>
    <row r="17480" spans="2:5">
      <c r="B17480" s="121">
        <v>1460</v>
      </c>
      <c r="C17480" s="121">
        <v>7</v>
      </c>
      <c r="D17480" s="734">
        <v>145.37114877959135</v>
      </c>
      <c r="E17480" s="733"/>
    </row>
    <row r="17481" spans="2:5">
      <c r="B17481" s="121">
        <v>1460</v>
      </c>
      <c r="C17481" s="121">
        <v>8</v>
      </c>
      <c r="D17481" s="734">
        <v>133.91898585202952</v>
      </c>
      <c r="E17481" s="733"/>
    </row>
    <row r="17482" spans="2:5">
      <c r="B17482" s="121">
        <v>1460</v>
      </c>
      <c r="C17482" s="121">
        <v>9</v>
      </c>
      <c r="D17482" s="734">
        <v>136.70825006102103</v>
      </c>
      <c r="E17482" s="733"/>
    </row>
    <row r="17483" spans="2:5">
      <c r="B17483" s="121">
        <v>1460</v>
      </c>
      <c r="C17483" s="121">
        <v>10</v>
      </c>
      <c r="D17483" s="734">
        <v>139.97277031352962</v>
      </c>
      <c r="E17483" s="733"/>
    </row>
    <row r="17484" spans="2:5">
      <c r="B17484" s="121">
        <v>1460</v>
      </c>
      <c r="C17484" s="121">
        <v>11</v>
      </c>
      <c r="D17484" s="734">
        <v>135.2572166151227</v>
      </c>
      <c r="E17484" s="733"/>
    </row>
    <row r="17485" spans="2:5">
      <c r="B17485" s="121">
        <v>1460</v>
      </c>
      <c r="C17485" s="121">
        <v>12</v>
      </c>
      <c r="D17485" s="734">
        <v>135.48009474389661</v>
      </c>
      <c r="E17485" s="733"/>
    </row>
    <row r="17486" spans="2:5">
      <c r="B17486" s="121">
        <v>1460</v>
      </c>
      <c r="C17486" s="121">
        <v>13</v>
      </c>
      <c r="D17486" s="734">
        <v>134.9887322316583</v>
      </c>
      <c r="E17486" s="733"/>
    </row>
    <row r="17487" spans="2:5">
      <c r="B17487" s="121">
        <v>1460</v>
      </c>
      <c r="C17487" s="121">
        <v>14</v>
      </c>
      <c r="D17487" s="734">
        <v>142.62323046323036</v>
      </c>
      <c r="E17487" s="733"/>
    </row>
    <row r="17488" spans="2:5">
      <c r="B17488" s="121">
        <v>1460</v>
      </c>
      <c r="C17488" s="121">
        <v>15</v>
      </c>
      <c r="D17488" s="734">
        <v>145.74336148563594</v>
      </c>
      <c r="E17488" s="733"/>
    </row>
    <row r="17489" spans="2:5">
      <c r="B17489" s="121">
        <v>1460</v>
      </c>
      <c r="C17489" s="121">
        <v>16</v>
      </c>
      <c r="D17489" s="734">
        <v>135.03382034885129</v>
      </c>
      <c r="E17489" s="733"/>
    </row>
    <row r="17490" spans="2:5">
      <c r="B17490" s="121">
        <v>1460</v>
      </c>
      <c r="C17490" s="121">
        <v>17</v>
      </c>
      <c r="D17490" s="734">
        <v>142.09202780472242</v>
      </c>
      <c r="E17490" s="733"/>
    </row>
    <row r="17491" spans="2:5">
      <c r="B17491" s="121">
        <v>1460</v>
      </c>
      <c r="C17491" s="121">
        <v>18</v>
      </c>
      <c r="D17491" s="734">
        <v>134.32361970533836</v>
      </c>
      <c r="E17491" s="733"/>
    </row>
    <row r="17492" spans="2:5">
      <c r="B17492" s="121">
        <v>1460</v>
      </c>
      <c r="C17492" s="121">
        <v>19</v>
      </c>
      <c r="D17492" s="734">
        <v>137.06379730794504</v>
      </c>
      <c r="E17492" s="733"/>
    </row>
    <row r="17493" spans="2:5">
      <c r="B17493" s="121">
        <v>1460</v>
      </c>
      <c r="C17493" s="121">
        <v>20</v>
      </c>
      <c r="D17493" s="734">
        <v>144.03079508065304</v>
      </c>
      <c r="E17493" s="733"/>
    </row>
    <row r="17494" spans="2:5">
      <c r="B17494" s="121">
        <v>1460</v>
      </c>
      <c r="C17494" s="121">
        <v>21</v>
      </c>
      <c r="D17494" s="734">
        <v>138.75389323321249</v>
      </c>
      <c r="E17494" s="733"/>
    </row>
    <row r="17495" spans="2:5">
      <c r="B17495" s="121">
        <v>1460</v>
      </c>
      <c r="C17495" s="121">
        <v>22</v>
      </c>
      <c r="D17495" s="734">
        <v>144.62097617322129</v>
      </c>
      <c r="E17495" s="733"/>
    </row>
    <row r="17496" spans="2:5">
      <c r="B17496" s="121">
        <v>1460</v>
      </c>
      <c r="C17496" s="121">
        <v>23</v>
      </c>
      <c r="D17496" s="734">
        <v>134.34740451244301</v>
      </c>
      <c r="E17496" s="733"/>
    </row>
    <row r="17497" spans="2:5">
      <c r="B17497" s="121">
        <v>1460</v>
      </c>
      <c r="C17497" s="121">
        <v>24</v>
      </c>
      <c r="D17497" s="734">
        <v>144.2824481740974</v>
      </c>
      <c r="E17497" s="733"/>
    </row>
    <row r="17498" spans="2:5">
      <c r="B17498" s="121">
        <v>1460</v>
      </c>
      <c r="C17498" s="121">
        <v>25</v>
      </c>
      <c r="D17498" s="734">
        <v>135.35365047119677</v>
      </c>
      <c r="E17498" s="733"/>
    </row>
    <row r="17499" spans="2:5">
      <c r="B17499" s="121">
        <v>1460</v>
      </c>
      <c r="C17499" s="121">
        <v>26</v>
      </c>
      <c r="D17499" s="734">
        <v>144.46190062493719</v>
      </c>
      <c r="E17499" s="733"/>
    </row>
    <row r="17500" spans="2:5">
      <c r="B17500" s="121">
        <v>1460</v>
      </c>
      <c r="C17500" s="121">
        <v>27</v>
      </c>
      <c r="D17500" s="734">
        <v>139.07053059799642</v>
      </c>
      <c r="E17500" s="733"/>
    </row>
    <row r="17501" spans="2:5">
      <c r="B17501" s="121">
        <v>1460</v>
      </c>
      <c r="C17501" s="121">
        <v>28</v>
      </c>
      <c r="D17501" s="734">
        <v>140.36236672108251</v>
      </c>
      <c r="E17501" s="733"/>
    </row>
    <row r="17502" spans="2:5">
      <c r="B17502" s="121">
        <v>1460</v>
      </c>
      <c r="C17502" s="121">
        <v>29</v>
      </c>
      <c r="D17502" s="734">
        <v>135.56803410200806</v>
      </c>
      <c r="E17502" s="733"/>
    </row>
    <row r="17503" spans="2:5">
      <c r="B17503" s="121">
        <v>1460</v>
      </c>
      <c r="C17503" s="121">
        <v>30</v>
      </c>
      <c r="D17503" s="734">
        <v>138.02606140822024</v>
      </c>
      <c r="E17503" s="733"/>
    </row>
    <row r="17504" spans="2:5">
      <c r="B17504" s="121">
        <v>1460</v>
      </c>
      <c r="C17504" s="121">
        <v>31</v>
      </c>
      <c r="D17504" s="734">
        <v>141.63167218489576</v>
      </c>
      <c r="E17504" s="733"/>
    </row>
    <row r="17505" spans="2:5">
      <c r="B17505" s="121">
        <v>1460</v>
      </c>
      <c r="C17505" s="121">
        <v>32</v>
      </c>
      <c r="D17505" s="734">
        <v>141.66250292715776</v>
      </c>
      <c r="E17505" s="733"/>
    </row>
    <row r="17506" spans="2:5">
      <c r="B17506" s="121">
        <v>1460</v>
      </c>
      <c r="C17506" s="121">
        <v>33</v>
      </c>
      <c r="D17506" s="734">
        <v>135.25124301956387</v>
      </c>
      <c r="E17506" s="733"/>
    </row>
    <row r="17507" spans="2:5">
      <c r="B17507" s="121">
        <v>1460</v>
      </c>
      <c r="C17507" s="121">
        <v>34</v>
      </c>
      <c r="D17507" s="734">
        <v>141.26795553568647</v>
      </c>
      <c r="E17507" s="733"/>
    </row>
    <row r="17508" spans="2:5">
      <c r="B17508" s="121">
        <v>1460</v>
      </c>
      <c r="C17508" s="121">
        <v>35</v>
      </c>
      <c r="D17508" s="734">
        <v>146.49707377348582</v>
      </c>
      <c r="E17508" s="733"/>
    </row>
    <row r="17509" spans="2:5">
      <c r="B17509" s="121">
        <v>1460</v>
      </c>
      <c r="C17509" s="121">
        <v>36</v>
      </c>
      <c r="D17509" s="734">
        <v>144.64413345625758</v>
      </c>
      <c r="E17509" s="733"/>
    </row>
    <row r="17510" spans="2:5">
      <c r="B17510" s="121">
        <v>1461</v>
      </c>
      <c r="C17510" s="121">
        <v>1</v>
      </c>
      <c r="D17510" s="734">
        <v>5</v>
      </c>
      <c r="E17510" s="733"/>
    </row>
    <row r="17511" spans="2:5">
      <c r="B17511" s="121">
        <v>1461</v>
      </c>
      <c r="C17511" s="121">
        <v>2</v>
      </c>
      <c r="D17511" s="734">
        <v>96.552972055314996</v>
      </c>
      <c r="E17511" s="733"/>
    </row>
    <row r="17512" spans="2:5">
      <c r="B17512" s="121">
        <v>1461</v>
      </c>
      <c r="C17512" s="121">
        <v>3</v>
      </c>
      <c r="D17512" s="734">
        <v>118.02457365998836</v>
      </c>
      <c r="E17512" s="733"/>
    </row>
    <row r="17513" spans="2:5">
      <c r="B17513" s="121">
        <v>1461</v>
      </c>
      <c r="C17513" s="121">
        <v>4</v>
      </c>
      <c r="D17513" s="734">
        <v>134.59127214792872</v>
      </c>
      <c r="E17513" s="733"/>
    </row>
    <row r="17514" spans="2:5">
      <c r="B17514" s="121">
        <v>1461</v>
      </c>
      <c r="C17514" s="121">
        <v>5</v>
      </c>
      <c r="D17514" s="734">
        <v>145.42968109211702</v>
      </c>
      <c r="E17514" s="733"/>
    </row>
    <row r="17515" spans="2:5">
      <c r="B17515" s="121">
        <v>1461</v>
      </c>
      <c r="C17515" s="121">
        <v>6</v>
      </c>
      <c r="D17515" s="734">
        <v>145.90000518604646</v>
      </c>
      <c r="E17515" s="733"/>
    </row>
    <row r="17516" spans="2:5">
      <c r="B17516" s="121">
        <v>1461</v>
      </c>
      <c r="C17516" s="121">
        <v>7</v>
      </c>
      <c r="D17516" s="734">
        <v>134.43755057310452</v>
      </c>
      <c r="E17516" s="733"/>
    </row>
    <row r="17517" spans="2:5">
      <c r="B17517" s="121">
        <v>1461</v>
      </c>
      <c r="C17517" s="121">
        <v>8</v>
      </c>
      <c r="D17517" s="734">
        <v>145.54055230172713</v>
      </c>
      <c r="E17517" s="733"/>
    </row>
    <row r="17518" spans="2:5">
      <c r="B17518" s="121">
        <v>1461</v>
      </c>
      <c r="C17518" s="121">
        <v>9</v>
      </c>
      <c r="D17518" s="734">
        <v>138.21106864827246</v>
      </c>
      <c r="E17518" s="733"/>
    </row>
    <row r="17519" spans="2:5">
      <c r="B17519" s="121">
        <v>1461</v>
      </c>
      <c r="C17519" s="121">
        <v>10</v>
      </c>
      <c r="D17519" s="734">
        <v>135.74046449943771</v>
      </c>
      <c r="E17519" s="733"/>
    </row>
    <row r="17520" spans="2:5">
      <c r="B17520" s="121">
        <v>1461</v>
      </c>
      <c r="C17520" s="121">
        <v>11</v>
      </c>
      <c r="D17520" s="734">
        <v>143.58499369199441</v>
      </c>
      <c r="E17520" s="733"/>
    </row>
    <row r="17521" spans="2:5">
      <c r="B17521" s="121">
        <v>1461</v>
      </c>
      <c r="C17521" s="121">
        <v>12</v>
      </c>
      <c r="D17521" s="734">
        <v>136.32073524577953</v>
      </c>
      <c r="E17521" s="733"/>
    </row>
    <row r="17522" spans="2:5">
      <c r="B17522" s="121">
        <v>1461</v>
      </c>
      <c r="C17522" s="121">
        <v>13</v>
      </c>
      <c r="D17522" s="734">
        <v>146.88109384110268</v>
      </c>
      <c r="E17522" s="733"/>
    </row>
    <row r="17523" spans="2:5">
      <c r="B17523" s="121">
        <v>1461</v>
      </c>
      <c r="C17523" s="121">
        <v>14</v>
      </c>
      <c r="D17523" s="734">
        <v>144.7952757433076</v>
      </c>
      <c r="E17523" s="733"/>
    </row>
    <row r="17524" spans="2:5">
      <c r="B17524" s="121">
        <v>1461</v>
      </c>
      <c r="C17524" s="121">
        <v>15</v>
      </c>
      <c r="D17524" s="734">
        <v>144.53343640572723</v>
      </c>
      <c r="E17524" s="733"/>
    </row>
    <row r="17525" spans="2:5">
      <c r="B17525" s="121">
        <v>1461</v>
      </c>
      <c r="C17525" s="121">
        <v>16</v>
      </c>
      <c r="D17525" s="734">
        <v>138.96442186047452</v>
      </c>
      <c r="E17525" s="733"/>
    </row>
    <row r="17526" spans="2:5">
      <c r="B17526" s="121">
        <v>1461</v>
      </c>
      <c r="C17526" s="121">
        <v>17</v>
      </c>
      <c r="D17526" s="734">
        <v>138.96730996818007</v>
      </c>
      <c r="E17526" s="733"/>
    </row>
    <row r="17527" spans="2:5">
      <c r="B17527" s="121">
        <v>1461</v>
      </c>
      <c r="C17527" s="121">
        <v>18</v>
      </c>
      <c r="D17527" s="734">
        <v>141.9201587755621</v>
      </c>
      <c r="E17527" s="733"/>
    </row>
    <row r="17528" spans="2:5">
      <c r="B17528" s="121">
        <v>1461</v>
      </c>
      <c r="C17528" s="121">
        <v>19</v>
      </c>
      <c r="D17528" s="734">
        <v>145.02416763191394</v>
      </c>
      <c r="E17528" s="733"/>
    </row>
    <row r="17529" spans="2:5">
      <c r="B17529" s="121">
        <v>1461</v>
      </c>
      <c r="C17529" s="121">
        <v>20</v>
      </c>
      <c r="D17529" s="734">
        <v>136.94119639087572</v>
      </c>
      <c r="E17529" s="733"/>
    </row>
    <row r="17530" spans="2:5">
      <c r="B17530" s="121">
        <v>1461</v>
      </c>
      <c r="C17530" s="121">
        <v>21</v>
      </c>
      <c r="D17530" s="734">
        <v>141.27827449996519</v>
      </c>
      <c r="E17530" s="733"/>
    </row>
    <row r="17531" spans="2:5">
      <c r="B17531" s="121">
        <v>1461</v>
      </c>
      <c r="C17531" s="121">
        <v>22</v>
      </c>
      <c r="D17531" s="734">
        <v>137.92324414009207</v>
      </c>
      <c r="E17531" s="733"/>
    </row>
    <row r="17532" spans="2:5">
      <c r="B17532" s="121">
        <v>1461</v>
      </c>
      <c r="C17532" s="121">
        <v>23</v>
      </c>
      <c r="D17532" s="734">
        <v>140.89808739286084</v>
      </c>
      <c r="E17532" s="733"/>
    </row>
    <row r="17533" spans="2:5">
      <c r="B17533" s="121">
        <v>1461</v>
      </c>
      <c r="C17533" s="121">
        <v>24</v>
      </c>
      <c r="D17533" s="734">
        <v>135.96096447447923</v>
      </c>
      <c r="E17533" s="733"/>
    </row>
    <row r="17534" spans="2:5">
      <c r="B17534" s="121">
        <v>1461</v>
      </c>
      <c r="C17534" s="121">
        <v>25</v>
      </c>
      <c r="D17534" s="734">
        <v>136.45778388529027</v>
      </c>
      <c r="E17534" s="733"/>
    </row>
    <row r="17535" spans="2:5">
      <c r="B17535" s="121">
        <v>1461</v>
      </c>
      <c r="C17535" s="121">
        <v>26</v>
      </c>
      <c r="D17535" s="734">
        <v>137.0478466374399</v>
      </c>
      <c r="E17535" s="733"/>
    </row>
    <row r="17536" spans="2:5">
      <c r="B17536" s="121">
        <v>1461</v>
      </c>
      <c r="C17536" s="121">
        <v>27</v>
      </c>
      <c r="D17536" s="734">
        <v>145.90457183118912</v>
      </c>
      <c r="E17536" s="733"/>
    </row>
    <row r="17537" spans="2:5">
      <c r="B17537" s="121">
        <v>1461</v>
      </c>
      <c r="C17537" s="121">
        <v>28</v>
      </c>
      <c r="D17537" s="734">
        <v>134.17554810934499</v>
      </c>
      <c r="E17537" s="733"/>
    </row>
    <row r="17538" spans="2:5">
      <c r="B17538" s="121">
        <v>1461</v>
      </c>
      <c r="C17538" s="121">
        <v>29</v>
      </c>
      <c r="D17538" s="734">
        <v>142.74706670007726</v>
      </c>
      <c r="E17538" s="733"/>
    </row>
    <row r="17539" spans="2:5">
      <c r="B17539" s="121">
        <v>1461</v>
      </c>
      <c r="C17539" s="121">
        <v>30</v>
      </c>
      <c r="D17539" s="734">
        <v>141.63365261189023</v>
      </c>
      <c r="E17539" s="733"/>
    </row>
    <row r="17540" spans="2:5">
      <c r="B17540" s="121">
        <v>1461</v>
      </c>
      <c r="C17540" s="121">
        <v>31</v>
      </c>
      <c r="D17540" s="734">
        <v>136.06736763819293</v>
      </c>
      <c r="E17540" s="733"/>
    </row>
    <row r="17541" spans="2:5">
      <c r="B17541" s="121">
        <v>1461</v>
      </c>
      <c r="C17541" s="121">
        <v>32</v>
      </c>
      <c r="D17541" s="734">
        <v>140.20423792329967</v>
      </c>
      <c r="E17541" s="733"/>
    </row>
    <row r="17542" spans="2:5">
      <c r="B17542" s="121">
        <v>1461</v>
      </c>
      <c r="C17542" s="121">
        <v>33</v>
      </c>
      <c r="D17542" s="734">
        <v>137.89756543217982</v>
      </c>
      <c r="E17542" s="733"/>
    </row>
    <row r="17543" spans="2:5">
      <c r="B17543" s="121">
        <v>1461</v>
      </c>
      <c r="C17543" s="121">
        <v>34</v>
      </c>
      <c r="D17543" s="734">
        <v>134.32857975464651</v>
      </c>
      <c r="E17543" s="733"/>
    </row>
    <row r="17544" spans="2:5">
      <c r="B17544" s="121">
        <v>1461</v>
      </c>
      <c r="C17544" s="121">
        <v>35</v>
      </c>
      <c r="D17544" s="734">
        <v>134.56369310439354</v>
      </c>
      <c r="E17544" s="733"/>
    </row>
    <row r="17545" spans="2:5">
      <c r="B17545" s="121">
        <v>1462</v>
      </c>
      <c r="C17545" s="121">
        <v>1</v>
      </c>
      <c r="D17545" s="734">
        <v>5</v>
      </c>
      <c r="E17545" s="733"/>
    </row>
    <row r="17546" spans="2:5">
      <c r="B17546" s="121">
        <v>1462</v>
      </c>
      <c r="C17546" s="121">
        <v>2</v>
      </c>
      <c r="D17546" s="734">
        <v>99.604995800604613</v>
      </c>
      <c r="E17546" s="733"/>
    </row>
    <row r="17547" spans="2:5">
      <c r="B17547" s="121">
        <v>1463</v>
      </c>
      <c r="C17547" s="121">
        <v>1</v>
      </c>
      <c r="D17547" s="734">
        <v>5</v>
      </c>
      <c r="E17547" s="733"/>
    </row>
    <row r="17548" spans="2:5">
      <c r="B17548" s="121">
        <v>1463</v>
      </c>
      <c r="C17548" s="121">
        <v>2</v>
      </c>
      <c r="D17548" s="734">
        <v>96.050506721464188</v>
      </c>
      <c r="E17548" s="733"/>
    </row>
    <row r="17549" spans="2:5">
      <c r="B17549" s="121">
        <v>1463</v>
      </c>
      <c r="C17549" s="121">
        <v>3</v>
      </c>
      <c r="D17549" s="734">
        <v>114.76650749079668</v>
      </c>
      <c r="E17549" s="733"/>
    </row>
    <row r="17550" spans="2:5">
      <c r="B17550" s="121">
        <v>1463</v>
      </c>
      <c r="C17550" s="121">
        <v>4</v>
      </c>
      <c r="D17550" s="734">
        <v>141.84401361343242</v>
      </c>
      <c r="E17550" s="733"/>
    </row>
    <row r="17551" spans="2:5">
      <c r="B17551" s="121">
        <v>1463</v>
      </c>
      <c r="C17551" s="121">
        <v>5</v>
      </c>
      <c r="D17551" s="734">
        <v>134.93994895127764</v>
      </c>
      <c r="E17551" s="733"/>
    </row>
    <row r="17552" spans="2:5">
      <c r="B17552" s="121">
        <v>1463</v>
      </c>
      <c r="C17552" s="121">
        <v>6</v>
      </c>
      <c r="D17552" s="734">
        <v>133.92764015320867</v>
      </c>
      <c r="E17552" s="733"/>
    </row>
    <row r="17553" spans="2:5">
      <c r="B17553" s="121">
        <v>1463</v>
      </c>
      <c r="C17553" s="121">
        <v>7</v>
      </c>
      <c r="D17553" s="734">
        <v>146.77629206466511</v>
      </c>
      <c r="E17553" s="733"/>
    </row>
    <row r="17554" spans="2:5">
      <c r="B17554" s="121">
        <v>1463</v>
      </c>
      <c r="C17554" s="121">
        <v>8</v>
      </c>
      <c r="D17554" s="734">
        <v>143.01124115921004</v>
      </c>
      <c r="E17554" s="733"/>
    </row>
    <row r="17555" spans="2:5">
      <c r="B17555" s="121">
        <v>1463</v>
      </c>
      <c r="C17555" s="121">
        <v>9</v>
      </c>
      <c r="D17555" s="734">
        <v>141.7739210486443</v>
      </c>
      <c r="E17555" s="733"/>
    </row>
    <row r="17556" spans="2:5">
      <c r="B17556" s="121">
        <v>1463</v>
      </c>
      <c r="C17556" s="121">
        <v>10</v>
      </c>
      <c r="D17556" s="734">
        <v>133.7410403220627</v>
      </c>
      <c r="E17556" s="733"/>
    </row>
    <row r="17557" spans="2:5">
      <c r="B17557" s="121">
        <v>1464</v>
      </c>
      <c r="C17557" s="121">
        <v>1</v>
      </c>
      <c r="D17557" s="734">
        <v>5</v>
      </c>
      <c r="E17557" s="733"/>
    </row>
    <row r="17558" spans="2:5">
      <c r="B17558" s="121">
        <v>1464</v>
      </c>
      <c r="C17558" s="121">
        <v>2</v>
      </c>
      <c r="D17558" s="734">
        <v>94.970986529741097</v>
      </c>
      <c r="E17558" s="733"/>
    </row>
    <row r="17559" spans="2:5">
      <c r="B17559" s="121">
        <v>1464</v>
      </c>
      <c r="C17559" s="121">
        <v>3</v>
      </c>
      <c r="D17559" s="734">
        <v>124.05881745435478</v>
      </c>
      <c r="E17559" s="733"/>
    </row>
    <row r="17560" spans="2:5">
      <c r="B17560" s="121">
        <v>1464</v>
      </c>
      <c r="C17560" s="121">
        <v>4</v>
      </c>
      <c r="D17560" s="734">
        <v>141.82432273966754</v>
      </c>
      <c r="E17560" s="733"/>
    </row>
    <row r="17561" spans="2:5">
      <c r="B17561" s="121">
        <v>1464</v>
      </c>
      <c r="C17561" s="121">
        <v>5</v>
      </c>
      <c r="D17561" s="734">
        <v>147.23147845118092</v>
      </c>
      <c r="E17561" s="733"/>
    </row>
    <row r="17562" spans="2:5">
      <c r="B17562" s="121">
        <v>1464</v>
      </c>
      <c r="C17562" s="121">
        <v>6</v>
      </c>
      <c r="D17562" s="734">
        <v>138.22999167533879</v>
      </c>
      <c r="E17562" s="733"/>
    </row>
    <row r="17563" spans="2:5">
      <c r="B17563" s="121">
        <v>1464</v>
      </c>
      <c r="C17563" s="121">
        <v>7</v>
      </c>
      <c r="D17563" s="734">
        <v>141.40881820581848</v>
      </c>
      <c r="E17563" s="733"/>
    </row>
    <row r="17564" spans="2:5">
      <c r="B17564" s="121">
        <v>1464</v>
      </c>
      <c r="C17564" s="121">
        <v>8</v>
      </c>
      <c r="D17564" s="734">
        <v>142.32129869795958</v>
      </c>
      <c r="E17564" s="733"/>
    </row>
    <row r="17565" spans="2:5">
      <c r="B17565" s="121">
        <v>1464</v>
      </c>
      <c r="C17565" s="121">
        <v>9</v>
      </c>
      <c r="D17565" s="734">
        <v>139.70891796062958</v>
      </c>
      <c r="E17565" s="733"/>
    </row>
    <row r="17566" spans="2:5">
      <c r="B17566" s="121">
        <v>1464</v>
      </c>
      <c r="C17566" s="121">
        <v>10</v>
      </c>
      <c r="D17566" s="734">
        <v>146.05867152353454</v>
      </c>
      <c r="E17566" s="733"/>
    </row>
    <row r="17567" spans="2:5">
      <c r="B17567" s="121">
        <v>1464</v>
      </c>
      <c r="C17567" s="121">
        <v>11</v>
      </c>
      <c r="D17567" s="734">
        <v>136.47925481939012</v>
      </c>
      <c r="E17567" s="733"/>
    </row>
    <row r="17568" spans="2:5">
      <c r="B17568" s="121">
        <v>1464</v>
      </c>
      <c r="C17568" s="121">
        <v>12</v>
      </c>
      <c r="D17568" s="734">
        <v>136.43116852754957</v>
      </c>
      <c r="E17568" s="733"/>
    </row>
    <row r="17569" spans="2:5">
      <c r="B17569" s="121">
        <v>1464</v>
      </c>
      <c r="C17569" s="121">
        <v>13</v>
      </c>
      <c r="D17569" s="734">
        <v>134.93594791849091</v>
      </c>
      <c r="E17569" s="733"/>
    </row>
    <row r="17570" spans="2:5">
      <c r="B17570" s="121">
        <v>1464</v>
      </c>
      <c r="C17570" s="121">
        <v>14</v>
      </c>
      <c r="D17570" s="734">
        <v>141.45336705770615</v>
      </c>
      <c r="E17570" s="733"/>
    </row>
    <row r="17571" spans="2:5">
      <c r="B17571" s="121">
        <v>1464</v>
      </c>
      <c r="C17571" s="121">
        <v>15</v>
      </c>
      <c r="D17571" s="734">
        <v>142.40221147294426</v>
      </c>
      <c r="E17571" s="733"/>
    </row>
    <row r="17572" spans="2:5">
      <c r="B17572" s="121">
        <v>1464</v>
      </c>
      <c r="C17572" s="121">
        <v>16</v>
      </c>
      <c r="D17572" s="734">
        <v>134.31592177044104</v>
      </c>
      <c r="E17572" s="733"/>
    </row>
    <row r="17573" spans="2:5">
      <c r="B17573" s="121">
        <v>1464</v>
      </c>
      <c r="C17573" s="121">
        <v>17</v>
      </c>
      <c r="D17573" s="734">
        <v>140.93628927325929</v>
      </c>
      <c r="E17573" s="733"/>
    </row>
    <row r="17574" spans="2:5">
      <c r="B17574" s="121">
        <v>1464</v>
      </c>
      <c r="C17574" s="121">
        <v>18</v>
      </c>
      <c r="D17574" s="734">
        <v>138.52234923553135</v>
      </c>
      <c r="E17574" s="733"/>
    </row>
    <row r="17575" spans="2:5">
      <c r="B17575" s="121">
        <v>1464</v>
      </c>
      <c r="C17575" s="121">
        <v>19</v>
      </c>
      <c r="D17575" s="734">
        <v>137.85746023923605</v>
      </c>
      <c r="E17575" s="733"/>
    </row>
    <row r="17576" spans="2:5">
      <c r="B17576" s="121">
        <v>1464</v>
      </c>
      <c r="C17576" s="121">
        <v>20</v>
      </c>
      <c r="D17576" s="734">
        <v>146.30398340995509</v>
      </c>
      <c r="E17576" s="733"/>
    </row>
    <row r="17577" spans="2:5">
      <c r="B17577" s="121">
        <v>1464</v>
      </c>
      <c r="C17577" s="121">
        <v>21</v>
      </c>
      <c r="D17577" s="734">
        <v>145.22925658266578</v>
      </c>
      <c r="E17577" s="733"/>
    </row>
    <row r="17578" spans="2:5">
      <c r="B17578" s="121">
        <v>1464</v>
      </c>
      <c r="C17578" s="121">
        <v>22</v>
      </c>
      <c r="D17578" s="734">
        <v>133.66213595615085</v>
      </c>
      <c r="E17578" s="733"/>
    </row>
    <row r="17579" spans="2:5">
      <c r="B17579" s="121">
        <v>1464</v>
      </c>
      <c r="C17579" s="121">
        <v>23</v>
      </c>
      <c r="D17579" s="734">
        <v>144.4593510432598</v>
      </c>
      <c r="E17579" s="733"/>
    </row>
    <row r="17580" spans="2:5">
      <c r="B17580" s="121">
        <v>1464</v>
      </c>
      <c r="C17580" s="121">
        <v>24</v>
      </c>
      <c r="D17580" s="734">
        <v>137.96508943452062</v>
      </c>
      <c r="E17580" s="733"/>
    </row>
    <row r="17581" spans="2:5">
      <c r="B17581" s="121">
        <v>1465</v>
      </c>
      <c r="C17581" s="121">
        <v>1</v>
      </c>
      <c r="D17581" s="734">
        <v>5</v>
      </c>
      <c r="E17581" s="733"/>
    </row>
    <row r="17582" spans="2:5">
      <c r="B17582" s="121">
        <v>1465</v>
      </c>
      <c r="C17582" s="121">
        <v>2</v>
      </c>
      <c r="D17582" s="734">
        <v>96.554514527149919</v>
      </c>
      <c r="E17582" s="733"/>
    </row>
    <row r="17583" spans="2:5">
      <c r="B17583" s="121">
        <v>1465</v>
      </c>
      <c r="C17583" s="121">
        <v>3</v>
      </c>
      <c r="D17583" s="734">
        <v>123.95177910226357</v>
      </c>
      <c r="E17583" s="733"/>
    </row>
    <row r="17584" spans="2:5">
      <c r="B17584" s="121">
        <v>1465</v>
      </c>
      <c r="C17584" s="121">
        <v>4</v>
      </c>
      <c r="D17584" s="734">
        <v>147.07152173886274</v>
      </c>
      <c r="E17584" s="733"/>
    </row>
    <row r="17585" spans="2:5">
      <c r="B17585" s="121">
        <v>1465</v>
      </c>
      <c r="C17585" s="121">
        <v>5</v>
      </c>
      <c r="D17585" s="734">
        <v>147.22903969431596</v>
      </c>
      <c r="E17585" s="733"/>
    </row>
    <row r="17586" spans="2:5">
      <c r="B17586" s="121">
        <v>1465</v>
      </c>
      <c r="C17586" s="121">
        <v>6</v>
      </c>
      <c r="D17586" s="734">
        <v>138.5705588814543</v>
      </c>
      <c r="E17586" s="733"/>
    </row>
    <row r="17587" spans="2:5">
      <c r="B17587" s="121">
        <v>1465</v>
      </c>
      <c r="C17587" s="121">
        <v>7</v>
      </c>
      <c r="D17587" s="734">
        <v>136.76591212574604</v>
      </c>
      <c r="E17587" s="733"/>
    </row>
    <row r="17588" spans="2:5">
      <c r="B17588" s="121">
        <v>1465</v>
      </c>
      <c r="C17588" s="121">
        <v>8</v>
      </c>
      <c r="D17588" s="734">
        <v>146.46366129206808</v>
      </c>
      <c r="E17588" s="733"/>
    </row>
    <row r="17589" spans="2:5">
      <c r="B17589" s="121">
        <v>1465</v>
      </c>
      <c r="C17589" s="121">
        <v>9</v>
      </c>
      <c r="D17589" s="734">
        <v>135.8304230658718</v>
      </c>
      <c r="E17589" s="733"/>
    </row>
    <row r="17590" spans="2:5">
      <c r="B17590" s="121">
        <v>1465</v>
      </c>
      <c r="C17590" s="121">
        <v>10</v>
      </c>
      <c r="D17590" s="734">
        <v>146.71334518388264</v>
      </c>
      <c r="E17590" s="733"/>
    </row>
    <row r="17591" spans="2:5">
      <c r="B17591" s="121">
        <v>1465</v>
      </c>
      <c r="C17591" s="121">
        <v>11</v>
      </c>
      <c r="D17591" s="734">
        <v>136.26019092956673</v>
      </c>
      <c r="E17591" s="733"/>
    </row>
    <row r="17592" spans="2:5">
      <c r="B17592" s="121">
        <v>1465</v>
      </c>
      <c r="C17592" s="121">
        <v>12</v>
      </c>
      <c r="D17592" s="734">
        <v>145.86400102290548</v>
      </c>
      <c r="E17592" s="733"/>
    </row>
    <row r="17593" spans="2:5">
      <c r="B17593" s="121">
        <v>1465</v>
      </c>
      <c r="C17593" s="121">
        <v>13</v>
      </c>
      <c r="D17593" s="734">
        <v>141.41262423898522</v>
      </c>
      <c r="E17593" s="733"/>
    </row>
    <row r="17594" spans="2:5">
      <c r="B17594" s="121">
        <v>1465</v>
      </c>
      <c r="C17594" s="121">
        <v>14</v>
      </c>
      <c r="D17594" s="734">
        <v>139.57284854442506</v>
      </c>
      <c r="E17594" s="733"/>
    </row>
    <row r="17595" spans="2:5">
      <c r="B17595" s="121">
        <v>1465</v>
      </c>
      <c r="C17595" s="121">
        <v>15</v>
      </c>
      <c r="D17595" s="734">
        <v>139.90739374080971</v>
      </c>
      <c r="E17595" s="733"/>
    </row>
    <row r="17596" spans="2:5">
      <c r="B17596" s="121">
        <v>1465</v>
      </c>
      <c r="C17596" s="121">
        <v>16</v>
      </c>
      <c r="D17596" s="734">
        <v>142.38358769742075</v>
      </c>
      <c r="E17596" s="733"/>
    </row>
    <row r="17597" spans="2:5">
      <c r="B17597" s="121">
        <v>1466</v>
      </c>
      <c r="C17597" s="121">
        <v>1</v>
      </c>
      <c r="D17597" s="734">
        <v>5</v>
      </c>
      <c r="E17597" s="733"/>
    </row>
    <row r="17598" spans="2:5">
      <c r="B17598" s="121">
        <v>1466</v>
      </c>
      <c r="C17598" s="121">
        <v>2</v>
      </c>
      <c r="D17598" s="734">
        <v>99.51086631838254</v>
      </c>
      <c r="E17598" s="733"/>
    </row>
    <row r="17599" spans="2:5">
      <c r="B17599" s="121">
        <v>1466</v>
      </c>
      <c r="C17599" s="121">
        <v>3</v>
      </c>
      <c r="D17599" s="734">
        <v>125.45793994171061</v>
      </c>
      <c r="E17599" s="733"/>
    </row>
    <row r="17600" spans="2:5">
      <c r="B17600" s="121">
        <v>1466</v>
      </c>
      <c r="C17600" s="121">
        <v>4</v>
      </c>
      <c r="D17600" s="734">
        <v>138.80471148549313</v>
      </c>
      <c r="E17600" s="733"/>
    </row>
    <row r="17601" spans="2:5">
      <c r="B17601" s="121">
        <v>1466</v>
      </c>
      <c r="C17601" s="121">
        <v>5</v>
      </c>
      <c r="D17601" s="734">
        <v>136.96669431722333</v>
      </c>
      <c r="E17601" s="733"/>
    </row>
    <row r="17602" spans="2:5">
      <c r="B17602" s="121">
        <v>1466</v>
      </c>
      <c r="C17602" s="121">
        <v>6</v>
      </c>
      <c r="D17602" s="734">
        <v>143.00811998160157</v>
      </c>
      <c r="E17602" s="733"/>
    </row>
    <row r="17603" spans="2:5">
      <c r="B17603" s="121">
        <v>1466</v>
      </c>
      <c r="C17603" s="121">
        <v>7</v>
      </c>
      <c r="D17603" s="734">
        <v>146.71788983205047</v>
      </c>
      <c r="E17603" s="733"/>
    </row>
    <row r="17604" spans="2:5">
      <c r="B17604" s="121">
        <v>1466</v>
      </c>
      <c r="C17604" s="121">
        <v>8</v>
      </c>
      <c r="D17604" s="734">
        <v>138.04452731846735</v>
      </c>
      <c r="E17604" s="733"/>
    </row>
    <row r="17605" spans="2:5">
      <c r="B17605" s="121">
        <v>1466</v>
      </c>
      <c r="C17605" s="121">
        <v>9</v>
      </c>
      <c r="D17605" s="734">
        <v>144.25133649809072</v>
      </c>
      <c r="E17605" s="733"/>
    </row>
    <row r="17606" spans="2:5">
      <c r="B17606" s="121">
        <v>1466</v>
      </c>
      <c r="C17606" s="121">
        <v>10</v>
      </c>
      <c r="D17606" s="734">
        <v>135.35954323386827</v>
      </c>
      <c r="E17606" s="733"/>
    </row>
    <row r="17607" spans="2:5">
      <c r="B17607" s="121">
        <v>1466</v>
      </c>
      <c r="C17607" s="121">
        <v>11</v>
      </c>
      <c r="D17607" s="734">
        <v>137.72999104196381</v>
      </c>
      <c r="E17607" s="733"/>
    </row>
    <row r="17608" spans="2:5">
      <c r="B17608" s="121">
        <v>1466</v>
      </c>
      <c r="C17608" s="121">
        <v>12</v>
      </c>
      <c r="D17608" s="734">
        <v>136.59728334481187</v>
      </c>
      <c r="E17608" s="733"/>
    </row>
    <row r="17609" spans="2:5">
      <c r="B17609" s="121">
        <v>1466</v>
      </c>
      <c r="C17609" s="121">
        <v>13</v>
      </c>
      <c r="D17609" s="734">
        <v>147.11177922111989</v>
      </c>
      <c r="E17609" s="733"/>
    </row>
    <row r="17610" spans="2:5">
      <c r="B17610" s="121">
        <v>1466</v>
      </c>
      <c r="C17610" s="121">
        <v>14</v>
      </c>
      <c r="D17610" s="734">
        <v>141.04157086715392</v>
      </c>
      <c r="E17610" s="733"/>
    </row>
    <row r="17611" spans="2:5">
      <c r="B17611" s="121">
        <v>1466</v>
      </c>
      <c r="C17611" s="121">
        <v>15</v>
      </c>
      <c r="D17611" s="734">
        <v>145.6596020304014</v>
      </c>
      <c r="E17611" s="733"/>
    </row>
    <row r="17612" spans="2:5">
      <c r="B17612" s="121">
        <v>1466</v>
      </c>
      <c r="C17612" s="121">
        <v>16</v>
      </c>
      <c r="D17612" s="734">
        <v>147.01529463043315</v>
      </c>
      <c r="E17612" s="733"/>
    </row>
    <row r="17613" spans="2:5">
      <c r="B17613" s="121">
        <v>1466</v>
      </c>
      <c r="C17613" s="121">
        <v>17</v>
      </c>
      <c r="D17613" s="734">
        <v>143.78266161802335</v>
      </c>
      <c r="E17613" s="733"/>
    </row>
    <row r="17614" spans="2:5">
      <c r="B17614" s="121">
        <v>1466</v>
      </c>
      <c r="C17614" s="121">
        <v>18</v>
      </c>
      <c r="D17614" s="734">
        <v>138.47805406044316</v>
      </c>
      <c r="E17614" s="733"/>
    </row>
    <row r="17615" spans="2:5">
      <c r="B17615" s="121">
        <v>1466</v>
      </c>
      <c r="C17615" s="121">
        <v>19</v>
      </c>
      <c r="D17615" s="734">
        <v>137.02645838198055</v>
      </c>
      <c r="E17615" s="733"/>
    </row>
    <row r="17616" spans="2:5">
      <c r="B17616" s="121">
        <v>1466</v>
      </c>
      <c r="C17616" s="121">
        <v>20</v>
      </c>
      <c r="D17616" s="734">
        <v>139.50196335066767</v>
      </c>
      <c r="E17616" s="733"/>
    </row>
    <row r="17617" spans="2:5">
      <c r="B17617" s="121">
        <v>1466</v>
      </c>
      <c r="C17617" s="121">
        <v>21</v>
      </c>
      <c r="D17617" s="734">
        <v>135.75427326956566</v>
      </c>
      <c r="E17617" s="733"/>
    </row>
    <row r="17618" spans="2:5">
      <c r="B17618" s="121">
        <v>1466</v>
      </c>
      <c r="C17618" s="121">
        <v>22</v>
      </c>
      <c r="D17618" s="734">
        <v>136.67426684633458</v>
      </c>
      <c r="E17618" s="733"/>
    </row>
    <row r="17619" spans="2:5">
      <c r="B17619" s="121">
        <v>1466</v>
      </c>
      <c r="C17619" s="121">
        <v>23</v>
      </c>
      <c r="D17619" s="734">
        <v>141.67164551164066</v>
      </c>
      <c r="E17619" s="733"/>
    </row>
    <row r="17620" spans="2:5">
      <c r="B17620" s="121">
        <v>1466</v>
      </c>
      <c r="C17620" s="121">
        <v>24</v>
      </c>
      <c r="D17620" s="734">
        <v>138.71281844938741</v>
      </c>
      <c r="E17620" s="733"/>
    </row>
    <row r="17621" spans="2:5">
      <c r="B17621" s="121">
        <v>1466</v>
      </c>
      <c r="C17621" s="121">
        <v>25</v>
      </c>
      <c r="D17621" s="734">
        <v>143.43128689187665</v>
      </c>
      <c r="E17621" s="733"/>
    </row>
    <row r="17622" spans="2:5">
      <c r="B17622" s="121">
        <v>1466</v>
      </c>
      <c r="C17622" s="121">
        <v>26</v>
      </c>
      <c r="D17622" s="734">
        <v>136.00876281994738</v>
      </c>
      <c r="E17622" s="733"/>
    </row>
    <row r="17623" spans="2:5">
      <c r="B17623" s="121">
        <v>1466</v>
      </c>
      <c r="C17623" s="121">
        <v>27</v>
      </c>
      <c r="D17623" s="734">
        <v>144.34095012897049</v>
      </c>
      <c r="E17623" s="733"/>
    </row>
    <row r="17624" spans="2:5">
      <c r="B17624" s="121">
        <v>1466</v>
      </c>
      <c r="C17624" s="121">
        <v>28</v>
      </c>
      <c r="D17624" s="734">
        <v>137.75714941309332</v>
      </c>
      <c r="E17624" s="733"/>
    </row>
    <row r="17625" spans="2:5">
      <c r="B17625" s="121">
        <v>1466</v>
      </c>
      <c r="C17625" s="121">
        <v>29</v>
      </c>
      <c r="D17625" s="734">
        <v>141.66099538657164</v>
      </c>
      <c r="E17625" s="733"/>
    </row>
    <row r="17626" spans="2:5">
      <c r="B17626" s="121">
        <v>1466</v>
      </c>
      <c r="C17626" s="121">
        <v>30</v>
      </c>
      <c r="D17626" s="734">
        <v>145.26200393728172</v>
      </c>
      <c r="E17626" s="733"/>
    </row>
    <row r="17627" spans="2:5">
      <c r="B17627" s="121">
        <v>1466</v>
      </c>
      <c r="C17627" s="121">
        <v>31</v>
      </c>
      <c r="D17627" s="734">
        <v>134.21068388941171</v>
      </c>
      <c r="E17627" s="733"/>
    </row>
    <row r="17628" spans="2:5">
      <c r="B17628" s="121">
        <v>1466</v>
      </c>
      <c r="C17628" s="121">
        <v>32</v>
      </c>
      <c r="D17628" s="734">
        <v>138.6949015139798</v>
      </c>
      <c r="E17628" s="733"/>
    </row>
    <row r="17629" spans="2:5">
      <c r="B17629" s="121">
        <v>1466</v>
      </c>
      <c r="C17629" s="121">
        <v>33</v>
      </c>
      <c r="D17629" s="734">
        <v>138.73378879134063</v>
      </c>
      <c r="E17629" s="733"/>
    </row>
    <row r="17630" spans="2:5">
      <c r="B17630" s="121">
        <v>1466</v>
      </c>
      <c r="C17630" s="121">
        <v>34</v>
      </c>
      <c r="D17630" s="734">
        <v>136.74463375888283</v>
      </c>
      <c r="E17630" s="733"/>
    </row>
    <row r="17631" spans="2:5">
      <c r="B17631" s="121">
        <v>1466</v>
      </c>
      <c r="C17631" s="121">
        <v>35</v>
      </c>
      <c r="D17631" s="734">
        <v>146.30552981036067</v>
      </c>
      <c r="E17631" s="733"/>
    </row>
    <row r="17632" spans="2:5">
      <c r="B17632" s="121">
        <v>1466</v>
      </c>
      <c r="C17632" s="121">
        <v>36</v>
      </c>
      <c r="D17632" s="734">
        <v>145.62385984645115</v>
      </c>
      <c r="E17632" s="733"/>
    </row>
    <row r="17633" spans="2:5">
      <c r="B17633" s="121">
        <v>1467</v>
      </c>
      <c r="C17633" s="121">
        <v>1</v>
      </c>
      <c r="D17633" s="734">
        <v>5</v>
      </c>
      <c r="E17633" s="733"/>
    </row>
    <row r="17634" spans="2:5">
      <c r="B17634" s="121">
        <v>1467</v>
      </c>
      <c r="C17634" s="121">
        <v>2</v>
      </c>
      <c r="D17634" s="734">
        <v>101.75294063486986</v>
      </c>
      <c r="E17634" s="733"/>
    </row>
    <row r="17635" spans="2:5">
      <c r="B17635" s="121">
        <v>1467</v>
      </c>
      <c r="C17635" s="121">
        <v>3</v>
      </c>
      <c r="D17635" s="734">
        <v>118.61464938472494</v>
      </c>
      <c r="E17635" s="733"/>
    </row>
    <row r="17636" spans="2:5">
      <c r="B17636" s="121">
        <v>1467</v>
      </c>
      <c r="C17636" s="121">
        <v>4</v>
      </c>
      <c r="D17636" s="734">
        <v>137.04861553761785</v>
      </c>
      <c r="E17636" s="733"/>
    </row>
    <row r="17637" spans="2:5">
      <c r="B17637" s="121">
        <v>1467</v>
      </c>
      <c r="C17637" s="121">
        <v>5</v>
      </c>
      <c r="D17637" s="734">
        <v>143.31070222408641</v>
      </c>
      <c r="E17637" s="733"/>
    </row>
    <row r="17638" spans="2:5">
      <c r="B17638" s="121">
        <v>1467</v>
      </c>
      <c r="C17638" s="121">
        <v>6</v>
      </c>
      <c r="D17638" s="734">
        <v>136.35029342956977</v>
      </c>
      <c r="E17638" s="733"/>
    </row>
    <row r="17639" spans="2:5">
      <c r="B17639" s="121">
        <v>1467</v>
      </c>
      <c r="C17639" s="121">
        <v>7</v>
      </c>
      <c r="D17639" s="734">
        <v>139.36007386484607</v>
      </c>
      <c r="E17639" s="733"/>
    </row>
    <row r="17640" spans="2:5">
      <c r="B17640" s="121">
        <v>1467</v>
      </c>
      <c r="C17640" s="121">
        <v>8</v>
      </c>
      <c r="D17640" s="734">
        <v>133.7509164829039</v>
      </c>
      <c r="E17640" s="733"/>
    </row>
    <row r="17641" spans="2:5">
      <c r="B17641" s="121">
        <v>1467</v>
      </c>
      <c r="C17641" s="121">
        <v>9</v>
      </c>
      <c r="D17641" s="734">
        <v>146.57996089932661</v>
      </c>
      <c r="E17641" s="733"/>
    </row>
    <row r="17642" spans="2:5">
      <c r="B17642" s="121">
        <v>1467</v>
      </c>
      <c r="C17642" s="121">
        <v>10</v>
      </c>
      <c r="D17642" s="734">
        <v>139.26918696932628</v>
      </c>
      <c r="E17642" s="733"/>
    </row>
    <row r="17643" spans="2:5">
      <c r="B17643" s="121">
        <v>1467</v>
      </c>
      <c r="C17643" s="121">
        <v>11</v>
      </c>
      <c r="D17643" s="734">
        <v>138.72099588462305</v>
      </c>
      <c r="E17643" s="733"/>
    </row>
    <row r="17644" spans="2:5">
      <c r="B17644" s="121">
        <v>1467</v>
      </c>
      <c r="C17644" s="121">
        <v>12</v>
      </c>
      <c r="D17644" s="734">
        <v>133.89384691579642</v>
      </c>
      <c r="E17644" s="733"/>
    </row>
    <row r="17645" spans="2:5">
      <c r="B17645" s="121">
        <v>1467</v>
      </c>
      <c r="C17645" s="121">
        <v>13</v>
      </c>
      <c r="D17645" s="734">
        <v>143.60277069025099</v>
      </c>
      <c r="E17645" s="733"/>
    </row>
    <row r="17646" spans="2:5">
      <c r="B17646" s="121">
        <v>1467</v>
      </c>
      <c r="C17646" s="121">
        <v>14</v>
      </c>
      <c r="D17646" s="734">
        <v>142.74174321537308</v>
      </c>
      <c r="E17646" s="733"/>
    </row>
    <row r="17647" spans="2:5">
      <c r="B17647" s="121">
        <v>1467</v>
      </c>
      <c r="C17647" s="121">
        <v>15</v>
      </c>
      <c r="D17647" s="734">
        <v>134.84411506717038</v>
      </c>
      <c r="E17647" s="733"/>
    </row>
    <row r="17648" spans="2:5">
      <c r="B17648" s="121">
        <v>1468</v>
      </c>
      <c r="C17648" s="121">
        <v>1</v>
      </c>
      <c r="D17648" s="734">
        <v>5</v>
      </c>
      <c r="E17648" s="733"/>
    </row>
    <row r="17649" spans="2:5">
      <c r="B17649" s="121">
        <v>1468</v>
      </c>
      <c r="C17649" s="121">
        <v>2</v>
      </c>
      <c r="D17649" s="734">
        <v>96.346617503615263</v>
      </c>
      <c r="E17649" s="733"/>
    </row>
    <row r="17650" spans="2:5">
      <c r="B17650" s="121">
        <v>1468</v>
      </c>
      <c r="C17650" s="121">
        <v>3</v>
      </c>
      <c r="D17650" s="734">
        <v>118.85180381470545</v>
      </c>
      <c r="E17650" s="733"/>
    </row>
    <row r="17651" spans="2:5">
      <c r="B17651" s="121">
        <v>1468</v>
      </c>
      <c r="C17651" s="121">
        <v>4</v>
      </c>
      <c r="D17651" s="734">
        <v>139.88513912084898</v>
      </c>
      <c r="E17651" s="733"/>
    </row>
    <row r="17652" spans="2:5">
      <c r="B17652" s="121">
        <v>1468</v>
      </c>
      <c r="C17652" s="121">
        <v>5</v>
      </c>
      <c r="D17652" s="734">
        <v>143.75717193916549</v>
      </c>
      <c r="E17652" s="733"/>
    </row>
    <row r="17653" spans="2:5">
      <c r="B17653" s="121">
        <v>1468</v>
      </c>
      <c r="C17653" s="121">
        <v>6</v>
      </c>
      <c r="D17653" s="734">
        <v>136.94131776772008</v>
      </c>
      <c r="E17653" s="733"/>
    </row>
    <row r="17654" spans="2:5">
      <c r="B17654" s="121">
        <v>1468</v>
      </c>
      <c r="C17654" s="121">
        <v>7</v>
      </c>
      <c r="D17654" s="734">
        <v>142.50262104365967</v>
      </c>
      <c r="E17654" s="733"/>
    </row>
    <row r="17655" spans="2:5">
      <c r="B17655" s="121">
        <v>1468</v>
      </c>
      <c r="C17655" s="121">
        <v>8</v>
      </c>
      <c r="D17655" s="734">
        <v>135.67433261492624</v>
      </c>
      <c r="E17655" s="733"/>
    </row>
    <row r="17656" spans="2:5">
      <c r="B17656" s="121">
        <v>1468</v>
      </c>
      <c r="C17656" s="121">
        <v>9</v>
      </c>
      <c r="D17656" s="734">
        <v>139.82124768964545</v>
      </c>
      <c r="E17656" s="733"/>
    </row>
    <row r="17657" spans="2:5">
      <c r="B17657" s="121">
        <v>1468</v>
      </c>
      <c r="C17657" s="121">
        <v>10</v>
      </c>
      <c r="D17657" s="734">
        <v>145.08621374662911</v>
      </c>
      <c r="E17657" s="733"/>
    </row>
    <row r="17658" spans="2:5">
      <c r="B17658" s="121">
        <v>1468</v>
      </c>
      <c r="C17658" s="121">
        <v>11</v>
      </c>
      <c r="D17658" s="734">
        <v>143.82546918803766</v>
      </c>
      <c r="E17658" s="733"/>
    </row>
    <row r="17659" spans="2:5">
      <c r="B17659" s="121">
        <v>1468</v>
      </c>
      <c r="C17659" s="121">
        <v>12</v>
      </c>
      <c r="D17659" s="734">
        <v>143.03579407054215</v>
      </c>
      <c r="E17659" s="733"/>
    </row>
    <row r="17660" spans="2:5">
      <c r="B17660" s="121">
        <v>1468</v>
      </c>
      <c r="C17660" s="121">
        <v>13</v>
      </c>
      <c r="D17660" s="734">
        <v>137.72070083867033</v>
      </c>
      <c r="E17660" s="733"/>
    </row>
    <row r="17661" spans="2:5">
      <c r="B17661" s="121">
        <v>1468</v>
      </c>
      <c r="C17661" s="121">
        <v>14</v>
      </c>
      <c r="D17661" s="734">
        <v>136.5391326439219</v>
      </c>
      <c r="E17661" s="733"/>
    </row>
    <row r="17662" spans="2:5">
      <c r="B17662" s="121">
        <v>1469</v>
      </c>
      <c r="C17662" s="121">
        <v>1</v>
      </c>
      <c r="D17662" s="734">
        <v>5</v>
      </c>
      <c r="E17662" s="733"/>
    </row>
    <row r="17663" spans="2:5">
      <c r="B17663" s="121">
        <v>1470</v>
      </c>
      <c r="C17663" s="121">
        <v>1</v>
      </c>
      <c r="D17663" s="734">
        <v>5</v>
      </c>
      <c r="E17663" s="733"/>
    </row>
    <row r="17664" spans="2:5">
      <c r="B17664" s="121">
        <v>1471</v>
      </c>
      <c r="C17664" s="121">
        <v>1</v>
      </c>
      <c r="D17664" s="734">
        <v>5</v>
      </c>
      <c r="E17664" s="733"/>
    </row>
    <row r="17665" spans="2:5">
      <c r="B17665" s="121">
        <v>1471</v>
      </c>
      <c r="C17665" s="121">
        <v>2</v>
      </c>
      <c r="D17665" s="734">
        <v>103.49494850895356</v>
      </c>
      <c r="E17665" s="733"/>
    </row>
    <row r="17666" spans="2:5">
      <c r="B17666" s="121">
        <v>1471</v>
      </c>
      <c r="C17666" s="121">
        <v>3</v>
      </c>
      <c r="D17666" s="734">
        <v>117.24124865018996</v>
      </c>
      <c r="E17666" s="733"/>
    </row>
    <row r="17667" spans="2:5">
      <c r="B17667" s="121">
        <v>1471</v>
      </c>
      <c r="C17667" s="121">
        <v>4</v>
      </c>
      <c r="D17667" s="734">
        <v>139.74529466171481</v>
      </c>
      <c r="E17667" s="733"/>
    </row>
    <row r="17668" spans="2:5">
      <c r="B17668" s="121">
        <v>1471</v>
      </c>
      <c r="C17668" s="121">
        <v>5</v>
      </c>
      <c r="D17668" s="734">
        <v>141.46511593815836</v>
      </c>
      <c r="E17668" s="733"/>
    </row>
    <row r="17669" spans="2:5">
      <c r="B17669" s="121">
        <v>1471</v>
      </c>
      <c r="C17669" s="121">
        <v>6</v>
      </c>
      <c r="D17669" s="734">
        <v>142.9033537402558</v>
      </c>
      <c r="E17669" s="733"/>
    </row>
    <row r="17670" spans="2:5">
      <c r="B17670" s="121">
        <v>1471</v>
      </c>
      <c r="C17670" s="121">
        <v>7</v>
      </c>
      <c r="D17670" s="734">
        <v>147.26715301217536</v>
      </c>
      <c r="E17670" s="733"/>
    </row>
    <row r="17671" spans="2:5">
      <c r="B17671" s="121">
        <v>1471</v>
      </c>
      <c r="C17671" s="121">
        <v>8</v>
      </c>
      <c r="D17671" s="734">
        <v>147.00161077771733</v>
      </c>
      <c r="E17671" s="733"/>
    </row>
    <row r="17672" spans="2:5">
      <c r="B17672" s="121">
        <v>1471</v>
      </c>
      <c r="C17672" s="121">
        <v>9</v>
      </c>
      <c r="D17672" s="734">
        <v>139.78504755987632</v>
      </c>
      <c r="E17672" s="733"/>
    </row>
    <row r="17673" spans="2:5">
      <c r="B17673" s="121">
        <v>1471</v>
      </c>
      <c r="C17673" s="121">
        <v>10</v>
      </c>
      <c r="D17673" s="734">
        <v>134.91755630531964</v>
      </c>
      <c r="E17673" s="733"/>
    </row>
    <row r="17674" spans="2:5">
      <c r="B17674" s="121">
        <v>1471</v>
      </c>
      <c r="C17674" s="121">
        <v>11</v>
      </c>
      <c r="D17674" s="734">
        <v>144.76720633831073</v>
      </c>
      <c r="E17674" s="733"/>
    </row>
    <row r="17675" spans="2:5">
      <c r="B17675" s="121">
        <v>1471</v>
      </c>
      <c r="C17675" s="121">
        <v>12</v>
      </c>
      <c r="D17675" s="734">
        <v>144.02266866748801</v>
      </c>
      <c r="E17675" s="733"/>
    </row>
    <row r="17676" spans="2:5">
      <c r="B17676" s="121">
        <v>1471</v>
      </c>
      <c r="C17676" s="121">
        <v>13</v>
      </c>
      <c r="D17676" s="734">
        <v>136.37845239701218</v>
      </c>
      <c r="E17676" s="733"/>
    </row>
    <row r="17677" spans="2:5">
      <c r="B17677" s="121">
        <v>1471</v>
      </c>
      <c r="C17677" s="121">
        <v>14</v>
      </c>
      <c r="D17677" s="734">
        <v>145.79843262572058</v>
      </c>
      <c r="E17677" s="733"/>
    </row>
    <row r="17678" spans="2:5">
      <c r="B17678" s="121">
        <v>1471</v>
      </c>
      <c r="C17678" s="121">
        <v>15</v>
      </c>
      <c r="D17678" s="734">
        <v>139.91442935883467</v>
      </c>
      <c r="E17678" s="733"/>
    </row>
    <row r="17679" spans="2:5">
      <c r="B17679" s="121">
        <v>1471</v>
      </c>
      <c r="C17679" s="121">
        <v>16</v>
      </c>
      <c r="D17679" s="734">
        <v>145.77913823357696</v>
      </c>
      <c r="E17679" s="733"/>
    </row>
    <row r="17680" spans="2:5">
      <c r="B17680" s="121">
        <v>1471</v>
      </c>
      <c r="C17680" s="121">
        <v>17</v>
      </c>
      <c r="D17680" s="734">
        <v>143.9687966732935</v>
      </c>
      <c r="E17680" s="733"/>
    </row>
    <row r="17681" spans="2:5">
      <c r="B17681" s="121">
        <v>1471</v>
      </c>
      <c r="C17681" s="121">
        <v>18</v>
      </c>
      <c r="D17681" s="734">
        <v>145.75843536818428</v>
      </c>
      <c r="E17681" s="733"/>
    </row>
    <row r="17682" spans="2:5">
      <c r="B17682" s="121">
        <v>1471</v>
      </c>
      <c r="C17682" s="121">
        <v>19</v>
      </c>
      <c r="D17682" s="734">
        <v>136.25935519381756</v>
      </c>
      <c r="E17682" s="733"/>
    </row>
    <row r="17683" spans="2:5">
      <c r="B17683" s="121">
        <v>1471</v>
      </c>
      <c r="C17683" s="121">
        <v>20</v>
      </c>
      <c r="D17683" s="734">
        <v>141.94213190114357</v>
      </c>
      <c r="E17683" s="733"/>
    </row>
    <row r="17684" spans="2:5">
      <c r="B17684" s="121">
        <v>1471</v>
      </c>
      <c r="C17684" s="121">
        <v>21</v>
      </c>
      <c r="D17684" s="734">
        <v>138.77393465859194</v>
      </c>
      <c r="E17684" s="733"/>
    </row>
    <row r="17685" spans="2:5">
      <c r="B17685" s="121">
        <v>1471</v>
      </c>
      <c r="C17685" s="121">
        <v>22</v>
      </c>
      <c r="D17685" s="734">
        <v>141.52504205033594</v>
      </c>
      <c r="E17685" s="733"/>
    </row>
    <row r="17686" spans="2:5">
      <c r="B17686" s="121">
        <v>1471</v>
      </c>
      <c r="C17686" s="121">
        <v>23</v>
      </c>
      <c r="D17686" s="734">
        <v>139.57602392228864</v>
      </c>
      <c r="E17686" s="733"/>
    </row>
    <row r="17687" spans="2:5">
      <c r="B17687" s="121">
        <v>1471</v>
      </c>
      <c r="C17687" s="121">
        <v>24</v>
      </c>
      <c r="D17687" s="734">
        <v>138.36639678892061</v>
      </c>
      <c r="E17687" s="733"/>
    </row>
    <row r="17688" spans="2:5">
      <c r="B17688" s="121">
        <v>1471</v>
      </c>
      <c r="C17688" s="121">
        <v>25</v>
      </c>
      <c r="D17688" s="734">
        <v>145.34311493744474</v>
      </c>
      <c r="E17688" s="733"/>
    </row>
    <row r="17689" spans="2:5">
      <c r="B17689" s="121">
        <v>1472</v>
      </c>
      <c r="C17689" s="121">
        <v>1</v>
      </c>
      <c r="D17689" s="734">
        <v>5</v>
      </c>
      <c r="E17689" s="733"/>
    </row>
    <row r="17690" spans="2:5">
      <c r="B17690" s="121">
        <v>1473</v>
      </c>
      <c r="C17690" s="121">
        <v>1</v>
      </c>
      <c r="D17690" s="734">
        <v>5</v>
      </c>
      <c r="E17690" s="733"/>
    </row>
    <row r="17691" spans="2:5">
      <c r="B17691" s="121">
        <v>1473</v>
      </c>
      <c r="C17691" s="121">
        <v>2</v>
      </c>
      <c r="D17691" s="734">
        <v>96.933887379458454</v>
      </c>
      <c r="E17691" s="733"/>
    </row>
    <row r="17692" spans="2:5">
      <c r="B17692" s="121">
        <v>1473</v>
      </c>
      <c r="C17692" s="121">
        <v>3</v>
      </c>
      <c r="D17692" s="734">
        <v>120.12040247337359</v>
      </c>
      <c r="E17692" s="733"/>
    </row>
    <row r="17693" spans="2:5">
      <c r="B17693" s="121">
        <v>1473</v>
      </c>
      <c r="C17693" s="121">
        <v>4</v>
      </c>
      <c r="D17693" s="734">
        <v>135.49174791964072</v>
      </c>
      <c r="E17693" s="733"/>
    </row>
    <row r="17694" spans="2:5">
      <c r="B17694" s="121">
        <v>1473</v>
      </c>
      <c r="C17694" s="121">
        <v>5</v>
      </c>
      <c r="D17694" s="734">
        <v>144.74371212301338</v>
      </c>
      <c r="E17694" s="733"/>
    </row>
    <row r="17695" spans="2:5">
      <c r="B17695" s="121">
        <v>1473</v>
      </c>
      <c r="C17695" s="121">
        <v>6</v>
      </c>
      <c r="D17695" s="734">
        <v>146.22934762701425</v>
      </c>
      <c r="E17695" s="733"/>
    </row>
    <row r="17696" spans="2:5">
      <c r="B17696" s="121">
        <v>1473</v>
      </c>
      <c r="C17696" s="121">
        <v>7</v>
      </c>
      <c r="D17696" s="734">
        <v>145.54823607272215</v>
      </c>
      <c r="E17696" s="733"/>
    </row>
    <row r="17697" spans="2:5">
      <c r="B17697" s="121">
        <v>1473</v>
      </c>
      <c r="C17697" s="121">
        <v>8</v>
      </c>
      <c r="D17697" s="734">
        <v>143.33348284296932</v>
      </c>
      <c r="E17697" s="733"/>
    </row>
    <row r="17698" spans="2:5">
      <c r="B17698" s="121">
        <v>1473</v>
      </c>
      <c r="C17698" s="121">
        <v>9</v>
      </c>
      <c r="D17698" s="734">
        <v>140.72051292207649</v>
      </c>
      <c r="E17698" s="733"/>
    </row>
    <row r="17699" spans="2:5">
      <c r="B17699" s="121">
        <v>1473</v>
      </c>
      <c r="C17699" s="121">
        <v>10</v>
      </c>
      <c r="D17699" s="734">
        <v>134.46295846314612</v>
      </c>
      <c r="E17699" s="733"/>
    </row>
    <row r="17700" spans="2:5">
      <c r="B17700" s="121">
        <v>1473</v>
      </c>
      <c r="C17700" s="121">
        <v>11</v>
      </c>
      <c r="D17700" s="734">
        <v>145.08591227286291</v>
      </c>
      <c r="E17700" s="733"/>
    </row>
    <row r="17701" spans="2:5">
      <c r="B17701" s="121">
        <v>1473</v>
      </c>
      <c r="C17701" s="121">
        <v>12</v>
      </c>
      <c r="D17701" s="734">
        <v>140.89447736268141</v>
      </c>
      <c r="E17701" s="733"/>
    </row>
    <row r="17702" spans="2:5">
      <c r="B17702" s="121">
        <v>1473</v>
      </c>
      <c r="C17702" s="121">
        <v>13</v>
      </c>
      <c r="D17702" s="734">
        <v>142.35295920760436</v>
      </c>
      <c r="E17702" s="733"/>
    </row>
    <row r="17703" spans="2:5">
      <c r="B17703" s="121">
        <v>1473</v>
      </c>
      <c r="C17703" s="121">
        <v>14</v>
      </c>
      <c r="D17703" s="734">
        <v>137.79078567462136</v>
      </c>
      <c r="E17703" s="733"/>
    </row>
    <row r="17704" spans="2:5">
      <c r="B17704" s="121">
        <v>1473</v>
      </c>
      <c r="C17704" s="121">
        <v>15</v>
      </c>
      <c r="D17704" s="734">
        <v>136.71009731041431</v>
      </c>
      <c r="E17704" s="733"/>
    </row>
    <row r="17705" spans="2:5">
      <c r="B17705" s="121">
        <v>1473</v>
      </c>
      <c r="C17705" s="121">
        <v>16</v>
      </c>
      <c r="D17705" s="734">
        <v>138.7747537605016</v>
      </c>
      <c r="E17705" s="733"/>
    </row>
    <row r="17706" spans="2:5">
      <c r="B17706" s="121">
        <v>1474</v>
      </c>
      <c r="C17706" s="121">
        <v>1</v>
      </c>
      <c r="D17706" s="734">
        <v>5</v>
      </c>
      <c r="E17706" s="733"/>
    </row>
    <row r="17707" spans="2:5">
      <c r="B17707" s="121">
        <v>1474</v>
      </c>
      <c r="C17707" s="121">
        <v>2</v>
      </c>
      <c r="D17707" s="734">
        <v>101.25685483570331</v>
      </c>
      <c r="E17707" s="733"/>
    </row>
    <row r="17708" spans="2:5">
      <c r="B17708" s="121">
        <v>1474</v>
      </c>
      <c r="C17708" s="121">
        <v>3</v>
      </c>
      <c r="D17708" s="734">
        <v>115.68361249100992</v>
      </c>
      <c r="E17708" s="733"/>
    </row>
    <row r="17709" spans="2:5">
      <c r="B17709" s="121">
        <v>1474</v>
      </c>
      <c r="C17709" s="121">
        <v>4</v>
      </c>
      <c r="D17709" s="734">
        <v>138.33352931461422</v>
      </c>
      <c r="E17709" s="733"/>
    </row>
    <row r="17710" spans="2:5">
      <c r="B17710" s="121">
        <v>1475</v>
      </c>
      <c r="C17710" s="121">
        <v>1</v>
      </c>
      <c r="D17710" s="734">
        <v>5</v>
      </c>
      <c r="E17710" s="733"/>
    </row>
    <row r="17711" spans="2:5">
      <c r="B17711" s="121">
        <v>1476</v>
      </c>
      <c r="C17711" s="121">
        <v>1</v>
      </c>
      <c r="D17711" s="734">
        <v>5</v>
      </c>
      <c r="E17711" s="733"/>
    </row>
    <row r="17712" spans="2:5">
      <c r="B17712" s="121">
        <v>1476</v>
      </c>
      <c r="C17712" s="121">
        <v>2</v>
      </c>
      <c r="D17712" s="734">
        <v>99.224965024493173</v>
      </c>
      <c r="E17712" s="733"/>
    </row>
    <row r="17713" spans="2:5">
      <c r="B17713" s="121">
        <v>1476</v>
      </c>
      <c r="C17713" s="121">
        <v>3</v>
      </c>
      <c r="D17713" s="734">
        <v>121.43452012288144</v>
      </c>
      <c r="E17713" s="733"/>
    </row>
    <row r="17714" spans="2:5">
      <c r="B17714" s="121">
        <v>1476</v>
      </c>
      <c r="C17714" s="121">
        <v>4</v>
      </c>
      <c r="D17714" s="734">
        <v>140.00694238596725</v>
      </c>
      <c r="E17714" s="733"/>
    </row>
    <row r="17715" spans="2:5">
      <c r="B17715" s="121">
        <v>1476</v>
      </c>
      <c r="C17715" s="121">
        <v>5</v>
      </c>
      <c r="D17715" s="734">
        <v>144.5702262938515</v>
      </c>
      <c r="E17715" s="733"/>
    </row>
    <row r="17716" spans="2:5">
      <c r="B17716" s="121">
        <v>1476</v>
      </c>
      <c r="C17716" s="121">
        <v>6</v>
      </c>
      <c r="D17716" s="734">
        <v>147.03028142078941</v>
      </c>
      <c r="E17716" s="733"/>
    </row>
    <row r="17717" spans="2:5">
      <c r="B17717" s="121">
        <v>1476</v>
      </c>
      <c r="C17717" s="121">
        <v>7</v>
      </c>
      <c r="D17717" s="734">
        <v>136.57147533265979</v>
      </c>
      <c r="E17717" s="733"/>
    </row>
    <row r="17718" spans="2:5">
      <c r="B17718" s="121">
        <v>1476</v>
      </c>
      <c r="C17718" s="121">
        <v>8</v>
      </c>
      <c r="D17718" s="734">
        <v>139.94592239088695</v>
      </c>
      <c r="E17718" s="733"/>
    </row>
    <row r="17719" spans="2:5">
      <c r="B17719" s="121">
        <v>1476</v>
      </c>
      <c r="C17719" s="121">
        <v>9</v>
      </c>
      <c r="D17719" s="734">
        <v>134.98020783796372</v>
      </c>
      <c r="E17719" s="733"/>
    </row>
    <row r="17720" spans="2:5">
      <c r="B17720" s="121">
        <v>1477</v>
      </c>
      <c r="C17720" s="121">
        <v>1</v>
      </c>
      <c r="D17720" s="734">
        <v>5</v>
      </c>
      <c r="E17720" s="733"/>
    </row>
    <row r="17721" spans="2:5">
      <c r="B17721" s="121">
        <v>1477</v>
      </c>
      <c r="C17721" s="121">
        <v>2</v>
      </c>
      <c r="D17721" s="734">
        <v>103.02446430527581</v>
      </c>
      <c r="E17721" s="733"/>
    </row>
    <row r="17722" spans="2:5">
      <c r="B17722" s="121">
        <v>1477</v>
      </c>
      <c r="C17722" s="121">
        <v>3</v>
      </c>
      <c r="D17722" s="734">
        <v>121.92920601971406</v>
      </c>
      <c r="E17722" s="733"/>
    </row>
    <row r="17723" spans="2:5">
      <c r="B17723" s="121">
        <v>1477</v>
      </c>
      <c r="C17723" s="121">
        <v>4</v>
      </c>
      <c r="D17723" s="734">
        <v>142.68675319226213</v>
      </c>
      <c r="E17723" s="733"/>
    </row>
    <row r="17724" spans="2:5">
      <c r="B17724" s="121">
        <v>1477</v>
      </c>
      <c r="C17724" s="121">
        <v>5</v>
      </c>
      <c r="D17724" s="734">
        <v>138.24134471285197</v>
      </c>
      <c r="E17724" s="733"/>
    </row>
    <row r="17725" spans="2:5">
      <c r="B17725" s="121">
        <v>1478</v>
      </c>
      <c r="C17725" s="121">
        <v>1</v>
      </c>
      <c r="D17725" s="734">
        <v>5</v>
      </c>
      <c r="E17725" s="733"/>
    </row>
    <row r="17726" spans="2:5">
      <c r="B17726" s="121">
        <v>1478</v>
      </c>
      <c r="C17726" s="121">
        <v>2</v>
      </c>
      <c r="D17726" s="734">
        <v>99.054009715282831</v>
      </c>
      <c r="E17726" s="733"/>
    </row>
    <row r="17727" spans="2:5">
      <c r="B17727" s="121">
        <v>1478</v>
      </c>
      <c r="C17727" s="121">
        <v>3</v>
      </c>
      <c r="D17727" s="734">
        <v>123.45109896778831</v>
      </c>
      <c r="E17727" s="733"/>
    </row>
    <row r="17728" spans="2:5">
      <c r="B17728" s="121">
        <v>1479</v>
      </c>
      <c r="C17728" s="121">
        <v>1</v>
      </c>
      <c r="D17728" s="734">
        <v>5</v>
      </c>
      <c r="E17728" s="733"/>
    </row>
    <row r="17729" spans="2:5">
      <c r="B17729" s="121">
        <v>1480</v>
      </c>
      <c r="C17729" s="121">
        <v>1</v>
      </c>
      <c r="D17729" s="734">
        <v>5</v>
      </c>
      <c r="E17729" s="733"/>
    </row>
    <row r="17730" spans="2:5">
      <c r="B17730" s="121">
        <v>1480</v>
      </c>
      <c r="C17730" s="121">
        <v>2</v>
      </c>
      <c r="D17730" s="734">
        <v>94.330858024808194</v>
      </c>
      <c r="E17730" s="733"/>
    </row>
    <row r="17731" spans="2:5">
      <c r="B17731" s="121">
        <v>1480</v>
      </c>
      <c r="C17731" s="121">
        <v>3</v>
      </c>
      <c r="D17731" s="734">
        <v>117.984671969717</v>
      </c>
      <c r="E17731" s="733"/>
    </row>
    <row r="17732" spans="2:5">
      <c r="B17732" s="121">
        <v>1480</v>
      </c>
      <c r="C17732" s="121">
        <v>4</v>
      </c>
      <c r="D17732" s="734">
        <v>138.78428089208757</v>
      </c>
      <c r="E17732" s="733"/>
    </row>
    <row r="17733" spans="2:5">
      <c r="B17733" s="121">
        <v>1480</v>
      </c>
      <c r="C17733" s="121">
        <v>5</v>
      </c>
      <c r="D17733" s="734">
        <v>141.78095951542787</v>
      </c>
      <c r="E17733" s="733"/>
    </row>
    <row r="17734" spans="2:5">
      <c r="B17734" s="121">
        <v>1480</v>
      </c>
      <c r="C17734" s="121">
        <v>6</v>
      </c>
      <c r="D17734" s="734">
        <v>138.38201227874501</v>
      </c>
      <c r="E17734" s="733"/>
    </row>
    <row r="17735" spans="2:5">
      <c r="B17735" s="121">
        <v>1480</v>
      </c>
      <c r="C17735" s="121">
        <v>7</v>
      </c>
      <c r="D17735" s="734">
        <v>140.42079308327857</v>
      </c>
      <c r="E17735" s="733"/>
    </row>
    <row r="17736" spans="2:5">
      <c r="B17736" s="121">
        <v>1480</v>
      </c>
      <c r="C17736" s="121">
        <v>8</v>
      </c>
      <c r="D17736" s="734">
        <v>135.33184369262889</v>
      </c>
      <c r="E17736" s="733"/>
    </row>
    <row r="17737" spans="2:5">
      <c r="B17737" s="121">
        <v>1480</v>
      </c>
      <c r="C17737" s="121">
        <v>9</v>
      </c>
      <c r="D17737" s="734">
        <v>143.42240974806748</v>
      </c>
      <c r="E17737" s="733"/>
    </row>
    <row r="17738" spans="2:5">
      <c r="B17738" s="121">
        <v>1480</v>
      </c>
      <c r="C17738" s="121">
        <v>10</v>
      </c>
      <c r="D17738" s="734">
        <v>137.58333488689078</v>
      </c>
      <c r="E17738" s="733"/>
    </row>
    <row r="17739" spans="2:5">
      <c r="B17739" s="121">
        <v>1480</v>
      </c>
      <c r="C17739" s="121">
        <v>11</v>
      </c>
      <c r="D17739" s="734">
        <v>139.07934786372147</v>
      </c>
      <c r="E17739" s="733"/>
    </row>
    <row r="17740" spans="2:5">
      <c r="B17740" s="121">
        <v>1480</v>
      </c>
      <c r="C17740" s="121">
        <v>12</v>
      </c>
      <c r="D17740" s="734">
        <v>135.79759420558983</v>
      </c>
      <c r="E17740" s="733"/>
    </row>
    <row r="17741" spans="2:5">
      <c r="B17741" s="121">
        <v>1480</v>
      </c>
      <c r="C17741" s="121">
        <v>13</v>
      </c>
      <c r="D17741" s="734">
        <v>135.94649011327937</v>
      </c>
      <c r="E17741" s="733"/>
    </row>
    <row r="17742" spans="2:5">
      <c r="B17742" s="121">
        <v>1480</v>
      </c>
      <c r="C17742" s="121">
        <v>14</v>
      </c>
      <c r="D17742" s="734">
        <v>137.76137702854547</v>
      </c>
      <c r="E17742" s="733"/>
    </row>
    <row r="17743" spans="2:5">
      <c r="B17743" s="121">
        <v>1480</v>
      </c>
      <c r="C17743" s="121">
        <v>15</v>
      </c>
      <c r="D17743" s="734">
        <v>136.70966902166623</v>
      </c>
      <c r="E17743" s="733"/>
    </row>
    <row r="17744" spans="2:5">
      <c r="B17744" s="121">
        <v>1480</v>
      </c>
      <c r="C17744" s="121">
        <v>16</v>
      </c>
      <c r="D17744" s="734">
        <v>135.634222646197</v>
      </c>
      <c r="E17744" s="733"/>
    </row>
    <row r="17745" spans="2:5">
      <c r="B17745" s="121">
        <v>1480</v>
      </c>
      <c r="C17745" s="121">
        <v>17</v>
      </c>
      <c r="D17745" s="734">
        <v>136.80932953341744</v>
      </c>
      <c r="E17745" s="733"/>
    </row>
    <row r="17746" spans="2:5">
      <c r="B17746" s="121">
        <v>1480</v>
      </c>
      <c r="C17746" s="121">
        <v>18</v>
      </c>
      <c r="D17746" s="734">
        <v>146.10980947208679</v>
      </c>
      <c r="E17746" s="733"/>
    </row>
    <row r="17747" spans="2:5">
      <c r="B17747" s="121">
        <v>1480</v>
      </c>
      <c r="C17747" s="121">
        <v>19</v>
      </c>
      <c r="D17747" s="734">
        <v>136.75450165006328</v>
      </c>
      <c r="E17747" s="733"/>
    </row>
    <row r="17748" spans="2:5">
      <c r="B17748" s="121">
        <v>1480</v>
      </c>
      <c r="C17748" s="121">
        <v>20</v>
      </c>
      <c r="D17748" s="734">
        <v>136.67559538370904</v>
      </c>
      <c r="E17748" s="733"/>
    </row>
    <row r="17749" spans="2:5">
      <c r="B17749" s="121">
        <v>1480</v>
      </c>
      <c r="C17749" s="121">
        <v>21</v>
      </c>
      <c r="D17749" s="734">
        <v>135.603506700206</v>
      </c>
      <c r="E17749" s="733"/>
    </row>
    <row r="17750" spans="2:5">
      <c r="B17750" s="121">
        <v>1480</v>
      </c>
      <c r="C17750" s="121">
        <v>22</v>
      </c>
      <c r="D17750" s="734">
        <v>142.01727751508795</v>
      </c>
      <c r="E17750" s="733"/>
    </row>
    <row r="17751" spans="2:5">
      <c r="B17751" s="121">
        <v>1480</v>
      </c>
      <c r="C17751" s="121">
        <v>23</v>
      </c>
      <c r="D17751" s="734">
        <v>142.65460153992919</v>
      </c>
      <c r="E17751" s="733"/>
    </row>
    <row r="17752" spans="2:5">
      <c r="B17752" s="121">
        <v>1480</v>
      </c>
      <c r="C17752" s="121">
        <v>24</v>
      </c>
      <c r="D17752" s="734">
        <v>137.67355863176851</v>
      </c>
      <c r="E17752" s="733"/>
    </row>
    <row r="17753" spans="2:5">
      <c r="B17753" s="121">
        <v>1480</v>
      </c>
      <c r="C17753" s="121">
        <v>25</v>
      </c>
      <c r="D17753" s="734">
        <v>143.63462074617459</v>
      </c>
      <c r="E17753" s="733"/>
    </row>
    <row r="17754" spans="2:5">
      <c r="B17754" s="121">
        <v>1480</v>
      </c>
      <c r="C17754" s="121">
        <v>26</v>
      </c>
      <c r="D17754" s="734">
        <v>140.0439509525049</v>
      </c>
      <c r="E17754" s="733"/>
    </row>
    <row r="17755" spans="2:5">
      <c r="B17755" s="121">
        <v>1480</v>
      </c>
      <c r="C17755" s="121">
        <v>27</v>
      </c>
      <c r="D17755" s="734">
        <v>145.73663788957364</v>
      </c>
      <c r="E17755" s="733"/>
    </row>
    <row r="17756" spans="2:5">
      <c r="B17756" s="121">
        <v>1480</v>
      </c>
      <c r="C17756" s="121">
        <v>28</v>
      </c>
      <c r="D17756" s="734">
        <v>146.07295409263185</v>
      </c>
      <c r="E17756" s="733"/>
    </row>
    <row r="17757" spans="2:5">
      <c r="B17757" s="121">
        <v>1480</v>
      </c>
      <c r="C17757" s="121">
        <v>29</v>
      </c>
      <c r="D17757" s="734">
        <v>141.91045394115551</v>
      </c>
      <c r="E17757" s="733"/>
    </row>
    <row r="17758" spans="2:5">
      <c r="B17758" s="121">
        <v>1480</v>
      </c>
      <c r="C17758" s="121">
        <v>30</v>
      </c>
      <c r="D17758" s="734">
        <v>135.69409912241258</v>
      </c>
      <c r="E17758" s="733"/>
    </row>
    <row r="17759" spans="2:5">
      <c r="B17759" s="121">
        <v>1480</v>
      </c>
      <c r="C17759" s="121">
        <v>31</v>
      </c>
      <c r="D17759" s="734">
        <v>135.51912279844751</v>
      </c>
      <c r="E17759" s="733"/>
    </row>
    <row r="17760" spans="2:5">
      <c r="B17760" s="121">
        <v>1480</v>
      </c>
      <c r="C17760" s="121">
        <v>32</v>
      </c>
      <c r="D17760" s="734">
        <v>146.71015784415513</v>
      </c>
      <c r="E17760" s="733"/>
    </row>
    <row r="17761" spans="2:5">
      <c r="B17761" s="121">
        <v>1480</v>
      </c>
      <c r="C17761" s="121">
        <v>33</v>
      </c>
      <c r="D17761" s="734">
        <v>137.72453711682266</v>
      </c>
      <c r="E17761" s="733"/>
    </row>
    <row r="17762" spans="2:5">
      <c r="B17762" s="121">
        <v>1480</v>
      </c>
      <c r="C17762" s="121">
        <v>34</v>
      </c>
      <c r="D17762" s="734">
        <v>135.00799596979741</v>
      </c>
      <c r="E17762" s="733"/>
    </row>
    <row r="17763" spans="2:5">
      <c r="B17763" s="121">
        <v>1480</v>
      </c>
      <c r="C17763" s="121">
        <v>35</v>
      </c>
      <c r="D17763" s="734">
        <v>141.7191481660158</v>
      </c>
      <c r="E17763" s="733"/>
    </row>
    <row r="17764" spans="2:5">
      <c r="B17764" s="121">
        <v>1480</v>
      </c>
      <c r="C17764" s="121">
        <v>36</v>
      </c>
      <c r="D17764" s="734">
        <v>143.73646180776822</v>
      </c>
      <c r="E17764" s="733"/>
    </row>
    <row r="17765" spans="2:5">
      <c r="B17765" s="121">
        <v>1481</v>
      </c>
      <c r="C17765" s="121">
        <v>1</v>
      </c>
      <c r="D17765" s="734">
        <v>5</v>
      </c>
      <c r="E17765" s="733"/>
    </row>
    <row r="17766" spans="2:5">
      <c r="B17766" s="121">
        <v>1481</v>
      </c>
      <c r="C17766" s="121">
        <v>2</v>
      </c>
      <c r="D17766" s="734">
        <v>96.579917811796179</v>
      </c>
      <c r="E17766" s="733"/>
    </row>
    <row r="17767" spans="2:5">
      <c r="B17767" s="121">
        <v>1482</v>
      </c>
      <c r="C17767" s="121">
        <v>1</v>
      </c>
      <c r="D17767" s="734">
        <v>5</v>
      </c>
      <c r="E17767" s="733"/>
    </row>
    <row r="17768" spans="2:5">
      <c r="B17768" s="121">
        <v>1482</v>
      </c>
      <c r="C17768" s="121">
        <v>2</v>
      </c>
      <c r="D17768" s="734">
        <v>95.949676286445893</v>
      </c>
      <c r="E17768" s="733"/>
    </row>
    <row r="17769" spans="2:5">
      <c r="B17769" s="121">
        <v>1482</v>
      </c>
      <c r="C17769" s="121">
        <v>3</v>
      </c>
      <c r="D17769" s="734">
        <v>120.19117354720234</v>
      </c>
      <c r="E17769" s="733"/>
    </row>
    <row r="17770" spans="2:5">
      <c r="B17770" s="121">
        <v>1482</v>
      </c>
      <c r="C17770" s="121">
        <v>4</v>
      </c>
      <c r="D17770" s="734">
        <v>136.21031741139188</v>
      </c>
      <c r="E17770" s="733"/>
    </row>
    <row r="17771" spans="2:5">
      <c r="B17771" s="121">
        <v>1482</v>
      </c>
      <c r="C17771" s="121">
        <v>5</v>
      </c>
      <c r="D17771" s="734">
        <v>135.20820598622018</v>
      </c>
      <c r="E17771" s="733"/>
    </row>
    <row r="17772" spans="2:5">
      <c r="B17772" s="121">
        <v>1482</v>
      </c>
      <c r="C17772" s="121">
        <v>6</v>
      </c>
      <c r="D17772" s="734">
        <v>140.58628885510311</v>
      </c>
      <c r="E17772" s="733"/>
    </row>
    <row r="17773" spans="2:5">
      <c r="B17773" s="121">
        <v>1482</v>
      </c>
      <c r="C17773" s="121">
        <v>7</v>
      </c>
      <c r="D17773" s="734">
        <v>138.55987378468541</v>
      </c>
      <c r="E17773" s="733"/>
    </row>
    <row r="17774" spans="2:5">
      <c r="B17774" s="121">
        <v>1482</v>
      </c>
      <c r="C17774" s="121">
        <v>8</v>
      </c>
      <c r="D17774" s="734">
        <v>137.02426861113676</v>
      </c>
      <c r="E17774" s="733"/>
    </row>
    <row r="17775" spans="2:5">
      <c r="B17775" s="121">
        <v>1482</v>
      </c>
      <c r="C17775" s="121">
        <v>9</v>
      </c>
      <c r="D17775" s="734">
        <v>141.02944044471727</v>
      </c>
      <c r="E17775" s="733"/>
    </row>
    <row r="17776" spans="2:5">
      <c r="B17776" s="121">
        <v>1482</v>
      </c>
      <c r="C17776" s="121">
        <v>10</v>
      </c>
      <c r="D17776" s="734">
        <v>145.67322720326391</v>
      </c>
      <c r="E17776" s="733"/>
    </row>
    <row r="17777" spans="2:5">
      <c r="B17777" s="121">
        <v>1482</v>
      </c>
      <c r="C17777" s="121">
        <v>11</v>
      </c>
      <c r="D17777" s="734">
        <v>138.00200777125812</v>
      </c>
      <c r="E17777" s="733"/>
    </row>
    <row r="17778" spans="2:5">
      <c r="B17778" s="121">
        <v>1482</v>
      </c>
      <c r="C17778" s="121">
        <v>12</v>
      </c>
      <c r="D17778" s="734">
        <v>142.5717921581473</v>
      </c>
      <c r="E17778" s="733"/>
    </row>
    <row r="17779" spans="2:5">
      <c r="B17779" s="121">
        <v>1482</v>
      </c>
      <c r="C17779" s="121">
        <v>13</v>
      </c>
      <c r="D17779" s="734">
        <v>141.52976585218747</v>
      </c>
      <c r="E17779" s="733"/>
    </row>
    <row r="17780" spans="2:5">
      <c r="B17780" s="121">
        <v>1482</v>
      </c>
      <c r="C17780" s="121">
        <v>14</v>
      </c>
      <c r="D17780" s="734">
        <v>134.96480229578967</v>
      </c>
      <c r="E17780" s="733"/>
    </row>
    <row r="17781" spans="2:5">
      <c r="B17781" s="121">
        <v>1482</v>
      </c>
      <c r="C17781" s="121">
        <v>15</v>
      </c>
      <c r="D17781" s="734">
        <v>145.81137465112653</v>
      </c>
      <c r="E17781" s="733"/>
    </row>
    <row r="17782" spans="2:5">
      <c r="B17782" s="121">
        <v>1483</v>
      </c>
      <c r="C17782" s="121">
        <v>1</v>
      </c>
      <c r="D17782" s="734">
        <v>5</v>
      </c>
      <c r="E17782" s="733"/>
    </row>
    <row r="17783" spans="2:5">
      <c r="B17783" s="121">
        <v>1484</v>
      </c>
      <c r="C17783" s="121">
        <v>1</v>
      </c>
      <c r="D17783" s="734">
        <v>5</v>
      </c>
      <c r="E17783" s="733"/>
    </row>
    <row r="17784" spans="2:5">
      <c r="B17784" s="121">
        <v>1485</v>
      </c>
      <c r="C17784" s="121">
        <v>1</v>
      </c>
      <c r="D17784" s="734">
        <v>5</v>
      </c>
      <c r="E17784" s="733"/>
    </row>
    <row r="17785" spans="2:5">
      <c r="B17785" s="121">
        <v>1485</v>
      </c>
      <c r="C17785" s="121">
        <v>2</v>
      </c>
      <c r="D17785" s="734">
        <v>97.581532088348652</v>
      </c>
      <c r="E17785" s="733"/>
    </row>
    <row r="17786" spans="2:5">
      <c r="B17786" s="121">
        <v>1485</v>
      </c>
      <c r="C17786" s="121">
        <v>3</v>
      </c>
      <c r="D17786" s="734">
        <v>117.27228509034107</v>
      </c>
      <c r="E17786" s="733"/>
    </row>
    <row r="17787" spans="2:5">
      <c r="B17787" s="121">
        <v>1485</v>
      </c>
      <c r="C17787" s="121">
        <v>4</v>
      </c>
      <c r="D17787" s="734">
        <v>146.36165170011711</v>
      </c>
      <c r="E17787" s="733"/>
    </row>
    <row r="17788" spans="2:5">
      <c r="B17788" s="121">
        <v>1485</v>
      </c>
      <c r="C17788" s="121">
        <v>5</v>
      </c>
      <c r="D17788" s="734">
        <v>134.65745214128376</v>
      </c>
      <c r="E17788" s="733"/>
    </row>
    <row r="17789" spans="2:5">
      <c r="B17789" s="121">
        <v>1485</v>
      </c>
      <c r="C17789" s="121">
        <v>6</v>
      </c>
      <c r="D17789" s="734">
        <v>140.29460956647577</v>
      </c>
      <c r="E17789" s="733"/>
    </row>
    <row r="17790" spans="2:5">
      <c r="B17790" s="121">
        <v>1485</v>
      </c>
      <c r="C17790" s="121">
        <v>7</v>
      </c>
      <c r="D17790" s="734">
        <v>139.71826895892056</v>
      </c>
      <c r="E17790" s="733"/>
    </row>
    <row r="17791" spans="2:5">
      <c r="B17791" s="121">
        <v>1485</v>
      </c>
      <c r="C17791" s="121">
        <v>8</v>
      </c>
      <c r="D17791" s="734">
        <v>139.90609221159755</v>
      </c>
      <c r="E17791" s="733"/>
    </row>
    <row r="17792" spans="2:5">
      <c r="B17792" s="121">
        <v>1485</v>
      </c>
      <c r="C17792" s="121">
        <v>9</v>
      </c>
      <c r="D17792" s="734">
        <v>146.02894161218447</v>
      </c>
      <c r="E17792" s="733"/>
    </row>
    <row r="17793" spans="2:5">
      <c r="B17793" s="121">
        <v>1485</v>
      </c>
      <c r="C17793" s="121">
        <v>10</v>
      </c>
      <c r="D17793" s="734">
        <v>137.93510631208869</v>
      </c>
      <c r="E17793" s="733"/>
    </row>
    <row r="17794" spans="2:5">
      <c r="B17794" s="121">
        <v>1485</v>
      </c>
      <c r="C17794" s="121">
        <v>11</v>
      </c>
      <c r="D17794" s="734">
        <v>146.47898059220432</v>
      </c>
      <c r="E17794" s="733"/>
    </row>
    <row r="17795" spans="2:5">
      <c r="B17795" s="121">
        <v>1485</v>
      </c>
      <c r="C17795" s="121">
        <v>12</v>
      </c>
      <c r="D17795" s="734">
        <v>142.67320902387607</v>
      </c>
      <c r="E17795" s="733"/>
    </row>
    <row r="17796" spans="2:5">
      <c r="B17796" s="121">
        <v>1485</v>
      </c>
      <c r="C17796" s="121">
        <v>13</v>
      </c>
      <c r="D17796" s="734">
        <v>144.44884924820263</v>
      </c>
      <c r="E17796" s="733"/>
    </row>
    <row r="17797" spans="2:5">
      <c r="B17797" s="121">
        <v>1485</v>
      </c>
      <c r="C17797" s="121">
        <v>14</v>
      </c>
      <c r="D17797" s="734">
        <v>142.89169046016238</v>
      </c>
      <c r="E17797" s="733"/>
    </row>
    <row r="17798" spans="2:5">
      <c r="B17798" s="121">
        <v>1485</v>
      </c>
      <c r="C17798" s="121">
        <v>15</v>
      </c>
      <c r="D17798" s="734">
        <v>145.21948519158053</v>
      </c>
      <c r="E17798" s="733"/>
    </row>
    <row r="17799" spans="2:5">
      <c r="B17799" s="121">
        <v>1486</v>
      </c>
      <c r="C17799" s="121">
        <v>1</v>
      </c>
      <c r="D17799" s="734">
        <v>5</v>
      </c>
      <c r="E17799" s="733"/>
    </row>
    <row r="17800" spans="2:5">
      <c r="B17800" s="121">
        <v>1486</v>
      </c>
      <c r="C17800" s="121">
        <v>2</v>
      </c>
      <c r="D17800" s="734">
        <v>99.995818840217893</v>
      </c>
      <c r="E17800" s="733"/>
    </row>
    <row r="17801" spans="2:5">
      <c r="B17801" s="121">
        <v>1486</v>
      </c>
      <c r="C17801" s="121">
        <v>3</v>
      </c>
      <c r="D17801" s="734">
        <v>121.98043549956094</v>
      </c>
      <c r="E17801" s="733"/>
    </row>
    <row r="17802" spans="2:5">
      <c r="B17802" s="121">
        <v>1486</v>
      </c>
      <c r="C17802" s="121">
        <v>4</v>
      </c>
      <c r="D17802" s="734">
        <v>145.02551243131433</v>
      </c>
      <c r="E17802" s="733"/>
    </row>
    <row r="17803" spans="2:5">
      <c r="B17803" s="121">
        <v>1486</v>
      </c>
      <c r="C17803" s="121">
        <v>5</v>
      </c>
      <c r="D17803" s="734">
        <v>143.77413073479934</v>
      </c>
      <c r="E17803" s="733"/>
    </row>
    <row r="17804" spans="2:5">
      <c r="B17804" s="121">
        <v>1486</v>
      </c>
      <c r="C17804" s="121">
        <v>6</v>
      </c>
      <c r="D17804" s="734">
        <v>138.30284032607165</v>
      </c>
      <c r="E17804" s="733"/>
    </row>
    <row r="17805" spans="2:5">
      <c r="B17805" s="121">
        <v>1486</v>
      </c>
      <c r="C17805" s="121">
        <v>7</v>
      </c>
      <c r="D17805" s="734">
        <v>146.61461729348315</v>
      </c>
      <c r="E17805" s="733"/>
    </row>
    <row r="17806" spans="2:5">
      <c r="B17806" s="121">
        <v>1486</v>
      </c>
      <c r="C17806" s="121">
        <v>8</v>
      </c>
      <c r="D17806" s="734">
        <v>135.45503522704516</v>
      </c>
      <c r="E17806" s="733"/>
    </row>
    <row r="17807" spans="2:5">
      <c r="B17807" s="121">
        <v>1486</v>
      </c>
      <c r="C17807" s="121">
        <v>9</v>
      </c>
      <c r="D17807" s="734">
        <v>134.57731078522821</v>
      </c>
      <c r="E17807" s="733"/>
    </row>
    <row r="17808" spans="2:5">
      <c r="B17808" s="121">
        <v>1486</v>
      </c>
      <c r="C17808" s="121">
        <v>10</v>
      </c>
      <c r="D17808" s="734">
        <v>146.72147737885305</v>
      </c>
      <c r="E17808" s="733"/>
    </row>
    <row r="17809" spans="2:5">
      <c r="B17809" s="121">
        <v>1486</v>
      </c>
      <c r="C17809" s="121">
        <v>11</v>
      </c>
      <c r="D17809" s="734">
        <v>141.58392991586854</v>
      </c>
      <c r="E17809" s="733"/>
    </row>
    <row r="17810" spans="2:5">
      <c r="B17810" s="121">
        <v>1486</v>
      </c>
      <c r="C17810" s="121">
        <v>12</v>
      </c>
      <c r="D17810" s="734">
        <v>141.46123865505984</v>
      </c>
      <c r="E17810" s="733"/>
    </row>
    <row r="17811" spans="2:5">
      <c r="B17811" s="121">
        <v>1486</v>
      </c>
      <c r="C17811" s="121">
        <v>13</v>
      </c>
      <c r="D17811" s="734">
        <v>134.46223299986053</v>
      </c>
      <c r="E17811" s="733"/>
    </row>
    <row r="17812" spans="2:5">
      <c r="B17812" s="121">
        <v>1486</v>
      </c>
      <c r="C17812" s="121">
        <v>14</v>
      </c>
      <c r="D17812" s="734">
        <v>134.0398930030758</v>
      </c>
      <c r="E17812" s="733"/>
    </row>
    <row r="17813" spans="2:5">
      <c r="B17813" s="121">
        <v>1486</v>
      </c>
      <c r="C17813" s="121">
        <v>15</v>
      </c>
      <c r="D17813" s="734">
        <v>142.32220012892165</v>
      </c>
      <c r="E17813" s="733"/>
    </row>
    <row r="17814" spans="2:5">
      <c r="B17814" s="121">
        <v>1486</v>
      </c>
      <c r="C17814" s="121">
        <v>16</v>
      </c>
      <c r="D17814" s="734">
        <v>134.33096787374481</v>
      </c>
      <c r="E17814" s="733"/>
    </row>
    <row r="17815" spans="2:5">
      <c r="B17815" s="121">
        <v>1486</v>
      </c>
      <c r="C17815" s="121">
        <v>17</v>
      </c>
      <c r="D17815" s="734">
        <v>143.37132649713888</v>
      </c>
      <c r="E17815" s="733"/>
    </row>
    <row r="17816" spans="2:5">
      <c r="B17816" s="121">
        <v>1486</v>
      </c>
      <c r="C17816" s="121">
        <v>18</v>
      </c>
      <c r="D17816" s="734">
        <v>134.29485105426295</v>
      </c>
      <c r="E17816" s="733"/>
    </row>
    <row r="17817" spans="2:5">
      <c r="B17817" s="121">
        <v>1486</v>
      </c>
      <c r="C17817" s="121">
        <v>19</v>
      </c>
      <c r="D17817" s="734">
        <v>142.67253943899038</v>
      </c>
      <c r="E17817" s="733"/>
    </row>
    <row r="17818" spans="2:5">
      <c r="B17818" s="121">
        <v>1486</v>
      </c>
      <c r="C17818" s="121">
        <v>20</v>
      </c>
      <c r="D17818" s="734">
        <v>138.77847502380575</v>
      </c>
      <c r="E17818" s="733"/>
    </row>
    <row r="17819" spans="2:5">
      <c r="B17819" s="121">
        <v>1486</v>
      </c>
      <c r="C17819" s="121">
        <v>21</v>
      </c>
      <c r="D17819" s="734">
        <v>146.76783943078519</v>
      </c>
      <c r="E17819" s="733"/>
    </row>
    <row r="17820" spans="2:5">
      <c r="B17820" s="121">
        <v>1486</v>
      </c>
      <c r="C17820" s="121">
        <v>22</v>
      </c>
      <c r="D17820" s="734">
        <v>141.95167382834762</v>
      </c>
      <c r="E17820" s="733"/>
    </row>
    <row r="17821" spans="2:5">
      <c r="B17821" s="121">
        <v>1486</v>
      </c>
      <c r="C17821" s="121">
        <v>23</v>
      </c>
      <c r="D17821" s="734">
        <v>140.80927051739215</v>
      </c>
      <c r="E17821" s="733"/>
    </row>
    <row r="17822" spans="2:5">
      <c r="B17822" s="121">
        <v>1486</v>
      </c>
      <c r="C17822" s="121">
        <v>24</v>
      </c>
      <c r="D17822" s="734">
        <v>141.68489388136373</v>
      </c>
      <c r="E17822" s="733"/>
    </row>
    <row r="17823" spans="2:5">
      <c r="B17823" s="121">
        <v>1486</v>
      </c>
      <c r="C17823" s="121">
        <v>25</v>
      </c>
      <c r="D17823" s="734">
        <v>135.84250409326233</v>
      </c>
      <c r="E17823" s="733"/>
    </row>
    <row r="17824" spans="2:5">
      <c r="B17824" s="121">
        <v>1486</v>
      </c>
      <c r="C17824" s="121">
        <v>26</v>
      </c>
      <c r="D17824" s="734">
        <v>141.86916058883148</v>
      </c>
      <c r="E17824" s="733"/>
    </row>
    <row r="17825" spans="2:5">
      <c r="B17825" s="121">
        <v>1486</v>
      </c>
      <c r="C17825" s="121">
        <v>27</v>
      </c>
      <c r="D17825" s="734">
        <v>139.74544334554324</v>
      </c>
      <c r="E17825" s="733"/>
    </row>
    <row r="17826" spans="2:5">
      <c r="B17826" s="121">
        <v>1486</v>
      </c>
      <c r="C17826" s="121">
        <v>28</v>
      </c>
      <c r="D17826" s="734">
        <v>134.90063522442807</v>
      </c>
      <c r="E17826" s="733"/>
    </row>
    <row r="17827" spans="2:5">
      <c r="B17827" s="121">
        <v>1486</v>
      </c>
      <c r="C17827" s="121">
        <v>29</v>
      </c>
      <c r="D17827" s="734">
        <v>146.63789915486092</v>
      </c>
      <c r="E17827" s="733"/>
    </row>
    <row r="17828" spans="2:5">
      <c r="B17828" s="121">
        <v>1486</v>
      </c>
      <c r="C17828" s="121">
        <v>30</v>
      </c>
      <c r="D17828" s="734">
        <v>135.39797888447072</v>
      </c>
      <c r="E17828" s="733"/>
    </row>
    <row r="17829" spans="2:5">
      <c r="B17829" s="121">
        <v>1487</v>
      </c>
      <c r="C17829" s="121">
        <v>1</v>
      </c>
      <c r="D17829" s="734">
        <v>5</v>
      </c>
      <c r="E17829" s="733"/>
    </row>
    <row r="17830" spans="2:5">
      <c r="B17830" s="121">
        <v>1487</v>
      </c>
      <c r="C17830" s="121">
        <v>2</v>
      </c>
      <c r="D17830" s="734">
        <v>99.181974469285578</v>
      </c>
      <c r="E17830" s="733"/>
    </row>
    <row r="17831" spans="2:5">
      <c r="B17831" s="121">
        <v>1487</v>
      </c>
      <c r="C17831" s="121">
        <v>3</v>
      </c>
      <c r="D17831" s="734">
        <v>117.48622318884934</v>
      </c>
      <c r="E17831" s="733"/>
    </row>
    <row r="17832" spans="2:5">
      <c r="B17832" s="121">
        <v>1487</v>
      </c>
      <c r="C17832" s="121">
        <v>4</v>
      </c>
      <c r="D17832" s="734">
        <v>142.67415247168313</v>
      </c>
      <c r="E17832" s="733"/>
    </row>
    <row r="17833" spans="2:5">
      <c r="B17833" s="121">
        <v>1487</v>
      </c>
      <c r="C17833" s="121">
        <v>5</v>
      </c>
      <c r="D17833" s="734">
        <v>134.16846193038003</v>
      </c>
      <c r="E17833" s="733"/>
    </row>
    <row r="17834" spans="2:5">
      <c r="B17834" s="121">
        <v>1487</v>
      </c>
      <c r="C17834" s="121">
        <v>6</v>
      </c>
      <c r="D17834" s="734">
        <v>146.63848349219347</v>
      </c>
      <c r="E17834" s="733"/>
    </row>
    <row r="17835" spans="2:5">
      <c r="B17835" s="121">
        <v>1488</v>
      </c>
      <c r="C17835" s="121">
        <v>1</v>
      </c>
      <c r="D17835" s="734">
        <v>5</v>
      </c>
      <c r="E17835" s="733"/>
    </row>
    <row r="17836" spans="2:5">
      <c r="B17836" s="121">
        <v>1489</v>
      </c>
      <c r="C17836" s="121">
        <v>1</v>
      </c>
      <c r="D17836" s="734">
        <v>5</v>
      </c>
      <c r="E17836" s="733"/>
    </row>
    <row r="17837" spans="2:5">
      <c r="B17837" s="121">
        <v>1490</v>
      </c>
      <c r="C17837" s="121">
        <v>1</v>
      </c>
      <c r="D17837" s="734">
        <v>5</v>
      </c>
      <c r="E17837" s="733"/>
    </row>
    <row r="17838" spans="2:5">
      <c r="B17838" s="121">
        <v>1491</v>
      </c>
      <c r="C17838" s="121">
        <v>1</v>
      </c>
      <c r="D17838" s="734">
        <v>5</v>
      </c>
      <c r="E17838" s="733"/>
    </row>
    <row r="17839" spans="2:5">
      <c r="B17839" s="121">
        <v>1491</v>
      </c>
      <c r="C17839" s="121">
        <v>2</v>
      </c>
      <c r="D17839" s="734">
        <v>99.155009847681654</v>
      </c>
      <c r="E17839" s="733"/>
    </row>
    <row r="17840" spans="2:5">
      <c r="B17840" s="121">
        <v>1491</v>
      </c>
      <c r="C17840" s="121">
        <v>3</v>
      </c>
      <c r="D17840" s="734">
        <v>122.21055881737065</v>
      </c>
      <c r="E17840" s="733"/>
    </row>
    <row r="17841" spans="2:5">
      <c r="B17841" s="121">
        <v>1491</v>
      </c>
      <c r="C17841" s="121">
        <v>4</v>
      </c>
      <c r="D17841" s="734">
        <v>145.83277471182132</v>
      </c>
      <c r="E17841" s="733"/>
    </row>
    <row r="17842" spans="2:5">
      <c r="B17842" s="121">
        <v>1491</v>
      </c>
      <c r="C17842" s="121">
        <v>5</v>
      </c>
      <c r="D17842" s="734">
        <v>133.70764520591322</v>
      </c>
      <c r="E17842" s="733"/>
    </row>
    <row r="17843" spans="2:5">
      <c r="B17843" s="121">
        <v>1491</v>
      </c>
      <c r="C17843" s="121">
        <v>6</v>
      </c>
      <c r="D17843" s="734">
        <v>139.76563788440197</v>
      </c>
      <c r="E17843" s="733"/>
    </row>
    <row r="17844" spans="2:5">
      <c r="B17844" s="121">
        <v>1491</v>
      </c>
      <c r="C17844" s="121">
        <v>7</v>
      </c>
      <c r="D17844" s="734">
        <v>142.21765787107836</v>
      </c>
      <c r="E17844" s="733"/>
    </row>
    <row r="17845" spans="2:5">
      <c r="B17845" s="121">
        <v>1492</v>
      </c>
      <c r="C17845" s="121">
        <v>1</v>
      </c>
      <c r="D17845" s="734">
        <v>5</v>
      </c>
      <c r="E17845" s="733"/>
    </row>
    <row r="17846" spans="2:5">
      <c r="B17846" s="121">
        <v>1492</v>
      </c>
      <c r="C17846" s="121">
        <v>2</v>
      </c>
      <c r="D17846" s="734">
        <v>100.07908408151206</v>
      </c>
      <c r="E17846" s="733"/>
    </row>
    <row r="17847" spans="2:5">
      <c r="B17847" s="121">
        <v>1492</v>
      </c>
      <c r="C17847" s="121">
        <v>3</v>
      </c>
      <c r="D17847" s="734">
        <v>124.68361819372591</v>
      </c>
      <c r="E17847" s="733"/>
    </row>
    <row r="17848" spans="2:5">
      <c r="B17848" s="121">
        <v>1492</v>
      </c>
      <c r="C17848" s="121">
        <v>4</v>
      </c>
      <c r="D17848" s="734">
        <v>134.44662636526093</v>
      </c>
      <c r="E17848" s="733"/>
    </row>
    <row r="17849" spans="2:5">
      <c r="B17849" s="121">
        <v>1492</v>
      </c>
      <c r="C17849" s="121">
        <v>5</v>
      </c>
      <c r="D17849" s="734">
        <v>145.75575429633793</v>
      </c>
      <c r="E17849" s="733"/>
    </row>
    <row r="17850" spans="2:5">
      <c r="B17850" s="121">
        <v>1492</v>
      </c>
      <c r="C17850" s="121">
        <v>6</v>
      </c>
      <c r="D17850" s="734">
        <v>139.18367622585447</v>
      </c>
      <c r="E17850" s="733"/>
    </row>
    <row r="17851" spans="2:5">
      <c r="B17851" s="121">
        <v>1492</v>
      </c>
      <c r="C17851" s="121">
        <v>7</v>
      </c>
      <c r="D17851" s="734">
        <v>142.74762552410647</v>
      </c>
      <c r="E17851" s="733"/>
    </row>
    <row r="17852" spans="2:5">
      <c r="B17852" s="121">
        <v>1492</v>
      </c>
      <c r="C17852" s="121">
        <v>8</v>
      </c>
      <c r="D17852" s="734">
        <v>137.41353730149729</v>
      </c>
      <c r="E17852" s="733"/>
    </row>
    <row r="17853" spans="2:5">
      <c r="B17853" s="121">
        <v>1492</v>
      </c>
      <c r="C17853" s="121">
        <v>9</v>
      </c>
      <c r="D17853" s="734">
        <v>145.35647869443727</v>
      </c>
      <c r="E17853" s="733"/>
    </row>
    <row r="17854" spans="2:5">
      <c r="B17854" s="121">
        <v>1493</v>
      </c>
      <c r="C17854" s="121">
        <v>1</v>
      </c>
      <c r="D17854" s="734">
        <v>5</v>
      </c>
      <c r="E17854" s="733"/>
    </row>
    <row r="17855" spans="2:5">
      <c r="B17855" s="121">
        <v>1493</v>
      </c>
      <c r="C17855" s="121">
        <v>2</v>
      </c>
      <c r="D17855" s="734">
        <v>96.98054202203943</v>
      </c>
      <c r="E17855" s="733"/>
    </row>
    <row r="17856" spans="2:5">
      <c r="B17856" s="121">
        <v>1493</v>
      </c>
      <c r="C17856" s="121">
        <v>3</v>
      </c>
      <c r="D17856" s="734">
        <v>120.29060922073663</v>
      </c>
      <c r="E17856" s="733"/>
    </row>
    <row r="17857" spans="2:5">
      <c r="B17857" s="121">
        <v>1493</v>
      </c>
      <c r="C17857" s="121">
        <v>4</v>
      </c>
      <c r="D17857" s="734">
        <v>140.74389250881819</v>
      </c>
      <c r="E17857" s="733"/>
    </row>
    <row r="17858" spans="2:5">
      <c r="B17858" s="121">
        <v>1493</v>
      </c>
      <c r="C17858" s="121">
        <v>5</v>
      </c>
      <c r="D17858" s="734">
        <v>144.90310160976111</v>
      </c>
      <c r="E17858" s="733"/>
    </row>
    <row r="17859" spans="2:5">
      <c r="B17859" s="121">
        <v>1493</v>
      </c>
      <c r="C17859" s="121">
        <v>6</v>
      </c>
      <c r="D17859" s="734">
        <v>139.22540095918708</v>
      </c>
      <c r="E17859" s="733"/>
    </row>
    <row r="17860" spans="2:5">
      <c r="B17860" s="121">
        <v>1493</v>
      </c>
      <c r="C17860" s="121">
        <v>7</v>
      </c>
      <c r="D17860" s="734">
        <v>141.7221545868868</v>
      </c>
      <c r="E17860" s="733"/>
    </row>
    <row r="17861" spans="2:5">
      <c r="B17861" s="121">
        <v>1493</v>
      </c>
      <c r="C17861" s="121">
        <v>8</v>
      </c>
      <c r="D17861" s="734">
        <v>146.69938780317511</v>
      </c>
      <c r="E17861" s="733"/>
    </row>
    <row r="17862" spans="2:5">
      <c r="B17862" s="121">
        <v>1493</v>
      </c>
      <c r="C17862" s="121">
        <v>9</v>
      </c>
      <c r="D17862" s="734">
        <v>137.01028607640578</v>
      </c>
      <c r="E17862" s="733"/>
    </row>
    <row r="17863" spans="2:5">
      <c r="B17863" s="121">
        <v>1494</v>
      </c>
      <c r="C17863" s="121">
        <v>1</v>
      </c>
      <c r="D17863" s="734">
        <v>5</v>
      </c>
      <c r="E17863" s="733"/>
    </row>
    <row r="17864" spans="2:5">
      <c r="B17864" s="121">
        <v>1494</v>
      </c>
      <c r="C17864" s="121">
        <v>2</v>
      </c>
      <c r="D17864" s="734">
        <v>102.23735882835207</v>
      </c>
      <c r="E17864" s="733"/>
    </row>
    <row r="17865" spans="2:5">
      <c r="B17865" s="121">
        <v>1494</v>
      </c>
      <c r="C17865" s="121">
        <v>3</v>
      </c>
      <c r="D17865" s="734">
        <v>115.69116530670068</v>
      </c>
      <c r="E17865" s="733"/>
    </row>
    <row r="17866" spans="2:5">
      <c r="B17866" s="121">
        <v>1494</v>
      </c>
      <c r="C17866" s="121">
        <v>4</v>
      </c>
      <c r="D17866" s="734">
        <v>140.0219424772574</v>
      </c>
      <c r="E17866" s="733"/>
    </row>
    <row r="17867" spans="2:5">
      <c r="B17867" s="121">
        <v>1494</v>
      </c>
      <c r="C17867" s="121">
        <v>5</v>
      </c>
      <c r="D17867" s="734">
        <v>138.50872797373651</v>
      </c>
      <c r="E17867" s="733"/>
    </row>
    <row r="17868" spans="2:5">
      <c r="B17868" s="121">
        <v>1494</v>
      </c>
      <c r="C17868" s="121">
        <v>6</v>
      </c>
      <c r="D17868" s="734">
        <v>139.5203745915141</v>
      </c>
      <c r="E17868" s="733"/>
    </row>
    <row r="17869" spans="2:5">
      <c r="B17869" s="121">
        <v>1495</v>
      </c>
      <c r="C17869" s="121">
        <v>1</v>
      </c>
      <c r="D17869" s="734">
        <v>5</v>
      </c>
      <c r="E17869" s="733"/>
    </row>
    <row r="17870" spans="2:5">
      <c r="B17870" s="121">
        <v>1495</v>
      </c>
      <c r="C17870" s="121">
        <v>2</v>
      </c>
      <c r="D17870" s="734">
        <v>98.679181128066801</v>
      </c>
      <c r="E17870" s="733"/>
    </row>
    <row r="17871" spans="2:5">
      <c r="B17871" s="121">
        <v>1495</v>
      </c>
      <c r="C17871" s="121">
        <v>3</v>
      </c>
      <c r="D17871" s="734">
        <v>124.93610772029335</v>
      </c>
      <c r="E17871" s="733"/>
    </row>
    <row r="17872" spans="2:5">
      <c r="B17872" s="121">
        <v>1495</v>
      </c>
      <c r="C17872" s="121">
        <v>4</v>
      </c>
      <c r="D17872" s="734">
        <v>135.54737974932348</v>
      </c>
      <c r="E17872" s="733"/>
    </row>
    <row r="17873" spans="2:5">
      <c r="B17873" s="121">
        <v>1495</v>
      </c>
      <c r="C17873" s="121">
        <v>5</v>
      </c>
      <c r="D17873" s="734">
        <v>146.79598644902029</v>
      </c>
      <c r="E17873" s="733"/>
    </row>
    <row r="17874" spans="2:5">
      <c r="B17874" s="121">
        <v>1495</v>
      </c>
      <c r="C17874" s="121">
        <v>6</v>
      </c>
      <c r="D17874" s="734">
        <v>143.95578189381447</v>
      </c>
      <c r="E17874" s="733"/>
    </row>
    <row r="17875" spans="2:5">
      <c r="B17875" s="121">
        <v>1495</v>
      </c>
      <c r="C17875" s="121">
        <v>7</v>
      </c>
      <c r="D17875" s="734">
        <v>136.68159271295198</v>
      </c>
      <c r="E17875" s="733"/>
    </row>
    <row r="17876" spans="2:5">
      <c r="B17876" s="121">
        <v>1496</v>
      </c>
      <c r="C17876" s="121">
        <v>1</v>
      </c>
      <c r="D17876" s="734">
        <v>5</v>
      </c>
      <c r="E17876" s="733"/>
    </row>
    <row r="17877" spans="2:5">
      <c r="B17877" s="121">
        <v>1496</v>
      </c>
      <c r="C17877" s="121">
        <v>2</v>
      </c>
      <c r="D17877" s="734">
        <v>99.001446493071583</v>
      </c>
      <c r="E17877" s="733"/>
    </row>
    <row r="17878" spans="2:5">
      <c r="B17878" s="121">
        <v>1496</v>
      </c>
      <c r="C17878" s="121">
        <v>3</v>
      </c>
      <c r="D17878" s="734">
        <v>122.82512011388566</v>
      </c>
      <c r="E17878" s="733"/>
    </row>
    <row r="17879" spans="2:5">
      <c r="B17879" s="121">
        <v>1496</v>
      </c>
      <c r="C17879" s="121">
        <v>4</v>
      </c>
      <c r="D17879" s="734">
        <v>145.95310826065437</v>
      </c>
      <c r="E17879" s="733"/>
    </row>
    <row r="17880" spans="2:5">
      <c r="B17880" s="121">
        <v>1496</v>
      </c>
      <c r="C17880" s="121">
        <v>5</v>
      </c>
      <c r="D17880" s="734">
        <v>139.70424602360714</v>
      </c>
      <c r="E17880" s="733"/>
    </row>
    <row r="17881" spans="2:5">
      <c r="B17881" s="121">
        <v>1496</v>
      </c>
      <c r="C17881" s="121">
        <v>6</v>
      </c>
      <c r="D17881" s="734">
        <v>136.36067588651784</v>
      </c>
      <c r="E17881" s="733"/>
    </row>
    <row r="17882" spans="2:5">
      <c r="B17882" s="121">
        <v>1496</v>
      </c>
      <c r="C17882" s="121">
        <v>7</v>
      </c>
      <c r="D17882" s="734">
        <v>142.62373381057657</v>
      </c>
      <c r="E17882" s="733"/>
    </row>
    <row r="17883" spans="2:5">
      <c r="B17883" s="121">
        <v>1496</v>
      </c>
      <c r="C17883" s="121">
        <v>8</v>
      </c>
      <c r="D17883" s="734">
        <v>144.53696865398598</v>
      </c>
      <c r="E17883" s="733"/>
    </row>
    <row r="17884" spans="2:5">
      <c r="B17884" s="121">
        <v>1496</v>
      </c>
      <c r="C17884" s="121">
        <v>9</v>
      </c>
      <c r="D17884" s="734">
        <v>139.26085180453694</v>
      </c>
      <c r="E17884" s="733"/>
    </row>
    <row r="17885" spans="2:5">
      <c r="B17885" s="121">
        <v>1496</v>
      </c>
      <c r="C17885" s="121">
        <v>10</v>
      </c>
      <c r="D17885" s="734">
        <v>143.76336295565554</v>
      </c>
      <c r="E17885" s="733"/>
    </row>
    <row r="17886" spans="2:5">
      <c r="B17886" s="121">
        <v>1496</v>
      </c>
      <c r="C17886" s="121">
        <v>11</v>
      </c>
      <c r="D17886" s="734">
        <v>142.46996548171776</v>
      </c>
      <c r="E17886" s="733"/>
    </row>
    <row r="17887" spans="2:5">
      <c r="B17887" s="121">
        <v>1496</v>
      </c>
      <c r="C17887" s="121">
        <v>12</v>
      </c>
      <c r="D17887" s="734">
        <v>146.75485799781848</v>
      </c>
      <c r="E17887" s="733"/>
    </row>
    <row r="17888" spans="2:5">
      <c r="B17888" s="121">
        <v>1496</v>
      </c>
      <c r="C17888" s="121">
        <v>13</v>
      </c>
      <c r="D17888" s="734">
        <v>136.77143987958897</v>
      </c>
      <c r="E17888" s="733"/>
    </row>
    <row r="17889" spans="2:5">
      <c r="B17889" s="121">
        <v>1496</v>
      </c>
      <c r="C17889" s="121">
        <v>14</v>
      </c>
      <c r="D17889" s="734">
        <v>141.54864383043261</v>
      </c>
      <c r="E17889" s="733"/>
    </row>
    <row r="17890" spans="2:5">
      <c r="B17890" s="121">
        <v>1496</v>
      </c>
      <c r="C17890" s="121">
        <v>15</v>
      </c>
      <c r="D17890" s="734">
        <v>139.67867511950612</v>
      </c>
      <c r="E17890" s="733"/>
    </row>
    <row r="17891" spans="2:5">
      <c r="B17891" s="121">
        <v>1496</v>
      </c>
      <c r="C17891" s="121">
        <v>16</v>
      </c>
      <c r="D17891" s="734">
        <v>145.50983542678472</v>
      </c>
      <c r="E17891" s="733"/>
    </row>
    <row r="17892" spans="2:5">
      <c r="B17892" s="121">
        <v>1496</v>
      </c>
      <c r="C17892" s="121">
        <v>17</v>
      </c>
      <c r="D17892" s="734">
        <v>137.36239566680484</v>
      </c>
      <c r="E17892" s="733"/>
    </row>
    <row r="17893" spans="2:5">
      <c r="B17893" s="121">
        <v>1496</v>
      </c>
      <c r="C17893" s="121">
        <v>18</v>
      </c>
      <c r="D17893" s="734">
        <v>142.50463108329123</v>
      </c>
      <c r="E17893" s="733"/>
    </row>
    <row r="17894" spans="2:5">
      <c r="B17894" s="121">
        <v>1496</v>
      </c>
      <c r="C17894" s="121">
        <v>19</v>
      </c>
      <c r="D17894" s="734">
        <v>146.45392758192159</v>
      </c>
      <c r="E17894" s="733"/>
    </row>
    <row r="17895" spans="2:5">
      <c r="B17895" s="121">
        <v>1496</v>
      </c>
      <c r="C17895" s="121">
        <v>20</v>
      </c>
      <c r="D17895" s="734">
        <v>138.27834913429194</v>
      </c>
      <c r="E17895" s="733"/>
    </row>
    <row r="17896" spans="2:5">
      <c r="B17896" s="121">
        <v>1496</v>
      </c>
      <c r="C17896" s="121">
        <v>21</v>
      </c>
      <c r="D17896" s="734">
        <v>146.08358738681844</v>
      </c>
      <c r="E17896" s="733"/>
    </row>
    <row r="17897" spans="2:5">
      <c r="B17897" s="121">
        <v>1496</v>
      </c>
      <c r="C17897" s="121">
        <v>22</v>
      </c>
      <c r="D17897" s="734">
        <v>145.03547892884558</v>
      </c>
      <c r="E17897" s="733"/>
    </row>
    <row r="17898" spans="2:5">
      <c r="B17898" s="121">
        <v>1496</v>
      </c>
      <c r="C17898" s="121">
        <v>23</v>
      </c>
      <c r="D17898" s="734">
        <v>136.2336282605456</v>
      </c>
      <c r="E17898" s="733"/>
    </row>
    <row r="17899" spans="2:5">
      <c r="B17899" s="121">
        <v>1496</v>
      </c>
      <c r="C17899" s="121">
        <v>24</v>
      </c>
      <c r="D17899" s="734">
        <v>146.01019461084903</v>
      </c>
      <c r="E17899" s="733"/>
    </row>
    <row r="17900" spans="2:5">
      <c r="B17900" s="121">
        <v>1496</v>
      </c>
      <c r="C17900" s="121">
        <v>25</v>
      </c>
      <c r="D17900" s="734">
        <v>146.29487910786744</v>
      </c>
      <c r="E17900" s="733"/>
    </row>
    <row r="17901" spans="2:5">
      <c r="B17901" s="121">
        <v>1496</v>
      </c>
      <c r="C17901" s="121">
        <v>26</v>
      </c>
      <c r="D17901" s="734">
        <v>136.37652907242185</v>
      </c>
      <c r="E17901" s="733"/>
    </row>
    <row r="17902" spans="2:5">
      <c r="B17902" s="121">
        <v>1496</v>
      </c>
      <c r="C17902" s="121">
        <v>27</v>
      </c>
      <c r="D17902" s="734">
        <v>141.87411364813244</v>
      </c>
      <c r="E17902" s="733"/>
    </row>
    <row r="17903" spans="2:5">
      <c r="B17903" s="121">
        <v>1496</v>
      </c>
      <c r="C17903" s="121">
        <v>28</v>
      </c>
      <c r="D17903" s="734">
        <v>134.30028816018</v>
      </c>
      <c r="E17903" s="733"/>
    </row>
    <row r="17904" spans="2:5">
      <c r="B17904" s="121">
        <v>1496</v>
      </c>
      <c r="C17904" s="121">
        <v>29</v>
      </c>
      <c r="D17904" s="734">
        <v>142.43843320507369</v>
      </c>
      <c r="E17904" s="733"/>
    </row>
    <row r="17905" spans="2:5">
      <c r="B17905" s="121">
        <v>1496</v>
      </c>
      <c r="C17905" s="121">
        <v>30</v>
      </c>
      <c r="D17905" s="734">
        <v>141.28854655557669</v>
      </c>
      <c r="E17905" s="733"/>
    </row>
    <row r="17906" spans="2:5">
      <c r="B17906" s="121">
        <v>1496</v>
      </c>
      <c r="C17906" s="121">
        <v>31</v>
      </c>
      <c r="D17906" s="734">
        <v>142.98406464365689</v>
      </c>
      <c r="E17906" s="733"/>
    </row>
    <row r="17907" spans="2:5">
      <c r="B17907" s="121">
        <v>1496</v>
      </c>
      <c r="C17907" s="121">
        <v>32</v>
      </c>
      <c r="D17907" s="734">
        <v>146.08080132735577</v>
      </c>
      <c r="E17907" s="733"/>
    </row>
    <row r="17908" spans="2:5">
      <c r="B17908" s="121">
        <v>1496</v>
      </c>
      <c r="C17908" s="121">
        <v>33</v>
      </c>
      <c r="D17908" s="734">
        <v>136.77825995072254</v>
      </c>
      <c r="E17908" s="733"/>
    </row>
    <row r="17909" spans="2:5">
      <c r="B17909" s="121">
        <v>1496</v>
      </c>
      <c r="C17909" s="121">
        <v>34</v>
      </c>
      <c r="D17909" s="734">
        <v>144.542360612598</v>
      </c>
      <c r="E17909" s="733"/>
    </row>
    <row r="17910" spans="2:5">
      <c r="B17910" s="121">
        <v>1496</v>
      </c>
      <c r="C17910" s="121">
        <v>35</v>
      </c>
      <c r="D17910" s="734">
        <v>134.3237427778478</v>
      </c>
      <c r="E17910" s="733"/>
    </row>
    <row r="17911" spans="2:5">
      <c r="B17911" s="121">
        <v>1496</v>
      </c>
      <c r="C17911" s="121">
        <v>36</v>
      </c>
      <c r="D17911" s="734">
        <v>137.81090232608068</v>
      </c>
      <c r="E17911" s="733"/>
    </row>
    <row r="17912" spans="2:5">
      <c r="B17912" s="121">
        <v>1497</v>
      </c>
      <c r="C17912" s="121">
        <v>1</v>
      </c>
      <c r="D17912" s="734">
        <v>5</v>
      </c>
      <c r="E17912" s="733"/>
    </row>
    <row r="17913" spans="2:5">
      <c r="B17913" s="121">
        <v>1498</v>
      </c>
      <c r="C17913" s="121">
        <v>1</v>
      </c>
      <c r="D17913" s="734">
        <v>5</v>
      </c>
      <c r="E17913" s="733"/>
    </row>
    <row r="17914" spans="2:5">
      <c r="B17914" s="121">
        <v>1498</v>
      </c>
      <c r="C17914" s="121">
        <v>2</v>
      </c>
      <c r="D17914" s="734">
        <v>98.36256556689122</v>
      </c>
      <c r="E17914" s="733"/>
    </row>
    <row r="17915" spans="2:5">
      <c r="B17915" s="121">
        <v>1498</v>
      </c>
      <c r="C17915" s="121">
        <v>3</v>
      </c>
      <c r="D17915" s="734">
        <v>115.89080604883604</v>
      </c>
      <c r="E17915" s="733"/>
    </row>
    <row r="17916" spans="2:5">
      <c r="B17916" s="121">
        <v>1498</v>
      </c>
      <c r="C17916" s="121">
        <v>4</v>
      </c>
      <c r="D17916" s="734">
        <v>142.45582770898957</v>
      </c>
      <c r="E17916" s="733"/>
    </row>
    <row r="17917" spans="2:5">
      <c r="B17917" s="121">
        <v>1498</v>
      </c>
      <c r="C17917" s="121">
        <v>5</v>
      </c>
      <c r="D17917" s="734">
        <v>140.81887418011183</v>
      </c>
      <c r="E17917" s="733"/>
    </row>
    <row r="17918" spans="2:5">
      <c r="B17918" s="121">
        <v>1498</v>
      </c>
      <c r="C17918" s="121">
        <v>6</v>
      </c>
      <c r="D17918" s="734">
        <v>139.69341226089713</v>
      </c>
      <c r="E17918" s="733"/>
    </row>
    <row r="17919" spans="2:5">
      <c r="B17919" s="121">
        <v>1498</v>
      </c>
      <c r="C17919" s="121">
        <v>7</v>
      </c>
      <c r="D17919" s="734">
        <v>135.92259612093946</v>
      </c>
      <c r="E17919" s="733"/>
    </row>
    <row r="17920" spans="2:5">
      <c r="B17920" s="121">
        <v>1498</v>
      </c>
      <c r="C17920" s="121">
        <v>8</v>
      </c>
      <c r="D17920" s="734">
        <v>141.00961316593549</v>
      </c>
      <c r="E17920" s="733"/>
    </row>
    <row r="17921" spans="2:5">
      <c r="B17921" s="121">
        <v>1498</v>
      </c>
      <c r="C17921" s="121">
        <v>9</v>
      </c>
      <c r="D17921" s="734">
        <v>143.66986363562987</v>
      </c>
      <c r="E17921" s="733"/>
    </row>
    <row r="17922" spans="2:5">
      <c r="B17922" s="121">
        <v>1498</v>
      </c>
      <c r="C17922" s="121">
        <v>10</v>
      </c>
      <c r="D17922" s="734">
        <v>144.07197955899653</v>
      </c>
      <c r="E17922" s="733"/>
    </row>
    <row r="17923" spans="2:5">
      <c r="B17923" s="121">
        <v>1498</v>
      </c>
      <c r="C17923" s="121">
        <v>11</v>
      </c>
      <c r="D17923" s="734">
        <v>146.25226159721305</v>
      </c>
      <c r="E17923" s="733"/>
    </row>
    <row r="17924" spans="2:5">
      <c r="B17924" s="121">
        <v>1498</v>
      </c>
      <c r="C17924" s="121">
        <v>12</v>
      </c>
      <c r="D17924" s="734">
        <v>145.32202211321609</v>
      </c>
      <c r="E17924" s="733"/>
    </row>
    <row r="17925" spans="2:5">
      <c r="B17925" s="121">
        <v>1498</v>
      </c>
      <c r="C17925" s="121">
        <v>13</v>
      </c>
      <c r="D17925" s="734">
        <v>143.625562338397</v>
      </c>
      <c r="E17925" s="733"/>
    </row>
    <row r="17926" spans="2:5">
      <c r="B17926" s="121">
        <v>1498</v>
      </c>
      <c r="C17926" s="121">
        <v>14</v>
      </c>
      <c r="D17926" s="734">
        <v>143.61317944352385</v>
      </c>
      <c r="E17926" s="733"/>
    </row>
    <row r="17927" spans="2:5">
      <c r="B17927" s="121">
        <v>1498</v>
      </c>
      <c r="C17927" s="121">
        <v>15</v>
      </c>
      <c r="D17927" s="734">
        <v>136.7222515265828</v>
      </c>
      <c r="E17927" s="733"/>
    </row>
    <row r="17928" spans="2:5">
      <c r="B17928" s="121">
        <v>1498</v>
      </c>
      <c r="C17928" s="121">
        <v>16</v>
      </c>
      <c r="D17928" s="734">
        <v>137.76865705486915</v>
      </c>
      <c r="E17928" s="733"/>
    </row>
    <row r="17929" spans="2:5">
      <c r="B17929" s="121">
        <v>1498</v>
      </c>
      <c r="C17929" s="121">
        <v>17</v>
      </c>
      <c r="D17929" s="734">
        <v>139.75652495361138</v>
      </c>
      <c r="E17929" s="733"/>
    </row>
    <row r="17930" spans="2:5">
      <c r="B17930" s="121">
        <v>1498</v>
      </c>
      <c r="C17930" s="121">
        <v>18</v>
      </c>
      <c r="D17930" s="734">
        <v>142.97993970431</v>
      </c>
      <c r="E17930" s="733"/>
    </row>
    <row r="17931" spans="2:5">
      <c r="B17931" s="121">
        <v>1498</v>
      </c>
      <c r="C17931" s="121">
        <v>19</v>
      </c>
      <c r="D17931" s="734">
        <v>144.49359820679953</v>
      </c>
      <c r="E17931" s="733"/>
    </row>
    <row r="17932" spans="2:5">
      <c r="B17932" s="121">
        <v>1498</v>
      </c>
      <c r="C17932" s="121">
        <v>20</v>
      </c>
      <c r="D17932" s="734">
        <v>134.72127775042213</v>
      </c>
      <c r="E17932" s="733"/>
    </row>
    <row r="17933" spans="2:5">
      <c r="B17933" s="121">
        <v>1498</v>
      </c>
      <c r="C17933" s="121">
        <v>21</v>
      </c>
      <c r="D17933" s="734">
        <v>142.24849190995809</v>
      </c>
      <c r="E17933" s="733"/>
    </row>
    <row r="17934" spans="2:5">
      <c r="B17934" s="121">
        <v>1498</v>
      </c>
      <c r="C17934" s="121">
        <v>22</v>
      </c>
      <c r="D17934" s="734">
        <v>146.21589532591571</v>
      </c>
      <c r="E17934" s="733"/>
    </row>
    <row r="17935" spans="2:5">
      <c r="B17935" s="121">
        <v>1498</v>
      </c>
      <c r="C17935" s="121">
        <v>23</v>
      </c>
      <c r="D17935" s="734">
        <v>138.77028931040266</v>
      </c>
      <c r="E17935" s="733"/>
    </row>
    <row r="17936" spans="2:5">
      <c r="B17936" s="121">
        <v>1498</v>
      </c>
      <c r="C17936" s="121">
        <v>24</v>
      </c>
      <c r="D17936" s="734">
        <v>145.92832148244744</v>
      </c>
      <c r="E17936" s="733"/>
    </row>
    <row r="17937" spans="2:5">
      <c r="B17937" s="121">
        <v>1498</v>
      </c>
      <c r="C17937" s="121">
        <v>25</v>
      </c>
      <c r="D17937" s="734">
        <v>139.92913253363207</v>
      </c>
      <c r="E17937" s="733"/>
    </row>
    <row r="17938" spans="2:5">
      <c r="B17938" s="121">
        <v>1498</v>
      </c>
      <c r="C17938" s="121">
        <v>26</v>
      </c>
      <c r="D17938" s="734">
        <v>142.78597098688843</v>
      </c>
      <c r="E17938" s="733"/>
    </row>
    <row r="17939" spans="2:5">
      <c r="B17939" s="121">
        <v>1498</v>
      </c>
      <c r="C17939" s="121">
        <v>27</v>
      </c>
      <c r="D17939" s="734">
        <v>135.68959080094166</v>
      </c>
      <c r="E17939" s="733"/>
    </row>
    <row r="17940" spans="2:5">
      <c r="B17940" s="121">
        <v>1498</v>
      </c>
      <c r="C17940" s="121">
        <v>28</v>
      </c>
      <c r="D17940" s="734">
        <v>143.03196727273635</v>
      </c>
      <c r="E17940" s="733"/>
    </row>
    <row r="17941" spans="2:5">
      <c r="B17941" s="121">
        <v>1498</v>
      </c>
      <c r="C17941" s="121">
        <v>29</v>
      </c>
      <c r="D17941" s="734">
        <v>137.20167089508988</v>
      </c>
      <c r="E17941" s="733"/>
    </row>
    <row r="17942" spans="2:5">
      <c r="B17942" s="121">
        <v>1498</v>
      </c>
      <c r="C17942" s="121">
        <v>30</v>
      </c>
      <c r="D17942" s="734">
        <v>145.22112953141379</v>
      </c>
      <c r="E17942" s="733"/>
    </row>
    <row r="17943" spans="2:5">
      <c r="B17943" s="121">
        <v>1498</v>
      </c>
      <c r="C17943" s="121">
        <v>31</v>
      </c>
      <c r="D17943" s="734">
        <v>141.57701126545686</v>
      </c>
      <c r="E17943" s="733"/>
    </row>
    <row r="17944" spans="2:5">
      <c r="B17944" s="121">
        <v>1498</v>
      </c>
      <c r="C17944" s="121">
        <v>32</v>
      </c>
      <c r="D17944" s="734">
        <v>145.82850018576073</v>
      </c>
      <c r="E17944" s="733"/>
    </row>
    <row r="17945" spans="2:5">
      <c r="B17945" s="121">
        <v>1498</v>
      </c>
      <c r="C17945" s="121">
        <v>33</v>
      </c>
      <c r="D17945" s="734">
        <v>144.0332141374775</v>
      </c>
      <c r="E17945" s="733"/>
    </row>
    <row r="17946" spans="2:5">
      <c r="B17946" s="121">
        <v>1498</v>
      </c>
      <c r="C17946" s="121">
        <v>34</v>
      </c>
      <c r="D17946" s="734">
        <v>144.37551646633216</v>
      </c>
      <c r="E17946" s="733"/>
    </row>
    <row r="17947" spans="2:5">
      <c r="B17947" s="121">
        <v>1498</v>
      </c>
      <c r="C17947" s="121">
        <v>35</v>
      </c>
      <c r="D17947" s="734">
        <v>134.59257098514877</v>
      </c>
      <c r="E17947" s="733"/>
    </row>
    <row r="17948" spans="2:5">
      <c r="B17948" s="121">
        <v>1498</v>
      </c>
      <c r="C17948" s="121">
        <v>36</v>
      </c>
      <c r="D17948" s="734">
        <v>144.59756545690792</v>
      </c>
      <c r="E17948" s="733"/>
    </row>
    <row r="17949" spans="2:5">
      <c r="B17949" s="121">
        <v>1499</v>
      </c>
      <c r="C17949" s="121">
        <v>1</v>
      </c>
      <c r="D17949" s="734">
        <v>5</v>
      </c>
      <c r="E17949" s="733"/>
    </row>
    <row r="17950" spans="2:5">
      <c r="B17950" s="121">
        <v>1499</v>
      </c>
      <c r="C17950" s="121">
        <v>2</v>
      </c>
      <c r="D17950" s="734">
        <v>103.15873353733278</v>
      </c>
      <c r="E17950" s="733"/>
    </row>
    <row r="17951" spans="2:5">
      <c r="B17951" s="121">
        <v>1499</v>
      </c>
      <c r="C17951" s="121">
        <v>3</v>
      </c>
      <c r="D17951" s="734">
        <v>121.05417629773125</v>
      </c>
      <c r="E17951" s="733"/>
    </row>
    <row r="17952" spans="2:5">
      <c r="B17952" s="121">
        <v>1499</v>
      </c>
      <c r="C17952" s="121">
        <v>4</v>
      </c>
      <c r="D17952" s="734">
        <v>133.70855771067443</v>
      </c>
      <c r="E17952" s="733"/>
    </row>
    <row r="17953" spans="2:5">
      <c r="B17953" s="121">
        <v>1500</v>
      </c>
      <c r="C17953" s="121">
        <v>1</v>
      </c>
      <c r="D17953" s="734">
        <v>5</v>
      </c>
      <c r="E17953" s="733"/>
    </row>
    <row r="17954" spans="2:5">
      <c r="B17954" s="121">
        <v>1501</v>
      </c>
      <c r="C17954" s="121">
        <v>1</v>
      </c>
      <c r="D17954" s="734">
        <v>5</v>
      </c>
      <c r="E17954" s="733"/>
    </row>
    <row r="17955" spans="2:5">
      <c r="B17955" s="121">
        <v>1501</v>
      </c>
      <c r="C17955" s="121">
        <v>2</v>
      </c>
      <c r="D17955" s="734">
        <v>98.162830910526864</v>
      </c>
      <c r="E17955" s="733"/>
    </row>
    <row r="17956" spans="2:5">
      <c r="B17956" s="121">
        <v>1501</v>
      </c>
      <c r="C17956" s="121">
        <v>3</v>
      </c>
      <c r="D17956" s="734">
        <v>114.74340932313291</v>
      </c>
      <c r="E17956" s="733"/>
    </row>
    <row r="17957" spans="2:5">
      <c r="B17957" s="121">
        <v>1501</v>
      </c>
      <c r="C17957" s="121">
        <v>4</v>
      </c>
      <c r="D17957" s="734">
        <v>144.96709349394581</v>
      </c>
      <c r="E17957" s="733"/>
    </row>
    <row r="17958" spans="2:5">
      <c r="B17958" s="121">
        <v>1501</v>
      </c>
      <c r="C17958" s="121">
        <v>5</v>
      </c>
      <c r="D17958" s="734">
        <v>141.76070933208828</v>
      </c>
      <c r="E17958" s="733"/>
    </row>
    <row r="17959" spans="2:5">
      <c r="B17959" s="121">
        <v>1501</v>
      </c>
      <c r="C17959" s="121">
        <v>6</v>
      </c>
      <c r="D17959" s="734">
        <v>137.40475518450552</v>
      </c>
      <c r="E17959" s="733"/>
    </row>
    <row r="17960" spans="2:5">
      <c r="B17960" s="121">
        <v>1501</v>
      </c>
      <c r="C17960" s="121">
        <v>7</v>
      </c>
      <c r="D17960" s="734">
        <v>135.04422138287728</v>
      </c>
      <c r="E17960" s="733"/>
    </row>
    <row r="17961" spans="2:5">
      <c r="B17961" s="121">
        <v>1501</v>
      </c>
      <c r="C17961" s="121">
        <v>8</v>
      </c>
      <c r="D17961" s="734">
        <v>137.49705931089284</v>
      </c>
      <c r="E17961" s="733"/>
    </row>
    <row r="17962" spans="2:5">
      <c r="B17962" s="121">
        <v>1501</v>
      </c>
      <c r="C17962" s="121">
        <v>9</v>
      </c>
      <c r="D17962" s="734">
        <v>138.99426483650043</v>
      </c>
      <c r="E17962" s="733"/>
    </row>
    <row r="17963" spans="2:5">
      <c r="B17963" s="121">
        <v>1501</v>
      </c>
      <c r="C17963" s="121">
        <v>10</v>
      </c>
      <c r="D17963" s="734">
        <v>138.92349576111465</v>
      </c>
      <c r="E17963" s="733"/>
    </row>
    <row r="17964" spans="2:5">
      <c r="B17964" s="121">
        <v>1501</v>
      </c>
      <c r="C17964" s="121">
        <v>11</v>
      </c>
      <c r="D17964" s="734">
        <v>134.73669221649322</v>
      </c>
      <c r="E17964" s="733"/>
    </row>
    <row r="17965" spans="2:5">
      <c r="B17965" s="121">
        <v>1501</v>
      </c>
      <c r="C17965" s="121">
        <v>12</v>
      </c>
      <c r="D17965" s="734">
        <v>137.29619405094388</v>
      </c>
      <c r="E17965" s="733"/>
    </row>
    <row r="17966" spans="2:5">
      <c r="B17966" s="121">
        <v>1501</v>
      </c>
      <c r="C17966" s="121">
        <v>13</v>
      </c>
      <c r="D17966" s="734">
        <v>134.64908715519951</v>
      </c>
      <c r="E17966" s="733"/>
    </row>
    <row r="17967" spans="2:5">
      <c r="B17967" s="121">
        <v>1501</v>
      </c>
      <c r="C17967" s="121">
        <v>14</v>
      </c>
      <c r="D17967" s="734">
        <v>135.01185292730938</v>
      </c>
      <c r="E17967" s="733"/>
    </row>
    <row r="17968" spans="2:5">
      <c r="B17968" s="121">
        <v>1502</v>
      </c>
      <c r="C17968" s="121">
        <v>1</v>
      </c>
      <c r="D17968" s="734">
        <v>5</v>
      </c>
      <c r="E17968" s="733"/>
    </row>
    <row r="17969" spans="2:5">
      <c r="B17969" s="121">
        <v>1502</v>
      </c>
      <c r="C17969" s="121">
        <v>2</v>
      </c>
      <c r="D17969" s="734">
        <v>98.102443682997304</v>
      </c>
      <c r="E17969" s="733"/>
    </row>
    <row r="17970" spans="2:5">
      <c r="B17970" s="121">
        <v>1502</v>
      </c>
      <c r="C17970" s="121">
        <v>3</v>
      </c>
      <c r="D17970" s="734">
        <v>119.13458500539892</v>
      </c>
      <c r="E17970" s="733"/>
    </row>
    <row r="17971" spans="2:5">
      <c r="B17971" s="121">
        <v>1502</v>
      </c>
      <c r="C17971" s="121">
        <v>4</v>
      </c>
      <c r="D17971" s="734">
        <v>144.27289391019698</v>
      </c>
      <c r="E17971" s="733"/>
    </row>
    <row r="17972" spans="2:5">
      <c r="B17972" s="121">
        <v>1502</v>
      </c>
      <c r="C17972" s="121">
        <v>5</v>
      </c>
      <c r="D17972" s="734">
        <v>142.30925699493159</v>
      </c>
      <c r="E17972" s="733"/>
    </row>
    <row r="17973" spans="2:5">
      <c r="B17973" s="121">
        <v>1502</v>
      </c>
      <c r="C17973" s="121">
        <v>6</v>
      </c>
      <c r="D17973" s="734">
        <v>140.50192952890896</v>
      </c>
      <c r="E17973" s="733"/>
    </row>
    <row r="17974" spans="2:5">
      <c r="B17974" s="121">
        <v>1502</v>
      </c>
      <c r="C17974" s="121">
        <v>7</v>
      </c>
      <c r="D17974" s="734">
        <v>142.82648870079325</v>
      </c>
      <c r="E17974" s="733"/>
    </row>
    <row r="17975" spans="2:5">
      <c r="B17975" s="121">
        <v>1502</v>
      </c>
      <c r="C17975" s="121">
        <v>8</v>
      </c>
      <c r="D17975" s="734">
        <v>143.08861245978594</v>
      </c>
      <c r="E17975" s="733"/>
    </row>
    <row r="17976" spans="2:5">
      <c r="B17976" s="121">
        <v>1502</v>
      </c>
      <c r="C17976" s="121">
        <v>9</v>
      </c>
      <c r="D17976" s="734">
        <v>141.75041751867286</v>
      </c>
      <c r="E17976" s="733"/>
    </row>
    <row r="17977" spans="2:5">
      <c r="B17977" s="121">
        <v>1502</v>
      </c>
      <c r="C17977" s="121">
        <v>10</v>
      </c>
      <c r="D17977" s="734">
        <v>143.28083530105152</v>
      </c>
      <c r="E17977" s="733"/>
    </row>
    <row r="17978" spans="2:5">
      <c r="B17978" s="121">
        <v>1502</v>
      </c>
      <c r="C17978" s="121">
        <v>11</v>
      </c>
      <c r="D17978" s="734">
        <v>144.67935155732368</v>
      </c>
      <c r="E17978" s="733"/>
    </row>
    <row r="17979" spans="2:5">
      <c r="B17979" s="121">
        <v>1502</v>
      </c>
      <c r="C17979" s="121">
        <v>12</v>
      </c>
      <c r="D17979" s="734">
        <v>139.70029512628506</v>
      </c>
      <c r="E17979" s="733"/>
    </row>
    <row r="17980" spans="2:5">
      <c r="B17980" s="121">
        <v>1502</v>
      </c>
      <c r="C17980" s="121">
        <v>13</v>
      </c>
      <c r="D17980" s="734">
        <v>143.85988187559937</v>
      </c>
      <c r="E17980" s="733"/>
    </row>
    <row r="17981" spans="2:5">
      <c r="B17981" s="121">
        <v>1502</v>
      </c>
      <c r="C17981" s="121">
        <v>14</v>
      </c>
      <c r="D17981" s="734">
        <v>140.23009378031745</v>
      </c>
      <c r="E17981" s="733"/>
    </row>
    <row r="17982" spans="2:5">
      <c r="B17982" s="121">
        <v>1502</v>
      </c>
      <c r="C17982" s="121">
        <v>15</v>
      </c>
      <c r="D17982" s="734">
        <v>134.18561425532127</v>
      </c>
      <c r="E17982" s="733"/>
    </row>
    <row r="17983" spans="2:5">
      <c r="B17983" s="121">
        <v>1502</v>
      </c>
      <c r="C17983" s="121">
        <v>16</v>
      </c>
      <c r="D17983" s="734">
        <v>133.68426262894994</v>
      </c>
      <c r="E17983" s="733"/>
    </row>
    <row r="17984" spans="2:5">
      <c r="B17984" s="121">
        <v>1502</v>
      </c>
      <c r="C17984" s="121">
        <v>17</v>
      </c>
      <c r="D17984" s="734">
        <v>145.98631500367128</v>
      </c>
      <c r="E17984" s="733"/>
    </row>
    <row r="17985" spans="2:5">
      <c r="B17985" s="121">
        <v>1502</v>
      </c>
      <c r="C17985" s="121">
        <v>18</v>
      </c>
      <c r="D17985" s="734">
        <v>139.27293253657209</v>
      </c>
      <c r="E17985" s="733"/>
    </row>
    <row r="17986" spans="2:5">
      <c r="B17986" s="121">
        <v>1502</v>
      </c>
      <c r="C17986" s="121">
        <v>19</v>
      </c>
      <c r="D17986" s="734">
        <v>138.88030224556411</v>
      </c>
      <c r="E17986" s="733"/>
    </row>
    <row r="17987" spans="2:5">
      <c r="B17987" s="121">
        <v>1502</v>
      </c>
      <c r="C17987" s="121">
        <v>20</v>
      </c>
      <c r="D17987" s="734">
        <v>135.33085013086557</v>
      </c>
      <c r="E17987" s="733"/>
    </row>
    <row r="17988" spans="2:5">
      <c r="B17988" s="121">
        <v>1502</v>
      </c>
      <c r="C17988" s="121">
        <v>21</v>
      </c>
      <c r="D17988" s="734">
        <v>136.91337828877064</v>
      </c>
      <c r="E17988" s="733"/>
    </row>
    <row r="17989" spans="2:5">
      <c r="B17989" s="121">
        <v>1502</v>
      </c>
      <c r="C17989" s="121">
        <v>22</v>
      </c>
      <c r="D17989" s="734">
        <v>138.62083322809403</v>
      </c>
      <c r="E17989" s="733"/>
    </row>
    <row r="17990" spans="2:5">
      <c r="B17990" s="121">
        <v>1502</v>
      </c>
      <c r="C17990" s="121">
        <v>23</v>
      </c>
      <c r="D17990" s="734">
        <v>138.05606234498154</v>
      </c>
      <c r="E17990" s="733"/>
    </row>
    <row r="17991" spans="2:5">
      <c r="B17991" s="121">
        <v>1502</v>
      </c>
      <c r="C17991" s="121">
        <v>24</v>
      </c>
      <c r="D17991" s="734">
        <v>144.01063233855504</v>
      </c>
      <c r="E17991" s="733"/>
    </row>
    <row r="17992" spans="2:5">
      <c r="B17992" s="121">
        <v>1502</v>
      </c>
      <c r="C17992" s="121">
        <v>25</v>
      </c>
      <c r="D17992" s="734">
        <v>144.67816691006684</v>
      </c>
      <c r="E17992" s="733"/>
    </row>
    <row r="17993" spans="2:5">
      <c r="B17993" s="121">
        <v>1502</v>
      </c>
      <c r="C17993" s="121">
        <v>26</v>
      </c>
      <c r="D17993" s="734">
        <v>142.91146197951423</v>
      </c>
      <c r="E17993" s="733"/>
    </row>
    <row r="17994" spans="2:5">
      <c r="B17994" s="121">
        <v>1502</v>
      </c>
      <c r="C17994" s="121">
        <v>27</v>
      </c>
      <c r="D17994" s="734">
        <v>144.76945427816563</v>
      </c>
      <c r="E17994" s="733"/>
    </row>
    <row r="17995" spans="2:5">
      <c r="B17995" s="121">
        <v>1502</v>
      </c>
      <c r="C17995" s="121">
        <v>28</v>
      </c>
      <c r="D17995" s="734">
        <v>134.95382783852421</v>
      </c>
      <c r="E17995" s="733"/>
    </row>
    <row r="17996" spans="2:5">
      <c r="B17996" s="121">
        <v>1502</v>
      </c>
      <c r="C17996" s="121">
        <v>29</v>
      </c>
      <c r="D17996" s="734">
        <v>142.56283546165128</v>
      </c>
      <c r="E17996" s="733"/>
    </row>
    <row r="17997" spans="2:5">
      <c r="B17997" s="121">
        <v>1503</v>
      </c>
      <c r="C17997" s="121">
        <v>1</v>
      </c>
      <c r="D17997" s="734">
        <v>5</v>
      </c>
      <c r="E17997" s="733"/>
    </row>
    <row r="17998" spans="2:5">
      <c r="B17998" s="121">
        <v>1503</v>
      </c>
      <c r="C17998" s="121">
        <v>2</v>
      </c>
      <c r="D17998" s="734">
        <v>96.35671319817429</v>
      </c>
      <c r="E17998" s="733"/>
    </row>
    <row r="17999" spans="2:5">
      <c r="B17999" s="121">
        <v>1503</v>
      </c>
      <c r="C17999" s="121">
        <v>3</v>
      </c>
      <c r="D17999" s="734">
        <v>122.2443805060669</v>
      </c>
      <c r="E17999" s="733"/>
    </row>
    <row r="18000" spans="2:5">
      <c r="B18000" s="121">
        <v>1503</v>
      </c>
      <c r="C18000" s="121">
        <v>4</v>
      </c>
      <c r="D18000" s="734">
        <v>142.86705431853434</v>
      </c>
      <c r="E18000" s="733"/>
    </row>
    <row r="18001" spans="2:5">
      <c r="B18001" s="121">
        <v>1504</v>
      </c>
      <c r="C18001" s="121">
        <v>1</v>
      </c>
      <c r="D18001" s="734">
        <v>5</v>
      </c>
      <c r="E18001" s="733"/>
    </row>
    <row r="18002" spans="2:5">
      <c r="B18002" s="121">
        <v>1505</v>
      </c>
      <c r="C18002" s="121">
        <v>1</v>
      </c>
      <c r="D18002" s="734">
        <v>5</v>
      </c>
      <c r="E18002" s="733"/>
    </row>
    <row r="18003" spans="2:5">
      <c r="B18003" s="121">
        <v>1505</v>
      </c>
      <c r="C18003" s="121">
        <v>2</v>
      </c>
      <c r="D18003" s="734">
        <v>97.719257240011615</v>
      </c>
      <c r="E18003" s="733"/>
    </row>
    <row r="18004" spans="2:5">
      <c r="B18004" s="121">
        <v>1505</v>
      </c>
      <c r="C18004" s="121">
        <v>3</v>
      </c>
      <c r="D18004" s="734">
        <v>123.68483595270848</v>
      </c>
      <c r="E18004" s="733"/>
    </row>
    <row r="18005" spans="2:5">
      <c r="B18005" s="121">
        <v>1505</v>
      </c>
      <c r="C18005" s="121">
        <v>4</v>
      </c>
      <c r="D18005" s="734">
        <v>137.2270513202769</v>
      </c>
      <c r="E18005" s="733"/>
    </row>
    <row r="18006" spans="2:5">
      <c r="B18006" s="121">
        <v>1505</v>
      </c>
      <c r="C18006" s="121">
        <v>5</v>
      </c>
      <c r="D18006" s="734">
        <v>134.18201219256102</v>
      </c>
      <c r="E18006" s="733"/>
    </row>
    <row r="18007" spans="2:5">
      <c r="B18007" s="121">
        <v>1505</v>
      </c>
      <c r="C18007" s="121">
        <v>6</v>
      </c>
      <c r="D18007" s="734">
        <v>136.9773496593364</v>
      </c>
      <c r="E18007" s="733"/>
    </row>
    <row r="18008" spans="2:5">
      <c r="B18008" s="121">
        <v>1505</v>
      </c>
      <c r="C18008" s="121">
        <v>7</v>
      </c>
      <c r="D18008" s="734">
        <v>135.27431546015492</v>
      </c>
      <c r="E18008" s="733"/>
    </row>
    <row r="18009" spans="2:5">
      <c r="B18009" s="121">
        <v>1505</v>
      </c>
      <c r="C18009" s="121">
        <v>8</v>
      </c>
      <c r="D18009" s="734">
        <v>145.51140344883487</v>
      </c>
      <c r="E18009" s="733"/>
    </row>
    <row r="18010" spans="2:5">
      <c r="B18010" s="121">
        <v>1505</v>
      </c>
      <c r="C18010" s="121">
        <v>9</v>
      </c>
      <c r="D18010" s="734">
        <v>137.2276526788456</v>
      </c>
      <c r="E18010" s="733"/>
    </row>
    <row r="18011" spans="2:5">
      <c r="B18011" s="121">
        <v>1505</v>
      </c>
      <c r="C18011" s="121">
        <v>10</v>
      </c>
      <c r="D18011" s="734">
        <v>134.16904938026656</v>
      </c>
      <c r="E18011" s="733"/>
    </row>
    <row r="18012" spans="2:5">
      <c r="B18012" s="121">
        <v>1505</v>
      </c>
      <c r="C18012" s="121">
        <v>11</v>
      </c>
      <c r="D18012" s="734">
        <v>135.30841286241176</v>
      </c>
      <c r="E18012" s="733"/>
    </row>
    <row r="18013" spans="2:5">
      <c r="B18013" s="121">
        <v>1505</v>
      </c>
      <c r="C18013" s="121">
        <v>12</v>
      </c>
      <c r="D18013" s="734">
        <v>143.3709493168522</v>
      </c>
      <c r="E18013" s="733"/>
    </row>
    <row r="18014" spans="2:5">
      <c r="B18014" s="121">
        <v>1505</v>
      </c>
      <c r="C18014" s="121">
        <v>13</v>
      </c>
      <c r="D18014" s="734">
        <v>146.34978717602831</v>
      </c>
      <c r="E18014" s="733"/>
    </row>
    <row r="18015" spans="2:5">
      <c r="B18015" s="121">
        <v>1505</v>
      </c>
      <c r="C18015" s="121">
        <v>14</v>
      </c>
      <c r="D18015" s="734">
        <v>145.21416361512658</v>
      </c>
      <c r="E18015" s="733"/>
    </row>
    <row r="18016" spans="2:5">
      <c r="B18016" s="121">
        <v>1505</v>
      </c>
      <c r="C18016" s="121">
        <v>15</v>
      </c>
      <c r="D18016" s="734">
        <v>136.52422491893799</v>
      </c>
      <c r="E18016" s="733"/>
    </row>
    <row r="18017" spans="2:5">
      <c r="B18017" s="121">
        <v>1505</v>
      </c>
      <c r="C18017" s="121">
        <v>16</v>
      </c>
      <c r="D18017" s="734">
        <v>134.44795548162563</v>
      </c>
      <c r="E18017" s="733"/>
    </row>
    <row r="18018" spans="2:5">
      <c r="B18018" s="121">
        <v>1505</v>
      </c>
      <c r="C18018" s="121">
        <v>17</v>
      </c>
      <c r="D18018" s="734">
        <v>142.70744510858157</v>
      </c>
      <c r="E18018" s="733"/>
    </row>
    <row r="18019" spans="2:5">
      <c r="B18019" s="121">
        <v>1505</v>
      </c>
      <c r="C18019" s="121">
        <v>18</v>
      </c>
      <c r="D18019" s="734">
        <v>139.54469183396839</v>
      </c>
      <c r="E18019" s="733"/>
    </row>
    <row r="18020" spans="2:5">
      <c r="B18020" s="121">
        <v>1505</v>
      </c>
      <c r="C18020" s="121">
        <v>19</v>
      </c>
      <c r="D18020" s="734">
        <v>138.61097898381564</v>
      </c>
      <c r="E18020" s="733"/>
    </row>
    <row r="18021" spans="2:5">
      <c r="B18021" s="121">
        <v>1505</v>
      </c>
      <c r="C18021" s="121">
        <v>20</v>
      </c>
      <c r="D18021" s="734">
        <v>146.9806861867647</v>
      </c>
      <c r="E18021" s="733"/>
    </row>
    <row r="18022" spans="2:5">
      <c r="B18022" s="121">
        <v>1505</v>
      </c>
      <c r="C18022" s="121">
        <v>21</v>
      </c>
      <c r="D18022" s="734">
        <v>146.64905718077335</v>
      </c>
      <c r="E18022" s="733"/>
    </row>
    <row r="18023" spans="2:5">
      <c r="B18023" s="121">
        <v>1505</v>
      </c>
      <c r="C18023" s="121">
        <v>22</v>
      </c>
      <c r="D18023" s="734">
        <v>140.97502834518724</v>
      </c>
      <c r="E18023" s="733"/>
    </row>
    <row r="18024" spans="2:5">
      <c r="B18024" s="121">
        <v>1505</v>
      </c>
      <c r="C18024" s="121">
        <v>23</v>
      </c>
      <c r="D18024" s="734">
        <v>137.75006152081812</v>
      </c>
      <c r="E18024" s="733"/>
    </row>
    <row r="18025" spans="2:5">
      <c r="B18025" s="121">
        <v>1505</v>
      </c>
      <c r="C18025" s="121">
        <v>24</v>
      </c>
      <c r="D18025" s="734">
        <v>136.50345593939406</v>
      </c>
      <c r="E18025" s="733"/>
    </row>
    <row r="18026" spans="2:5">
      <c r="B18026" s="121">
        <v>1505</v>
      </c>
      <c r="C18026" s="121">
        <v>25</v>
      </c>
      <c r="D18026" s="734">
        <v>141.82162405506668</v>
      </c>
      <c r="E18026" s="733"/>
    </row>
    <row r="18027" spans="2:5">
      <c r="B18027" s="121">
        <v>1505</v>
      </c>
      <c r="C18027" s="121">
        <v>26</v>
      </c>
      <c r="D18027" s="734">
        <v>136.29748795336135</v>
      </c>
      <c r="E18027" s="733"/>
    </row>
    <row r="18028" spans="2:5">
      <c r="B18028" s="121">
        <v>1505</v>
      </c>
      <c r="C18028" s="121">
        <v>27</v>
      </c>
      <c r="D18028" s="734">
        <v>135.92277482609404</v>
      </c>
      <c r="E18028" s="733"/>
    </row>
    <row r="18029" spans="2:5">
      <c r="B18029" s="121">
        <v>1505</v>
      </c>
      <c r="C18029" s="121">
        <v>28</v>
      </c>
      <c r="D18029" s="734">
        <v>139.26735379995034</v>
      </c>
      <c r="E18029" s="733"/>
    </row>
    <row r="18030" spans="2:5">
      <c r="B18030" s="121">
        <v>1505</v>
      </c>
      <c r="C18030" s="121">
        <v>29</v>
      </c>
      <c r="D18030" s="734">
        <v>143.22630691679791</v>
      </c>
      <c r="E18030" s="733"/>
    </row>
    <row r="18031" spans="2:5">
      <c r="B18031" s="121">
        <v>1505</v>
      </c>
      <c r="C18031" s="121">
        <v>30</v>
      </c>
      <c r="D18031" s="734">
        <v>145.38640937816385</v>
      </c>
      <c r="E18031" s="733"/>
    </row>
    <row r="18032" spans="2:5">
      <c r="B18032" s="121">
        <v>1505</v>
      </c>
      <c r="C18032" s="121">
        <v>31</v>
      </c>
      <c r="D18032" s="734">
        <v>141.30116710961272</v>
      </c>
      <c r="E18032" s="733"/>
    </row>
    <row r="18033" spans="2:5">
      <c r="B18033" s="121">
        <v>1505</v>
      </c>
      <c r="C18033" s="121">
        <v>32</v>
      </c>
      <c r="D18033" s="734">
        <v>134.69018053265194</v>
      </c>
      <c r="E18033" s="733"/>
    </row>
    <row r="18034" spans="2:5">
      <c r="B18034" s="121">
        <v>1505</v>
      </c>
      <c r="C18034" s="121">
        <v>33</v>
      </c>
      <c r="D18034" s="734">
        <v>145.6289901997244</v>
      </c>
      <c r="E18034" s="733"/>
    </row>
    <row r="18035" spans="2:5">
      <c r="B18035" s="121">
        <v>1505</v>
      </c>
      <c r="C18035" s="121">
        <v>34</v>
      </c>
      <c r="D18035" s="734">
        <v>142.55011365269797</v>
      </c>
      <c r="E18035" s="733"/>
    </row>
    <row r="18036" spans="2:5">
      <c r="B18036" s="121">
        <v>1505</v>
      </c>
      <c r="C18036" s="121">
        <v>35</v>
      </c>
      <c r="D18036" s="734">
        <v>144.47109366128203</v>
      </c>
      <c r="E18036" s="733"/>
    </row>
    <row r="18037" spans="2:5">
      <c r="B18037" s="121">
        <v>1505</v>
      </c>
      <c r="C18037" s="121">
        <v>36</v>
      </c>
      <c r="D18037" s="734">
        <v>141.26384645539426</v>
      </c>
      <c r="E18037" s="733"/>
    </row>
    <row r="18038" spans="2:5">
      <c r="B18038" s="121">
        <v>1506</v>
      </c>
      <c r="C18038" s="121">
        <v>1</v>
      </c>
      <c r="D18038" s="734">
        <v>5</v>
      </c>
      <c r="E18038" s="733"/>
    </row>
    <row r="18039" spans="2:5">
      <c r="B18039" s="121">
        <v>1506</v>
      </c>
      <c r="C18039" s="121">
        <v>2</v>
      </c>
      <c r="D18039" s="734">
        <v>101.26068167529002</v>
      </c>
      <c r="E18039" s="733"/>
    </row>
    <row r="18040" spans="2:5">
      <c r="B18040" s="121">
        <v>1506</v>
      </c>
      <c r="C18040" s="121">
        <v>3</v>
      </c>
      <c r="D18040" s="734">
        <v>124.50705518146297</v>
      </c>
      <c r="E18040" s="733"/>
    </row>
    <row r="18041" spans="2:5">
      <c r="B18041" s="121">
        <v>1506</v>
      </c>
      <c r="C18041" s="121">
        <v>4</v>
      </c>
      <c r="D18041" s="734">
        <v>145.65463550464517</v>
      </c>
      <c r="E18041" s="733"/>
    </row>
    <row r="18042" spans="2:5">
      <c r="B18042" s="121">
        <v>1506</v>
      </c>
      <c r="C18042" s="121">
        <v>5</v>
      </c>
      <c r="D18042" s="734">
        <v>134.35956451028858</v>
      </c>
      <c r="E18042" s="733"/>
    </row>
    <row r="18043" spans="2:5">
      <c r="B18043" s="121">
        <v>1506</v>
      </c>
      <c r="C18043" s="121">
        <v>6</v>
      </c>
      <c r="D18043" s="734">
        <v>143.98270166818102</v>
      </c>
      <c r="E18043" s="733"/>
    </row>
    <row r="18044" spans="2:5">
      <c r="B18044" s="121">
        <v>1506</v>
      </c>
      <c r="C18044" s="121">
        <v>7</v>
      </c>
      <c r="D18044" s="734">
        <v>136.32563853129062</v>
      </c>
      <c r="E18044" s="733"/>
    </row>
    <row r="18045" spans="2:5">
      <c r="B18045" s="121">
        <v>1506</v>
      </c>
      <c r="C18045" s="121">
        <v>8</v>
      </c>
      <c r="D18045" s="734">
        <v>139.81870037203683</v>
      </c>
      <c r="E18045" s="733"/>
    </row>
    <row r="18046" spans="2:5">
      <c r="B18046" s="121">
        <v>1506</v>
      </c>
      <c r="C18046" s="121">
        <v>9</v>
      </c>
      <c r="D18046" s="734">
        <v>139.88587994732541</v>
      </c>
      <c r="E18046" s="733"/>
    </row>
    <row r="18047" spans="2:5">
      <c r="B18047" s="121">
        <v>1506</v>
      </c>
      <c r="C18047" s="121">
        <v>10</v>
      </c>
      <c r="D18047" s="734">
        <v>139.37775898784133</v>
      </c>
      <c r="E18047" s="733"/>
    </row>
    <row r="18048" spans="2:5">
      <c r="B18048" s="121">
        <v>1506</v>
      </c>
      <c r="C18048" s="121">
        <v>11</v>
      </c>
      <c r="D18048" s="734">
        <v>134.68643290959008</v>
      </c>
      <c r="E18048" s="733"/>
    </row>
    <row r="18049" spans="2:5">
      <c r="B18049" s="121">
        <v>1506</v>
      </c>
      <c r="C18049" s="121">
        <v>12</v>
      </c>
      <c r="D18049" s="734">
        <v>142.85296608683751</v>
      </c>
      <c r="E18049" s="733"/>
    </row>
    <row r="18050" spans="2:5">
      <c r="B18050" s="121">
        <v>1506</v>
      </c>
      <c r="C18050" s="121">
        <v>13</v>
      </c>
      <c r="D18050" s="734">
        <v>140.71681851407462</v>
      </c>
      <c r="E18050" s="733"/>
    </row>
    <row r="18051" spans="2:5">
      <c r="B18051" s="121">
        <v>1506</v>
      </c>
      <c r="C18051" s="121">
        <v>14</v>
      </c>
      <c r="D18051" s="734">
        <v>140.74455740970456</v>
      </c>
      <c r="E18051" s="733"/>
    </row>
    <row r="18052" spans="2:5">
      <c r="B18052" s="121">
        <v>1506</v>
      </c>
      <c r="C18052" s="121">
        <v>15</v>
      </c>
      <c r="D18052" s="734">
        <v>135.17495626601567</v>
      </c>
      <c r="E18052" s="733"/>
    </row>
    <row r="18053" spans="2:5">
      <c r="B18053" s="121">
        <v>1506</v>
      </c>
      <c r="C18053" s="121">
        <v>16</v>
      </c>
      <c r="D18053" s="734">
        <v>144.90185694221802</v>
      </c>
      <c r="E18053" s="733"/>
    </row>
    <row r="18054" spans="2:5">
      <c r="B18054" s="121">
        <v>1506</v>
      </c>
      <c r="C18054" s="121">
        <v>17</v>
      </c>
      <c r="D18054" s="734">
        <v>141.25050875384051</v>
      </c>
      <c r="E18054" s="733"/>
    </row>
    <row r="18055" spans="2:5">
      <c r="B18055" s="121">
        <v>1506</v>
      </c>
      <c r="C18055" s="121">
        <v>18</v>
      </c>
      <c r="D18055" s="734">
        <v>144.45886337134871</v>
      </c>
      <c r="E18055" s="733"/>
    </row>
    <row r="18056" spans="2:5">
      <c r="B18056" s="121">
        <v>1506</v>
      </c>
      <c r="C18056" s="121">
        <v>19</v>
      </c>
      <c r="D18056" s="734">
        <v>136.77226641306822</v>
      </c>
      <c r="E18056" s="733"/>
    </row>
    <row r="18057" spans="2:5">
      <c r="B18057" s="121">
        <v>1506</v>
      </c>
      <c r="C18057" s="121">
        <v>20</v>
      </c>
      <c r="D18057" s="734">
        <v>134.71369776923959</v>
      </c>
      <c r="E18057" s="733"/>
    </row>
    <row r="18058" spans="2:5">
      <c r="B18058" s="121">
        <v>1506</v>
      </c>
      <c r="C18058" s="121">
        <v>21</v>
      </c>
      <c r="D18058" s="734">
        <v>145.74093472209219</v>
      </c>
      <c r="E18058" s="733"/>
    </row>
    <row r="18059" spans="2:5">
      <c r="B18059" s="121">
        <v>1506</v>
      </c>
      <c r="C18059" s="121">
        <v>22</v>
      </c>
      <c r="D18059" s="734">
        <v>141.94646230829338</v>
      </c>
      <c r="E18059" s="733"/>
    </row>
    <row r="18060" spans="2:5">
      <c r="B18060" s="121">
        <v>1506</v>
      </c>
      <c r="C18060" s="121">
        <v>23</v>
      </c>
      <c r="D18060" s="734">
        <v>144.96784549982377</v>
      </c>
      <c r="E18060" s="733"/>
    </row>
    <row r="18061" spans="2:5">
      <c r="B18061" s="121">
        <v>1506</v>
      </c>
      <c r="C18061" s="121">
        <v>24</v>
      </c>
      <c r="D18061" s="734">
        <v>134.47215985044934</v>
      </c>
      <c r="E18061" s="733"/>
    </row>
    <row r="18062" spans="2:5">
      <c r="B18062" s="121">
        <v>1506</v>
      </c>
      <c r="C18062" s="121">
        <v>25</v>
      </c>
      <c r="D18062" s="734">
        <v>145.75093533458494</v>
      </c>
      <c r="E18062" s="733"/>
    </row>
    <row r="18063" spans="2:5">
      <c r="B18063" s="121">
        <v>1506</v>
      </c>
      <c r="C18063" s="121">
        <v>26</v>
      </c>
      <c r="D18063" s="734">
        <v>144.61545322776047</v>
      </c>
      <c r="E18063" s="733"/>
    </row>
    <row r="18064" spans="2:5">
      <c r="B18064" s="121">
        <v>1506</v>
      </c>
      <c r="C18064" s="121">
        <v>27</v>
      </c>
      <c r="D18064" s="734">
        <v>135.31242763985026</v>
      </c>
      <c r="E18064" s="733"/>
    </row>
    <row r="18065" spans="2:5">
      <c r="B18065" s="121">
        <v>1506</v>
      </c>
      <c r="C18065" s="121">
        <v>28</v>
      </c>
      <c r="D18065" s="734">
        <v>136.6862894861676</v>
      </c>
      <c r="E18065" s="733"/>
    </row>
    <row r="18066" spans="2:5">
      <c r="B18066" s="121">
        <v>1506</v>
      </c>
      <c r="C18066" s="121">
        <v>29</v>
      </c>
      <c r="D18066" s="734">
        <v>138.18559630868958</v>
      </c>
      <c r="E18066" s="733"/>
    </row>
    <row r="18067" spans="2:5">
      <c r="B18067" s="121">
        <v>1506</v>
      </c>
      <c r="C18067" s="121">
        <v>30</v>
      </c>
      <c r="D18067" s="734">
        <v>135.37679857051396</v>
      </c>
      <c r="E18067" s="733"/>
    </row>
    <row r="18068" spans="2:5">
      <c r="B18068" s="121">
        <v>1506</v>
      </c>
      <c r="C18068" s="121">
        <v>31</v>
      </c>
      <c r="D18068" s="734">
        <v>136.62290953161573</v>
      </c>
      <c r="E18068" s="733"/>
    </row>
    <row r="18069" spans="2:5">
      <c r="B18069" s="121">
        <v>1506</v>
      </c>
      <c r="C18069" s="121">
        <v>32</v>
      </c>
      <c r="D18069" s="734">
        <v>143.75721076359912</v>
      </c>
      <c r="E18069" s="733"/>
    </row>
    <row r="18070" spans="2:5">
      <c r="B18070" s="121">
        <v>1506</v>
      </c>
      <c r="C18070" s="121">
        <v>33</v>
      </c>
      <c r="D18070" s="734">
        <v>135.7313479902983</v>
      </c>
      <c r="E18070" s="733"/>
    </row>
    <row r="18071" spans="2:5">
      <c r="B18071" s="121">
        <v>1506</v>
      </c>
      <c r="C18071" s="121">
        <v>34</v>
      </c>
      <c r="D18071" s="734">
        <v>134.58851578272677</v>
      </c>
      <c r="E18071" s="733"/>
    </row>
    <row r="18072" spans="2:5">
      <c r="B18072" s="121">
        <v>1506</v>
      </c>
      <c r="C18072" s="121">
        <v>35</v>
      </c>
      <c r="D18072" s="734">
        <v>144.89567488475427</v>
      </c>
      <c r="E18072" s="733"/>
    </row>
    <row r="18073" spans="2:5">
      <c r="B18073" s="121">
        <v>1506</v>
      </c>
      <c r="C18073" s="121">
        <v>36</v>
      </c>
      <c r="D18073" s="734">
        <v>140.95535193189212</v>
      </c>
      <c r="E18073" s="733"/>
    </row>
    <row r="18074" spans="2:5">
      <c r="B18074" s="121">
        <v>1507</v>
      </c>
      <c r="C18074" s="121">
        <v>1</v>
      </c>
      <c r="D18074" s="734">
        <v>5</v>
      </c>
      <c r="E18074" s="733"/>
    </row>
    <row r="18075" spans="2:5">
      <c r="B18075" s="121">
        <v>1507</v>
      </c>
      <c r="C18075" s="121">
        <v>2</v>
      </c>
      <c r="D18075" s="734">
        <v>101.02052984964003</v>
      </c>
      <c r="E18075" s="733"/>
    </row>
    <row r="18076" spans="2:5">
      <c r="B18076" s="121">
        <v>1507</v>
      </c>
      <c r="C18076" s="121">
        <v>3</v>
      </c>
      <c r="D18076" s="734">
        <v>121.26761324650722</v>
      </c>
      <c r="E18076" s="733"/>
    </row>
    <row r="18077" spans="2:5">
      <c r="B18077" s="121">
        <v>1507</v>
      </c>
      <c r="C18077" s="121">
        <v>4</v>
      </c>
      <c r="D18077" s="734">
        <v>137.93764304254327</v>
      </c>
      <c r="E18077" s="733"/>
    </row>
    <row r="18078" spans="2:5">
      <c r="B18078" s="121">
        <v>1507</v>
      </c>
      <c r="C18078" s="121">
        <v>5</v>
      </c>
      <c r="D18078" s="734">
        <v>144.59432993350282</v>
      </c>
      <c r="E18078" s="733"/>
    </row>
    <row r="18079" spans="2:5">
      <c r="B18079" s="121">
        <v>1507</v>
      </c>
      <c r="C18079" s="121">
        <v>6</v>
      </c>
      <c r="D18079" s="734">
        <v>146.49514427855451</v>
      </c>
      <c r="E18079" s="733"/>
    </row>
    <row r="18080" spans="2:5">
      <c r="B18080" s="121">
        <v>1507</v>
      </c>
      <c r="C18080" s="121">
        <v>7</v>
      </c>
      <c r="D18080" s="734">
        <v>146.78991893835209</v>
      </c>
      <c r="E18080" s="733"/>
    </row>
    <row r="18081" spans="2:5">
      <c r="B18081" s="121">
        <v>1507</v>
      </c>
      <c r="C18081" s="121">
        <v>8</v>
      </c>
      <c r="D18081" s="734">
        <v>144.97778899880811</v>
      </c>
      <c r="E18081" s="733"/>
    </row>
    <row r="18082" spans="2:5">
      <c r="B18082" s="121">
        <v>1507</v>
      </c>
      <c r="C18082" s="121">
        <v>9</v>
      </c>
      <c r="D18082" s="734">
        <v>136.63790575760294</v>
      </c>
      <c r="E18082" s="733"/>
    </row>
    <row r="18083" spans="2:5">
      <c r="B18083" s="121">
        <v>1507</v>
      </c>
      <c r="C18083" s="121">
        <v>10</v>
      </c>
      <c r="D18083" s="734">
        <v>141.75545721102375</v>
      </c>
      <c r="E18083" s="733"/>
    </row>
    <row r="18084" spans="2:5">
      <c r="B18084" s="121">
        <v>1507</v>
      </c>
      <c r="C18084" s="121">
        <v>11</v>
      </c>
      <c r="D18084" s="734">
        <v>146.85301200233397</v>
      </c>
      <c r="E18084" s="733"/>
    </row>
    <row r="18085" spans="2:5">
      <c r="B18085" s="121">
        <v>1507</v>
      </c>
      <c r="C18085" s="121">
        <v>12</v>
      </c>
      <c r="D18085" s="734">
        <v>145.05444930728814</v>
      </c>
      <c r="E18085" s="733"/>
    </row>
    <row r="18086" spans="2:5">
      <c r="B18086" s="121">
        <v>1508</v>
      </c>
      <c r="C18086" s="121">
        <v>1</v>
      </c>
      <c r="D18086" s="734">
        <v>5</v>
      </c>
      <c r="E18086" s="733"/>
    </row>
    <row r="18087" spans="2:5">
      <c r="B18087" s="121">
        <v>1509</v>
      </c>
      <c r="C18087" s="121">
        <v>1</v>
      </c>
      <c r="D18087" s="734">
        <v>5</v>
      </c>
      <c r="E18087" s="733"/>
    </row>
    <row r="18088" spans="2:5">
      <c r="B18088" s="121">
        <v>1510</v>
      </c>
      <c r="C18088" s="121">
        <v>1</v>
      </c>
      <c r="D18088" s="734">
        <v>5</v>
      </c>
      <c r="E18088" s="733"/>
    </row>
    <row r="18089" spans="2:5">
      <c r="B18089" s="121">
        <v>1510</v>
      </c>
      <c r="C18089" s="121">
        <v>2</v>
      </c>
      <c r="D18089" s="734">
        <v>96.198534793867296</v>
      </c>
      <c r="E18089" s="733"/>
    </row>
    <row r="18090" spans="2:5">
      <c r="B18090" s="121">
        <v>1510</v>
      </c>
      <c r="C18090" s="121">
        <v>3</v>
      </c>
      <c r="D18090" s="734">
        <v>117.23378392976124</v>
      </c>
      <c r="E18090" s="733"/>
    </row>
    <row r="18091" spans="2:5">
      <c r="B18091" s="121">
        <v>1510</v>
      </c>
      <c r="C18091" s="121">
        <v>4</v>
      </c>
      <c r="D18091" s="734">
        <v>139.58857028792005</v>
      </c>
      <c r="E18091" s="733"/>
    </row>
    <row r="18092" spans="2:5">
      <c r="B18092" s="121">
        <v>1510</v>
      </c>
      <c r="C18092" s="121">
        <v>5</v>
      </c>
      <c r="D18092" s="734">
        <v>138.87781137380489</v>
      </c>
      <c r="E18092" s="733"/>
    </row>
    <row r="18093" spans="2:5">
      <c r="B18093" s="121">
        <v>1510</v>
      </c>
      <c r="C18093" s="121">
        <v>6</v>
      </c>
      <c r="D18093" s="734">
        <v>136.84898845789604</v>
      </c>
      <c r="E18093" s="733"/>
    </row>
    <row r="18094" spans="2:5">
      <c r="B18094" s="121">
        <v>1510</v>
      </c>
      <c r="C18094" s="121">
        <v>7</v>
      </c>
      <c r="D18094" s="734">
        <v>140.55867365716793</v>
      </c>
      <c r="E18094" s="733"/>
    </row>
    <row r="18095" spans="2:5">
      <c r="B18095" s="121">
        <v>1510</v>
      </c>
      <c r="C18095" s="121">
        <v>8</v>
      </c>
      <c r="D18095" s="734">
        <v>145.98876009404827</v>
      </c>
      <c r="E18095" s="733"/>
    </row>
    <row r="18096" spans="2:5">
      <c r="B18096" s="121">
        <v>1510</v>
      </c>
      <c r="C18096" s="121">
        <v>9</v>
      </c>
      <c r="D18096" s="734">
        <v>145.37382352432596</v>
      </c>
      <c r="E18096" s="733"/>
    </row>
    <row r="18097" spans="2:5">
      <c r="B18097" s="121">
        <v>1510</v>
      </c>
      <c r="C18097" s="121">
        <v>10</v>
      </c>
      <c r="D18097" s="734">
        <v>143.43705755469591</v>
      </c>
      <c r="E18097" s="733"/>
    </row>
    <row r="18098" spans="2:5">
      <c r="B18098" s="121">
        <v>1510</v>
      </c>
      <c r="C18098" s="121">
        <v>11</v>
      </c>
      <c r="D18098" s="734">
        <v>146.93005575937832</v>
      </c>
      <c r="E18098" s="733"/>
    </row>
    <row r="18099" spans="2:5">
      <c r="B18099" s="121">
        <v>1510</v>
      </c>
      <c r="C18099" s="121">
        <v>12</v>
      </c>
      <c r="D18099" s="734">
        <v>140.33512775548118</v>
      </c>
      <c r="E18099" s="733"/>
    </row>
    <row r="18100" spans="2:5">
      <c r="B18100" s="121">
        <v>1510</v>
      </c>
      <c r="C18100" s="121">
        <v>13</v>
      </c>
      <c r="D18100" s="734">
        <v>139.6556780951544</v>
      </c>
      <c r="E18100" s="733"/>
    </row>
    <row r="18101" spans="2:5">
      <c r="B18101" s="121">
        <v>1510</v>
      </c>
      <c r="C18101" s="121">
        <v>14</v>
      </c>
      <c r="D18101" s="734">
        <v>134.37681419861897</v>
      </c>
      <c r="E18101" s="733"/>
    </row>
    <row r="18102" spans="2:5">
      <c r="B18102" s="121">
        <v>1510</v>
      </c>
      <c r="C18102" s="121">
        <v>15</v>
      </c>
      <c r="D18102" s="734">
        <v>139.8709167712212</v>
      </c>
      <c r="E18102" s="733"/>
    </row>
    <row r="18103" spans="2:5">
      <c r="B18103" s="121">
        <v>1510</v>
      </c>
      <c r="C18103" s="121">
        <v>16</v>
      </c>
      <c r="D18103" s="734">
        <v>142.23091894221693</v>
      </c>
      <c r="E18103" s="733"/>
    </row>
    <row r="18104" spans="2:5">
      <c r="B18104" s="121">
        <v>1510</v>
      </c>
      <c r="C18104" s="121">
        <v>17</v>
      </c>
      <c r="D18104" s="734">
        <v>145.22835952928301</v>
      </c>
      <c r="E18104" s="733"/>
    </row>
    <row r="18105" spans="2:5">
      <c r="B18105" s="121">
        <v>1510</v>
      </c>
      <c r="C18105" s="121">
        <v>18</v>
      </c>
      <c r="D18105" s="734">
        <v>135.74664007554682</v>
      </c>
      <c r="E18105" s="733"/>
    </row>
    <row r="18106" spans="2:5">
      <c r="B18106" s="121">
        <v>1510</v>
      </c>
      <c r="C18106" s="121">
        <v>19</v>
      </c>
      <c r="D18106" s="734">
        <v>140.26061696201248</v>
      </c>
      <c r="E18106" s="733"/>
    </row>
    <row r="18107" spans="2:5">
      <c r="B18107" s="121">
        <v>1510</v>
      </c>
      <c r="C18107" s="121">
        <v>20</v>
      </c>
      <c r="D18107" s="734">
        <v>144.88538890190065</v>
      </c>
      <c r="E18107" s="733"/>
    </row>
    <row r="18108" spans="2:5">
      <c r="B18108" s="121">
        <v>1510</v>
      </c>
      <c r="C18108" s="121">
        <v>21</v>
      </c>
      <c r="D18108" s="734">
        <v>134.3596011277705</v>
      </c>
      <c r="E18108" s="733"/>
    </row>
    <row r="18109" spans="2:5">
      <c r="B18109" s="121">
        <v>1510</v>
      </c>
      <c r="C18109" s="121">
        <v>22</v>
      </c>
      <c r="D18109" s="734">
        <v>141.01721491059519</v>
      </c>
      <c r="E18109" s="733"/>
    </row>
    <row r="18110" spans="2:5">
      <c r="B18110" s="121">
        <v>1510</v>
      </c>
      <c r="C18110" s="121">
        <v>23</v>
      </c>
      <c r="D18110" s="734">
        <v>140.79835471314368</v>
      </c>
      <c r="E18110" s="733"/>
    </row>
    <row r="18111" spans="2:5">
      <c r="B18111" s="121">
        <v>1510</v>
      </c>
      <c r="C18111" s="121">
        <v>24</v>
      </c>
      <c r="D18111" s="734">
        <v>138.60791947090246</v>
      </c>
      <c r="E18111" s="733"/>
    </row>
    <row r="18112" spans="2:5">
      <c r="B18112" s="121">
        <v>1510</v>
      </c>
      <c r="C18112" s="121">
        <v>25</v>
      </c>
      <c r="D18112" s="734">
        <v>146.94401789775435</v>
      </c>
      <c r="E18112" s="733"/>
    </row>
    <row r="18113" spans="2:5">
      <c r="B18113" s="121">
        <v>1510</v>
      </c>
      <c r="C18113" s="121">
        <v>26</v>
      </c>
      <c r="D18113" s="734">
        <v>142.50750476506605</v>
      </c>
      <c r="E18113" s="733"/>
    </row>
    <row r="18114" spans="2:5">
      <c r="B18114" s="121">
        <v>1510</v>
      </c>
      <c r="C18114" s="121">
        <v>27</v>
      </c>
      <c r="D18114" s="734">
        <v>135.75192098592819</v>
      </c>
      <c r="E18114" s="733"/>
    </row>
    <row r="18115" spans="2:5">
      <c r="B18115" s="121">
        <v>1510</v>
      </c>
      <c r="C18115" s="121">
        <v>28</v>
      </c>
      <c r="D18115" s="734">
        <v>140.29588164696295</v>
      </c>
      <c r="E18115" s="733"/>
    </row>
    <row r="18116" spans="2:5">
      <c r="B18116" s="121">
        <v>1510</v>
      </c>
      <c r="C18116" s="121">
        <v>29</v>
      </c>
      <c r="D18116" s="734">
        <v>141.46574642086512</v>
      </c>
      <c r="E18116" s="733"/>
    </row>
    <row r="18117" spans="2:5">
      <c r="B18117" s="121">
        <v>1511</v>
      </c>
      <c r="C18117" s="121">
        <v>1</v>
      </c>
      <c r="D18117" s="734">
        <v>5</v>
      </c>
      <c r="E18117" s="733"/>
    </row>
    <row r="18118" spans="2:5">
      <c r="B18118" s="121">
        <v>1511</v>
      </c>
      <c r="C18118" s="121">
        <v>2</v>
      </c>
      <c r="D18118" s="734">
        <v>103.0045977591426</v>
      </c>
      <c r="E18118" s="733"/>
    </row>
    <row r="18119" spans="2:5">
      <c r="B18119" s="121">
        <v>1511</v>
      </c>
      <c r="C18119" s="121">
        <v>3</v>
      </c>
      <c r="D18119" s="734">
        <v>115.81845745109806</v>
      </c>
      <c r="E18119" s="733"/>
    </row>
    <row r="18120" spans="2:5">
      <c r="B18120" s="121">
        <v>1511</v>
      </c>
      <c r="C18120" s="121">
        <v>4</v>
      </c>
      <c r="D18120" s="734">
        <v>145.29979449528727</v>
      </c>
      <c r="E18120" s="733"/>
    </row>
    <row r="18121" spans="2:5">
      <c r="B18121" s="121">
        <v>1511</v>
      </c>
      <c r="C18121" s="121">
        <v>5</v>
      </c>
      <c r="D18121" s="734">
        <v>134.67506985883901</v>
      </c>
      <c r="E18121" s="733"/>
    </row>
    <row r="18122" spans="2:5">
      <c r="B18122" s="121">
        <v>1511</v>
      </c>
      <c r="C18122" s="121">
        <v>6</v>
      </c>
      <c r="D18122" s="734">
        <v>145.01361993686029</v>
      </c>
      <c r="E18122" s="733"/>
    </row>
    <row r="18123" spans="2:5">
      <c r="B18123" s="121">
        <v>1511</v>
      </c>
      <c r="C18123" s="121">
        <v>7</v>
      </c>
      <c r="D18123" s="734">
        <v>142.80079073579438</v>
      </c>
      <c r="E18123" s="733"/>
    </row>
    <row r="18124" spans="2:5">
      <c r="B18124" s="121">
        <v>1511</v>
      </c>
      <c r="C18124" s="121">
        <v>8</v>
      </c>
      <c r="D18124" s="734">
        <v>146.37563742353782</v>
      </c>
      <c r="E18124" s="733"/>
    </row>
    <row r="18125" spans="2:5">
      <c r="B18125" s="121">
        <v>1511</v>
      </c>
      <c r="C18125" s="121">
        <v>9</v>
      </c>
      <c r="D18125" s="734">
        <v>145.6018845517288</v>
      </c>
      <c r="E18125" s="733"/>
    </row>
    <row r="18126" spans="2:5">
      <c r="B18126" s="121">
        <v>1511</v>
      </c>
      <c r="C18126" s="121">
        <v>10</v>
      </c>
      <c r="D18126" s="734">
        <v>137.58728501248032</v>
      </c>
      <c r="E18126" s="733"/>
    </row>
    <row r="18127" spans="2:5">
      <c r="B18127" s="121">
        <v>1511</v>
      </c>
      <c r="C18127" s="121">
        <v>11</v>
      </c>
      <c r="D18127" s="734">
        <v>139.69653092167979</v>
      </c>
      <c r="E18127" s="733"/>
    </row>
    <row r="18128" spans="2:5">
      <c r="B18128" s="121">
        <v>1511</v>
      </c>
      <c r="C18128" s="121">
        <v>12</v>
      </c>
      <c r="D18128" s="734">
        <v>145.71911106517194</v>
      </c>
      <c r="E18128" s="733"/>
    </row>
    <row r="18129" spans="2:5">
      <c r="B18129" s="121">
        <v>1511</v>
      </c>
      <c r="C18129" s="121">
        <v>13</v>
      </c>
      <c r="D18129" s="734">
        <v>135.6601461139679</v>
      </c>
      <c r="E18129" s="733"/>
    </row>
    <row r="18130" spans="2:5">
      <c r="B18130" s="121">
        <v>1511</v>
      </c>
      <c r="C18130" s="121">
        <v>14</v>
      </c>
      <c r="D18130" s="734">
        <v>137.9729525455661</v>
      </c>
      <c r="E18130" s="733"/>
    </row>
    <row r="18131" spans="2:5">
      <c r="B18131" s="121">
        <v>1511</v>
      </c>
      <c r="C18131" s="121">
        <v>15</v>
      </c>
      <c r="D18131" s="734">
        <v>143.65438195148801</v>
      </c>
      <c r="E18131" s="733"/>
    </row>
    <row r="18132" spans="2:5">
      <c r="B18132" s="121">
        <v>1512</v>
      </c>
      <c r="C18132" s="121">
        <v>1</v>
      </c>
      <c r="D18132" s="734">
        <v>5</v>
      </c>
      <c r="E18132" s="733"/>
    </row>
    <row r="18133" spans="2:5">
      <c r="B18133" s="121">
        <v>1512</v>
      </c>
      <c r="C18133" s="121">
        <v>2</v>
      </c>
      <c r="D18133" s="734">
        <v>101.80603295303258</v>
      </c>
      <c r="E18133" s="733"/>
    </row>
    <row r="18134" spans="2:5">
      <c r="B18134" s="121">
        <v>1512</v>
      </c>
      <c r="C18134" s="121">
        <v>3</v>
      </c>
      <c r="D18134" s="734">
        <v>123.27173773742841</v>
      </c>
      <c r="E18134" s="733"/>
    </row>
    <row r="18135" spans="2:5">
      <c r="B18135" s="121">
        <v>1512</v>
      </c>
      <c r="C18135" s="121">
        <v>4</v>
      </c>
      <c r="D18135" s="734">
        <v>134.75344472728577</v>
      </c>
      <c r="E18135" s="733"/>
    </row>
    <row r="18136" spans="2:5">
      <c r="B18136" s="121">
        <v>1512</v>
      </c>
      <c r="C18136" s="121">
        <v>5</v>
      </c>
      <c r="D18136" s="734">
        <v>134.75129857547046</v>
      </c>
      <c r="E18136" s="733"/>
    </row>
    <row r="18137" spans="2:5">
      <c r="B18137" s="121">
        <v>1512</v>
      </c>
      <c r="C18137" s="121">
        <v>6</v>
      </c>
      <c r="D18137" s="734">
        <v>141.38354168623738</v>
      </c>
      <c r="E18137" s="733"/>
    </row>
    <row r="18138" spans="2:5">
      <c r="B18138" s="121">
        <v>1512</v>
      </c>
      <c r="C18138" s="121">
        <v>7</v>
      </c>
      <c r="D18138" s="734">
        <v>138.94196141025319</v>
      </c>
      <c r="E18138" s="733"/>
    </row>
    <row r="18139" spans="2:5">
      <c r="B18139" s="121">
        <v>1512</v>
      </c>
      <c r="C18139" s="121">
        <v>8</v>
      </c>
      <c r="D18139" s="734">
        <v>138.92123757591276</v>
      </c>
      <c r="E18139" s="733"/>
    </row>
    <row r="18140" spans="2:5">
      <c r="B18140" s="121">
        <v>1512</v>
      </c>
      <c r="C18140" s="121">
        <v>9</v>
      </c>
      <c r="D18140" s="734">
        <v>139.73581997914278</v>
      </c>
      <c r="E18140" s="733"/>
    </row>
    <row r="18141" spans="2:5">
      <c r="B18141" s="121">
        <v>1512</v>
      </c>
      <c r="C18141" s="121">
        <v>10</v>
      </c>
      <c r="D18141" s="734">
        <v>136.99593397269027</v>
      </c>
      <c r="E18141" s="733"/>
    </row>
    <row r="18142" spans="2:5">
      <c r="B18142" s="121">
        <v>1512</v>
      </c>
      <c r="C18142" s="121">
        <v>11</v>
      </c>
      <c r="D18142" s="734">
        <v>142.48543670525189</v>
      </c>
      <c r="E18142" s="733"/>
    </row>
    <row r="18143" spans="2:5">
      <c r="B18143" s="121">
        <v>1512</v>
      </c>
      <c r="C18143" s="121">
        <v>12</v>
      </c>
      <c r="D18143" s="734">
        <v>142.62437849552174</v>
      </c>
      <c r="E18143" s="733"/>
    </row>
    <row r="18144" spans="2:5">
      <c r="B18144" s="121">
        <v>1512</v>
      </c>
      <c r="C18144" s="121">
        <v>13</v>
      </c>
      <c r="D18144" s="734">
        <v>138.4315155787676</v>
      </c>
      <c r="E18144" s="733"/>
    </row>
    <row r="18145" spans="2:5">
      <c r="B18145" s="121">
        <v>1512</v>
      </c>
      <c r="C18145" s="121">
        <v>14</v>
      </c>
      <c r="D18145" s="734">
        <v>142.86329777345927</v>
      </c>
      <c r="E18145" s="733"/>
    </row>
    <row r="18146" spans="2:5">
      <c r="B18146" s="121">
        <v>1512</v>
      </c>
      <c r="C18146" s="121">
        <v>15</v>
      </c>
      <c r="D18146" s="734">
        <v>139.83583421153423</v>
      </c>
      <c r="E18146" s="733"/>
    </row>
    <row r="18147" spans="2:5">
      <c r="B18147" s="121">
        <v>1512</v>
      </c>
      <c r="C18147" s="121">
        <v>16</v>
      </c>
      <c r="D18147" s="734">
        <v>139.47351879276613</v>
      </c>
      <c r="E18147" s="733"/>
    </row>
    <row r="18148" spans="2:5">
      <c r="B18148" s="121">
        <v>1512</v>
      </c>
      <c r="C18148" s="121">
        <v>17</v>
      </c>
      <c r="D18148" s="734">
        <v>143.97613977301799</v>
      </c>
      <c r="E18148" s="733"/>
    </row>
    <row r="18149" spans="2:5">
      <c r="B18149" s="121">
        <v>1512</v>
      </c>
      <c r="C18149" s="121">
        <v>18</v>
      </c>
      <c r="D18149" s="734">
        <v>135.50379498179066</v>
      </c>
      <c r="E18149" s="733"/>
    </row>
    <row r="18150" spans="2:5">
      <c r="B18150" s="121">
        <v>1512</v>
      </c>
      <c r="C18150" s="121">
        <v>19</v>
      </c>
      <c r="D18150" s="734">
        <v>142.47372651438107</v>
      </c>
      <c r="E18150" s="733"/>
    </row>
    <row r="18151" spans="2:5">
      <c r="B18151" s="121">
        <v>1512</v>
      </c>
      <c r="C18151" s="121">
        <v>20</v>
      </c>
      <c r="D18151" s="734">
        <v>140.40854743870051</v>
      </c>
      <c r="E18151" s="733"/>
    </row>
    <row r="18152" spans="2:5">
      <c r="B18152" s="121">
        <v>1512</v>
      </c>
      <c r="C18152" s="121">
        <v>21</v>
      </c>
      <c r="D18152" s="734">
        <v>137.72531443980114</v>
      </c>
      <c r="E18152" s="733"/>
    </row>
    <row r="18153" spans="2:5">
      <c r="B18153" s="121">
        <v>1512</v>
      </c>
      <c r="C18153" s="121">
        <v>22</v>
      </c>
      <c r="D18153" s="734">
        <v>137.95103475472865</v>
      </c>
      <c r="E18153" s="733"/>
    </row>
    <row r="18154" spans="2:5">
      <c r="B18154" s="121">
        <v>1512</v>
      </c>
      <c r="C18154" s="121">
        <v>23</v>
      </c>
      <c r="D18154" s="734">
        <v>136.06588182521764</v>
      </c>
      <c r="E18154" s="733"/>
    </row>
    <row r="18155" spans="2:5">
      <c r="B18155" s="121">
        <v>1512</v>
      </c>
      <c r="C18155" s="121">
        <v>24</v>
      </c>
      <c r="D18155" s="734">
        <v>140.89369829454213</v>
      </c>
      <c r="E18155" s="733"/>
    </row>
    <row r="18156" spans="2:5">
      <c r="B18156" s="121">
        <v>1512</v>
      </c>
      <c r="C18156" s="121">
        <v>25</v>
      </c>
      <c r="D18156" s="734">
        <v>138.22109755372716</v>
      </c>
      <c r="E18156" s="733"/>
    </row>
    <row r="18157" spans="2:5">
      <c r="B18157" s="121">
        <v>1512</v>
      </c>
      <c r="C18157" s="121">
        <v>26</v>
      </c>
      <c r="D18157" s="734">
        <v>136.74406829312156</v>
      </c>
      <c r="E18157" s="733"/>
    </row>
    <row r="18158" spans="2:5">
      <c r="B18158" s="121">
        <v>1512</v>
      </c>
      <c r="C18158" s="121">
        <v>27</v>
      </c>
      <c r="D18158" s="734">
        <v>145.37947032610722</v>
      </c>
      <c r="E18158" s="733"/>
    </row>
    <row r="18159" spans="2:5">
      <c r="B18159" s="121">
        <v>1512</v>
      </c>
      <c r="C18159" s="121">
        <v>28</v>
      </c>
      <c r="D18159" s="734">
        <v>147.02141767158869</v>
      </c>
      <c r="E18159" s="733"/>
    </row>
    <row r="18160" spans="2:5">
      <c r="B18160" s="121">
        <v>1512</v>
      </c>
      <c r="C18160" s="121">
        <v>29</v>
      </c>
      <c r="D18160" s="734">
        <v>139.99424693032546</v>
      </c>
      <c r="E18160" s="733"/>
    </row>
    <row r="18161" spans="2:5">
      <c r="B18161" s="121">
        <v>1512</v>
      </c>
      <c r="C18161" s="121">
        <v>30</v>
      </c>
      <c r="D18161" s="734">
        <v>139.2966036740178</v>
      </c>
      <c r="E18161" s="733"/>
    </row>
    <row r="18162" spans="2:5">
      <c r="B18162" s="121">
        <v>1512</v>
      </c>
      <c r="C18162" s="121">
        <v>31</v>
      </c>
      <c r="D18162" s="734">
        <v>138.61384275467319</v>
      </c>
      <c r="E18162" s="733"/>
    </row>
    <row r="18163" spans="2:5">
      <c r="B18163" s="121">
        <v>1512</v>
      </c>
      <c r="C18163" s="121">
        <v>32</v>
      </c>
      <c r="D18163" s="734">
        <v>142.64370907831091</v>
      </c>
      <c r="E18163" s="733"/>
    </row>
    <row r="18164" spans="2:5">
      <c r="B18164" s="121">
        <v>1513</v>
      </c>
      <c r="C18164" s="121">
        <v>1</v>
      </c>
      <c r="D18164" s="734">
        <v>5</v>
      </c>
      <c r="E18164" s="733"/>
    </row>
    <row r="18165" spans="2:5">
      <c r="B18165" s="121">
        <v>1513</v>
      </c>
      <c r="C18165" s="121">
        <v>2</v>
      </c>
      <c r="D18165" s="734">
        <v>100.55279822026495</v>
      </c>
      <c r="E18165" s="733"/>
    </row>
    <row r="18166" spans="2:5">
      <c r="B18166" s="121">
        <v>1513</v>
      </c>
      <c r="C18166" s="121">
        <v>3</v>
      </c>
      <c r="D18166" s="734">
        <v>116.10528117686925</v>
      </c>
      <c r="E18166" s="733"/>
    </row>
    <row r="18167" spans="2:5">
      <c r="B18167" s="121">
        <v>1513</v>
      </c>
      <c r="C18167" s="121">
        <v>4</v>
      </c>
      <c r="D18167" s="734">
        <v>143.72898127365247</v>
      </c>
      <c r="E18167" s="733"/>
    </row>
    <row r="18168" spans="2:5">
      <c r="B18168" s="121">
        <v>1513</v>
      </c>
      <c r="C18168" s="121">
        <v>5</v>
      </c>
      <c r="D18168" s="734">
        <v>144.75780769046833</v>
      </c>
      <c r="E18168" s="733"/>
    </row>
    <row r="18169" spans="2:5">
      <c r="B18169" s="121">
        <v>1513</v>
      </c>
      <c r="C18169" s="121">
        <v>6</v>
      </c>
      <c r="D18169" s="734">
        <v>134.67183748647548</v>
      </c>
      <c r="E18169" s="733"/>
    </row>
    <row r="18170" spans="2:5">
      <c r="B18170" s="121">
        <v>1513</v>
      </c>
      <c r="C18170" s="121">
        <v>7</v>
      </c>
      <c r="D18170" s="734">
        <v>144.91760305842638</v>
      </c>
      <c r="E18170" s="733"/>
    </row>
    <row r="18171" spans="2:5">
      <c r="B18171" s="121">
        <v>1513</v>
      </c>
      <c r="C18171" s="121">
        <v>8</v>
      </c>
      <c r="D18171" s="734">
        <v>136.8303912556469</v>
      </c>
      <c r="E18171" s="733"/>
    </row>
    <row r="18172" spans="2:5">
      <c r="B18172" s="121">
        <v>1514</v>
      </c>
      <c r="C18172" s="121">
        <v>1</v>
      </c>
      <c r="D18172" s="734">
        <v>5</v>
      </c>
      <c r="E18172" s="733"/>
    </row>
    <row r="18173" spans="2:5">
      <c r="B18173" s="121">
        <v>1514</v>
      </c>
      <c r="C18173" s="121">
        <v>2</v>
      </c>
      <c r="D18173" s="734">
        <v>99.079043575247155</v>
      </c>
      <c r="E18173" s="733"/>
    </row>
    <row r="18174" spans="2:5">
      <c r="B18174" s="121">
        <v>1514</v>
      </c>
      <c r="C18174" s="121">
        <v>3</v>
      </c>
      <c r="D18174" s="734">
        <v>119.01123292559033</v>
      </c>
      <c r="E18174" s="733"/>
    </row>
    <row r="18175" spans="2:5">
      <c r="B18175" s="121">
        <v>1514</v>
      </c>
      <c r="C18175" s="121">
        <v>4</v>
      </c>
      <c r="D18175" s="734">
        <v>143.74904078137479</v>
      </c>
      <c r="E18175" s="733"/>
    </row>
    <row r="18176" spans="2:5">
      <c r="B18176" s="121">
        <v>1514</v>
      </c>
      <c r="C18176" s="121">
        <v>5</v>
      </c>
      <c r="D18176" s="734">
        <v>147.01300446808818</v>
      </c>
      <c r="E18176" s="733"/>
    </row>
    <row r="18177" spans="2:5">
      <c r="B18177" s="121">
        <v>1514</v>
      </c>
      <c r="C18177" s="121">
        <v>6</v>
      </c>
      <c r="D18177" s="734">
        <v>140.62722331014146</v>
      </c>
      <c r="E18177" s="733"/>
    </row>
    <row r="18178" spans="2:5">
      <c r="B18178" s="121">
        <v>1514</v>
      </c>
      <c r="C18178" s="121">
        <v>7</v>
      </c>
      <c r="D18178" s="734">
        <v>142.8804189460275</v>
      </c>
      <c r="E18178" s="733"/>
    </row>
    <row r="18179" spans="2:5">
      <c r="B18179" s="121">
        <v>1514</v>
      </c>
      <c r="C18179" s="121">
        <v>8</v>
      </c>
      <c r="D18179" s="734">
        <v>140.23206796765601</v>
      </c>
      <c r="E18179" s="733"/>
    </row>
    <row r="18180" spans="2:5">
      <c r="B18180" s="121">
        <v>1514</v>
      </c>
      <c r="C18180" s="121">
        <v>9</v>
      </c>
      <c r="D18180" s="734">
        <v>136.72558838848562</v>
      </c>
      <c r="E18180" s="733"/>
    </row>
    <row r="18181" spans="2:5">
      <c r="B18181" s="121">
        <v>1514</v>
      </c>
      <c r="C18181" s="121">
        <v>10</v>
      </c>
      <c r="D18181" s="734">
        <v>141.21654145408525</v>
      </c>
      <c r="E18181" s="733"/>
    </row>
    <row r="18182" spans="2:5">
      <c r="B18182" s="121">
        <v>1514</v>
      </c>
      <c r="C18182" s="121">
        <v>11</v>
      </c>
      <c r="D18182" s="734">
        <v>137.84242181226148</v>
      </c>
      <c r="E18182" s="733"/>
    </row>
    <row r="18183" spans="2:5">
      <c r="B18183" s="121">
        <v>1514</v>
      </c>
      <c r="C18183" s="121">
        <v>12</v>
      </c>
      <c r="D18183" s="734">
        <v>147.22999698021624</v>
      </c>
      <c r="E18183" s="733"/>
    </row>
    <row r="18184" spans="2:5">
      <c r="B18184" s="121">
        <v>1514</v>
      </c>
      <c r="C18184" s="121">
        <v>13</v>
      </c>
      <c r="D18184" s="734">
        <v>136.769875378037</v>
      </c>
      <c r="E18184" s="733"/>
    </row>
    <row r="18185" spans="2:5">
      <c r="B18185" s="121">
        <v>1514</v>
      </c>
      <c r="C18185" s="121">
        <v>14</v>
      </c>
      <c r="D18185" s="734">
        <v>136.48621451007992</v>
      </c>
      <c r="E18185" s="733"/>
    </row>
    <row r="18186" spans="2:5">
      <c r="B18186" s="121">
        <v>1514</v>
      </c>
      <c r="C18186" s="121">
        <v>15</v>
      </c>
      <c r="D18186" s="734">
        <v>141.86219698298081</v>
      </c>
      <c r="E18186" s="733"/>
    </row>
    <row r="18187" spans="2:5">
      <c r="B18187" s="121">
        <v>1514</v>
      </c>
      <c r="C18187" s="121">
        <v>16</v>
      </c>
      <c r="D18187" s="734">
        <v>144.96851874004082</v>
      </c>
      <c r="E18187" s="733"/>
    </row>
    <row r="18188" spans="2:5">
      <c r="B18188" s="121">
        <v>1514</v>
      </c>
      <c r="C18188" s="121">
        <v>17</v>
      </c>
      <c r="D18188" s="734">
        <v>138.75172226040613</v>
      </c>
      <c r="E18188" s="733"/>
    </row>
    <row r="18189" spans="2:5">
      <c r="B18189" s="121">
        <v>1514</v>
      </c>
      <c r="C18189" s="121">
        <v>18</v>
      </c>
      <c r="D18189" s="734">
        <v>144.27887426966998</v>
      </c>
      <c r="E18189" s="733"/>
    </row>
    <row r="18190" spans="2:5">
      <c r="B18190" s="121">
        <v>1514</v>
      </c>
      <c r="C18190" s="121">
        <v>19</v>
      </c>
      <c r="D18190" s="734">
        <v>146.09656804421184</v>
      </c>
      <c r="E18190" s="733"/>
    </row>
    <row r="18191" spans="2:5">
      <c r="B18191" s="121">
        <v>1515</v>
      </c>
      <c r="C18191" s="121">
        <v>1</v>
      </c>
      <c r="D18191" s="734">
        <v>5</v>
      </c>
      <c r="E18191" s="733"/>
    </row>
    <row r="18192" spans="2:5">
      <c r="B18192" s="121">
        <v>1515</v>
      </c>
      <c r="C18192" s="121">
        <v>2</v>
      </c>
      <c r="D18192" s="734">
        <v>97.82798243869334</v>
      </c>
      <c r="E18192" s="733"/>
    </row>
    <row r="18193" spans="2:5">
      <c r="B18193" s="121">
        <v>1515</v>
      </c>
      <c r="C18193" s="121">
        <v>3</v>
      </c>
      <c r="D18193" s="734">
        <v>123.15813167064915</v>
      </c>
      <c r="E18193" s="733"/>
    </row>
    <row r="18194" spans="2:5">
      <c r="B18194" s="121">
        <v>1516</v>
      </c>
      <c r="C18194" s="121">
        <v>1</v>
      </c>
      <c r="D18194" s="734">
        <v>5</v>
      </c>
      <c r="E18194" s="733"/>
    </row>
    <row r="18195" spans="2:5">
      <c r="B18195" s="121">
        <v>1517</v>
      </c>
      <c r="C18195" s="121">
        <v>1</v>
      </c>
      <c r="D18195" s="734">
        <v>5</v>
      </c>
      <c r="E18195" s="733"/>
    </row>
    <row r="18196" spans="2:5">
      <c r="B18196" s="121">
        <v>1518</v>
      </c>
      <c r="C18196" s="121">
        <v>1</v>
      </c>
      <c r="D18196" s="734">
        <v>5</v>
      </c>
      <c r="E18196" s="733"/>
    </row>
    <row r="18197" spans="2:5">
      <c r="B18197" s="121">
        <v>1519</v>
      </c>
      <c r="C18197" s="121">
        <v>1</v>
      </c>
      <c r="D18197" s="734">
        <v>5</v>
      </c>
      <c r="E18197" s="733"/>
    </row>
    <row r="18198" spans="2:5">
      <c r="B18198" s="121">
        <v>1519</v>
      </c>
      <c r="C18198" s="121">
        <v>2</v>
      </c>
      <c r="D18198" s="734">
        <v>98.349374533435068</v>
      </c>
      <c r="E18198" s="733"/>
    </row>
    <row r="18199" spans="2:5">
      <c r="B18199" s="121">
        <v>1520</v>
      </c>
      <c r="C18199" s="121">
        <v>1</v>
      </c>
      <c r="D18199" s="734">
        <v>5</v>
      </c>
      <c r="E18199" s="733"/>
    </row>
    <row r="18200" spans="2:5">
      <c r="B18200" s="121">
        <v>1521</v>
      </c>
      <c r="C18200" s="121">
        <v>1</v>
      </c>
      <c r="D18200" s="734">
        <v>5</v>
      </c>
      <c r="E18200" s="733"/>
    </row>
    <row r="18201" spans="2:5">
      <c r="B18201" s="121">
        <v>1521</v>
      </c>
      <c r="C18201" s="121">
        <v>2</v>
      </c>
      <c r="D18201" s="734">
        <v>100.83411505870288</v>
      </c>
      <c r="E18201" s="733"/>
    </row>
    <row r="18202" spans="2:5">
      <c r="B18202" s="121">
        <v>1522</v>
      </c>
      <c r="C18202" s="121">
        <v>1</v>
      </c>
      <c r="D18202" s="734">
        <v>5</v>
      </c>
      <c r="E18202" s="733"/>
    </row>
    <row r="18203" spans="2:5">
      <c r="B18203" s="121">
        <v>1523</v>
      </c>
      <c r="C18203" s="121">
        <v>1</v>
      </c>
      <c r="D18203" s="734">
        <v>5</v>
      </c>
      <c r="E18203" s="733"/>
    </row>
    <row r="18204" spans="2:5">
      <c r="B18204" s="121">
        <v>1523</v>
      </c>
      <c r="C18204" s="121">
        <v>2</v>
      </c>
      <c r="D18204" s="734">
        <v>100.91482273737407</v>
      </c>
      <c r="E18204" s="733"/>
    </row>
    <row r="18205" spans="2:5">
      <c r="B18205" s="121">
        <v>1523</v>
      </c>
      <c r="C18205" s="121">
        <v>3</v>
      </c>
      <c r="D18205" s="734">
        <v>125.52079327589185</v>
      </c>
      <c r="E18205" s="733"/>
    </row>
    <row r="18206" spans="2:5">
      <c r="B18206" s="121">
        <v>1523</v>
      </c>
      <c r="C18206" s="121">
        <v>4</v>
      </c>
      <c r="D18206" s="734">
        <v>139.76705774938605</v>
      </c>
      <c r="E18206" s="733"/>
    </row>
    <row r="18207" spans="2:5">
      <c r="B18207" s="121">
        <v>1523</v>
      </c>
      <c r="C18207" s="121">
        <v>5</v>
      </c>
      <c r="D18207" s="734">
        <v>137.60458672963219</v>
      </c>
      <c r="E18207" s="733"/>
    </row>
    <row r="18208" spans="2:5">
      <c r="B18208" s="121">
        <v>1523</v>
      </c>
      <c r="C18208" s="121">
        <v>6</v>
      </c>
      <c r="D18208" s="734">
        <v>140.96453551556286</v>
      </c>
      <c r="E18208" s="733"/>
    </row>
    <row r="18209" spans="2:5">
      <c r="B18209" s="121">
        <v>1523</v>
      </c>
      <c r="C18209" s="121">
        <v>7</v>
      </c>
      <c r="D18209" s="734">
        <v>144.3318489617333</v>
      </c>
      <c r="E18209" s="733"/>
    </row>
    <row r="18210" spans="2:5">
      <c r="B18210" s="121">
        <v>1523</v>
      </c>
      <c r="C18210" s="121">
        <v>8</v>
      </c>
      <c r="D18210" s="734">
        <v>134.56577296556998</v>
      </c>
      <c r="E18210" s="733"/>
    </row>
    <row r="18211" spans="2:5">
      <c r="B18211" s="121">
        <v>1523</v>
      </c>
      <c r="C18211" s="121">
        <v>9</v>
      </c>
      <c r="D18211" s="734">
        <v>134.17390987374125</v>
      </c>
      <c r="E18211" s="733"/>
    </row>
    <row r="18212" spans="2:5">
      <c r="B18212" s="121">
        <v>1524</v>
      </c>
      <c r="C18212" s="121">
        <v>1</v>
      </c>
      <c r="D18212" s="734">
        <v>5</v>
      </c>
      <c r="E18212" s="733"/>
    </row>
    <row r="18213" spans="2:5">
      <c r="B18213" s="121">
        <v>1524</v>
      </c>
      <c r="C18213" s="121">
        <v>2</v>
      </c>
      <c r="D18213" s="734">
        <v>99.284360778664521</v>
      </c>
      <c r="E18213" s="733"/>
    </row>
    <row r="18214" spans="2:5">
      <c r="B18214" s="121">
        <v>1524</v>
      </c>
      <c r="C18214" s="121">
        <v>3</v>
      </c>
      <c r="D18214" s="734">
        <v>123.28009651090825</v>
      </c>
      <c r="E18214" s="733"/>
    </row>
    <row r="18215" spans="2:5">
      <c r="B18215" s="121">
        <v>1524</v>
      </c>
      <c r="C18215" s="121">
        <v>4</v>
      </c>
      <c r="D18215" s="734">
        <v>139.35573036642364</v>
      </c>
      <c r="E18215" s="733"/>
    </row>
    <row r="18216" spans="2:5">
      <c r="B18216" s="121">
        <v>1524</v>
      </c>
      <c r="C18216" s="121">
        <v>5</v>
      </c>
      <c r="D18216" s="734">
        <v>136.38660533062966</v>
      </c>
      <c r="E18216" s="733"/>
    </row>
    <row r="18217" spans="2:5">
      <c r="B18217" s="121">
        <v>1524</v>
      </c>
      <c r="C18217" s="121">
        <v>6</v>
      </c>
      <c r="D18217" s="734">
        <v>145.71929400437665</v>
      </c>
      <c r="E18217" s="733"/>
    </row>
    <row r="18218" spans="2:5">
      <c r="B18218" s="121">
        <v>1524</v>
      </c>
      <c r="C18218" s="121">
        <v>7</v>
      </c>
      <c r="D18218" s="734">
        <v>143.36870336557496</v>
      </c>
      <c r="E18218" s="733"/>
    </row>
    <row r="18219" spans="2:5">
      <c r="B18219" s="121">
        <v>1524</v>
      </c>
      <c r="C18219" s="121">
        <v>8</v>
      </c>
      <c r="D18219" s="734">
        <v>135.70762570101272</v>
      </c>
      <c r="E18219" s="733"/>
    </row>
    <row r="18220" spans="2:5">
      <c r="B18220" s="121">
        <v>1524</v>
      </c>
      <c r="C18220" s="121">
        <v>9</v>
      </c>
      <c r="D18220" s="734">
        <v>137.02725301710086</v>
      </c>
      <c r="E18220" s="733"/>
    </row>
    <row r="18221" spans="2:5">
      <c r="B18221" s="121">
        <v>1524</v>
      </c>
      <c r="C18221" s="121">
        <v>10</v>
      </c>
      <c r="D18221" s="734">
        <v>141.35731514838028</v>
      </c>
      <c r="E18221" s="733"/>
    </row>
    <row r="18222" spans="2:5">
      <c r="B18222" s="121">
        <v>1524</v>
      </c>
      <c r="C18222" s="121">
        <v>11</v>
      </c>
      <c r="D18222" s="734">
        <v>134.92468769043083</v>
      </c>
      <c r="E18222" s="733"/>
    </row>
    <row r="18223" spans="2:5">
      <c r="B18223" s="121">
        <v>1524</v>
      </c>
      <c r="C18223" s="121">
        <v>12</v>
      </c>
      <c r="D18223" s="734">
        <v>137.85917573733869</v>
      </c>
      <c r="E18223" s="733"/>
    </row>
    <row r="18224" spans="2:5">
      <c r="B18224" s="121">
        <v>1524</v>
      </c>
      <c r="C18224" s="121">
        <v>13</v>
      </c>
      <c r="D18224" s="734">
        <v>144.76754488024429</v>
      </c>
      <c r="E18224" s="733"/>
    </row>
    <row r="18225" spans="2:5">
      <c r="B18225" s="121">
        <v>1524</v>
      </c>
      <c r="C18225" s="121">
        <v>14</v>
      </c>
      <c r="D18225" s="734">
        <v>141.99219602730233</v>
      </c>
      <c r="E18225" s="733"/>
    </row>
    <row r="18226" spans="2:5">
      <c r="B18226" s="121">
        <v>1524</v>
      </c>
      <c r="C18226" s="121">
        <v>15</v>
      </c>
      <c r="D18226" s="734">
        <v>143.47169821327813</v>
      </c>
      <c r="E18226" s="733"/>
    </row>
    <row r="18227" spans="2:5">
      <c r="B18227" s="121">
        <v>1524</v>
      </c>
      <c r="C18227" s="121">
        <v>16</v>
      </c>
      <c r="D18227" s="734">
        <v>138.37459834663957</v>
      </c>
      <c r="E18227" s="733"/>
    </row>
    <row r="18228" spans="2:5">
      <c r="B18228" s="121">
        <v>1524</v>
      </c>
      <c r="C18228" s="121">
        <v>17</v>
      </c>
      <c r="D18228" s="734">
        <v>144.02241453669552</v>
      </c>
      <c r="E18228" s="733"/>
    </row>
    <row r="18229" spans="2:5">
      <c r="B18229" s="121">
        <v>1524</v>
      </c>
      <c r="C18229" s="121">
        <v>18</v>
      </c>
      <c r="D18229" s="734">
        <v>135.25835044404053</v>
      </c>
      <c r="E18229" s="733"/>
    </row>
    <row r="18230" spans="2:5">
      <c r="B18230" s="121">
        <v>1524</v>
      </c>
      <c r="C18230" s="121">
        <v>19</v>
      </c>
      <c r="D18230" s="734">
        <v>146.95047728811016</v>
      </c>
      <c r="E18230" s="733"/>
    </row>
    <row r="18231" spans="2:5">
      <c r="B18231" s="121">
        <v>1524</v>
      </c>
      <c r="C18231" s="121">
        <v>20</v>
      </c>
      <c r="D18231" s="734">
        <v>134.45563610744452</v>
      </c>
      <c r="E18231" s="733"/>
    </row>
    <row r="18232" spans="2:5">
      <c r="B18232" s="121">
        <v>1524</v>
      </c>
      <c r="C18232" s="121">
        <v>21</v>
      </c>
      <c r="D18232" s="734">
        <v>135.66526308045871</v>
      </c>
      <c r="E18232" s="733"/>
    </row>
    <row r="18233" spans="2:5">
      <c r="B18233" s="121">
        <v>1524</v>
      </c>
      <c r="C18233" s="121">
        <v>22</v>
      </c>
      <c r="D18233" s="734">
        <v>140.35904701143903</v>
      </c>
      <c r="E18233" s="733"/>
    </row>
    <row r="18234" spans="2:5">
      <c r="B18234" s="121">
        <v>1524</v>
      </c>
      <c r="C18234" s="121">
        <v>23</v>
      </c>
      <c r="D18234" s="734">
        <v>143.93540742213003</v>
      </c>
      <c r="E18234" s="733"/>
    </row>
    <row r="18235" spans="2:5">
      <c r="B18235" s="121">
        <v>1524</v>
      </c>
      <c r="C18235" s="121">
        <v>24</v>
      </c>
      <c r="D18235" s="734">
        <v>145.8102578622412</v>
      </c>
      <c r="E18235" s="733"/>
    </row>
    <row r="18236" spans="2:5">
      <c r="B18236" s="121">
        <v>1524</v>
      </c>
      <c r="C18236" s="121">
        <v>25</v>
      </c>
      <c r="D18236" s="734">
        <v>137.78804345248477</v>
      </c>
      <c r="E18236" s="733"/>
    </row>
    <row r="18237" spans="2:5">
      <c r="B18237" s="121">
        <v>1524</v>
      </c>
      <c r="C18237" s="121">
        <v>26</v>
      </c>
      <c r="D18237" s="734">
        <v>140.24718469579372</v>
      </c>
      <c r="E18237" s="733"/>
    </row>
    <row r="18238" spans="2:5">
      <c r="B18238" s="121">
        <v>1524</v>
      </c>
      <c r="C18238" s="121">
        <v>27</v>
      </c>
      <c r="D18238" s="734">
        <v>146.83068626197428</v>
      </c>
      <c r="E18238" s="733"/>
    </row>
    <row r="18239" spans="2:5">
      <c r="B18239" s="121">
        <v>1524</v>
      </c>
      <c r="C18239" s="121">
        <v>28</v>
      </c>
      <c r="D18239" s="734">
        <v>147.03577970181277</v>
      </c>
      <c r="E18239" s="733"/>
    </row>
    <row r="18240" spans="2:5">
      <c r="B18240" s="121">
        <v>1524</v>
      </c>
      <c r="C18240" s="121">
        <v>29</v>
      </c>
      <c r="D18240" s="734">
        <v>136.94239662322568</v>
      </c>
      <c r="E18240" s="733"/>
    </row>
    <row r="18241" spans="2:5">
      <c r="B18241" s="121">
        <v>1524</v>
      </c>
      <c r="C18241" s="121">
        <v>30</v>
      </c>
      <c r="D18241" s="734">
        <v>146.03184334026241</v>
      </c>
      <c r="E18241" s="733"/>
    </row>
    <row r="18242" spans="2:5">
      <c r="B18242" s="121">
        <v>1524</v>
      </c>
      <c r="C18242" s="121">
        <v>31</v>
      </c>
      <c r="D18242" s="734">
        <v>143.74885265907463</v>
      </c>
      <c r="E18242" s="733"/>
    </row>
    <row r="18243" spans="2:5">
      <c r="B18243" s="121">
        <v>1524</v>
      </c>
      <c r="C18243" s="121">
        <v>32</v>
      </c>
      <c r="D18243" s="734">
        <v>141.76963677569802</v>
      </c>
      <c r="E18243" s="733"/>
    </row>
    <row r="18244" spans="2:5">
      <c r="B18244" s="121">
        <v>1524</v>
      </c>
      <c r="C18244" s="121">
        <v>33</v>
      </c>
      <c r="D18244" s="734">
        <v>135.70164476895582</v>
      </c>
      <c r="E18244" s="733"/>
    </row>
    <row r="18245" spans="2:5">
      <c r="B18245" s="121">
        <v>1524</v>
      </c>
      <c r="C18245" s="121">
        <v>34</v>
      </c>
      <c r="D18245" s="734">
        <v>134.01537567915437</v>
      </c>
      <c r="E18245" s="733"/>
    </row>
    <row r="18246" spans="2:5">
      <c r="B18246" s="121">
        <v>1524</v>
      </c>
      <c r="C18246" s="121">
        <v>35</v>
      </c>
      <c r="D18246" s="734">
        <v>135.77481336927391</v>
      </c>
      <c r="E18246" s="733"/>
    </row>
    <row r="18247" spans="2:5">
      <c r="B18247" s="121">
        <v>1524</v>
      </c>
      <c r="C18247" s="121">
        <v>36</v>
      </c>
      <c r="D18247" s="734">
        <v>140.98756229957414</v>
      </c>
      <c r="E18247" s="733"/>
    </row>
    <row r="18248" spans="2:5">
      <c r="B18248" s="121">
        <v>1525</v>
      </c>
      <c r="C18248" s="121">
        <v>1</v>
      </c>
      <c r="D18248" s="734">
        <v>5</v>
      </c>
      <c r="E18248" s="733"/>
    </row>
    <row r="18249" spans="2:5">
      <c r="B18249" s="121">
        <v>1525</v>
      </c>
      <c r="C18249" s="121">
        <v>2</v>
      </c>
      <c r="D18249" s="734">
        <v>95.959809360899357</v>
      </c>
      <c r="E18249" s="733"/>
    </row>
    <row r="18250" spans="2:5">
      <c r="B18250" s="121">
        <v>1525</v>
      </c>
      <c r="C18250" s="121">
        <v>3</v>
      </c>
      <c r="D18250" s="734">
        <v>120.21081340710637</v>
      </c>
      <c r="E18250" s="733"/>
    </row>
    <row r="18251" spans="2:5">
      <c r="B18251" s="121">
        <v>1525</v>
      </c>
      <c r="C18251" s="121">
        <v>4</v>
      </c>
      <c r="D18251" s="734">
        <v>134.70384540257024</v>
      </c>
      <c r="E18251" s="733"/>
    </row>
    <row r="18252" spans="2:5">
      <c r="B18252" s="121">
        <v>1525</v>
      </c>
      <c r="C18252" s="121">
        <v>5</v>
      </c>
      <c r="D18252" s="734">
        <v>137.19530865720657</v>
      </c>
      <c r="E18252" s="733"/>
    </row>
    <row r="18253" spans="2:5">
      <c r="B18253" s="121">
        <v>1525</v>
      </c>
      <c r="C18253" s="121">
        <v>6</v>
      </c>
      <c r="D18253" s="734">
        <v>137.47630491559659</v>
      </c>
      <c r="E18253" s="733"/>
    </row>
    <row r="18254" spans="2:5">
      <c r="B18254" s="121">
        <v>1525</v>
      </c>
      <c r="C18254" s="121">
        <v>7</v>
      </c>
      <c r="D18254" s="734">
        <v>136.94308076683171</v>
      </c>
      <c r="E18254" s="733"/>
    </row>
    <row r="18255" spans="2:5">
      <c r="B18255" s="121">
        <v>1525</v>
      </c>
      <c r="C18255" s="121">
        <v>8</v>
      </c>
      <c r="D18255" s="734">
        <v>143.73773880446151</v>
      </c>
      <c r="E18255" s="733"/>
    </row>
    <row r="18256" spans="2:5">
      <c r="B18256" s="121">
        <v>1525</v>
      </c>
      <c r="C18256" s="121">
        <v>9</v>
      </c>
      <c r="D18256" s="734">
        <v>138.62630841216705</v>
      </c>
      <c r="E18256" s="733"/>
    </row>
    <row r="18257" spans="2:5">
      <c r="B18257" s="121">
        <v>1525</v>
      </c>
      <c r="C18257" s="121">
        <v>10</v>
      </c>
      <c r="D18257" s="734">
        <v>136.95750593216661</v>
      </c>
      <c r="E18257" s="733"/>
    </row>
    <row r="18258" spans="2:5">
      <c r="B18258" s="121">
        <v>1525</v>
      </c>
      <c r="C18258" s="121">
        <v>11</v>
      </c>
      <c r="D18258" s="734">
        <v>144.63674657929957</v>
      </c>
      <c r="E18258" s="733"/>
    </row>
    <row r="18259" spans="2:5">
      <c r="B18259" s="121">
        <v>1525</v>
      </c>
      <c r="C18259" s="121">
        <v>12</v>
      </c>
      <c r="D18259" s="734">
        <v>137.67968334724551</v>
      </c>
      <c r="E18259" s="733"/>
    </row>
    <row r="18260" spans="2:5">
      <c r="B18260" s="121">
        <v>1525</v>
      </c>
      <c r="C18260" s="121">
        <v>13</v>
      </c>
      <c r="D18260" s="734">
        <v>136.8857540848507</v>
      </c>
      <c r="E18260" s="733"/>
    </row>
    <row r="18261" spans="2:5">
      <c r="B18261" s="121">
        <v>1525</v>
      </c>
      <c r="C18261" s="121">
        <v>14</v>
      </c>
      <c r="D18261" s="734">
        <v>138.70011937100477</v>
      </c>
      <c r="E18261" s="733"/>
    </row>
    <row r="18262" spans="2:5">
      <c r="B18262" s="121">
        <v>1525</v>
      </c>
      <c r="C18262" s="121">
        <v>15</v>
      </c>
      <c r="D18262" s="734">
        <v>136.93061170677481</v>
      </c>
      <c r="E18262" s="733"/>
    </row>
    <row r="18263" spans="2:5">
      <c r="B18263" s="121">
        <v>1526</v>
      </c>
      <c r="C18263" s="121">
        <v>1</v>
      </c>
      <c r="D18263" s="734">
        <v>5</v>
      </c>
      <c r="E18263" s="733"/>
    </row>
    <row r="18264" spans="2:5">
      <c r="B18264" s="121">
        <v>1526</v>
      </c>
      <c r="C18264" s="121">
        <v>2</v>
      </c>
      <c r="D18264" s="734">
        <v>94.281984809766413</v>
      </c>
      <c r="E18264" s="733"/>
    </row>
    <row r="18265" spans="2:5">
      <c r="B18265" s="121">
        <v>1526</v>
      </c>
      <c r="C18265" s="121">
        <v>3</v>
      </c>
      <c r="D18265" s="734">
        <v>114.0162723129874</v>
      </c>
      <c r="E18265" s="733"/>
    </row>
    <row r="18266" spans="2:5">
      <c r="B18266" s="121">
        <v>1526</v>
      </c>
      <c r="C18266" s="121">
        <v>4</v>
      </c>
      <c r="D18266" s="734">
        <v>134.23256407045932</v>
      </c>
      <c r="E18266" s="733"/>
    </row>
    <row r="18267" spans="2:5">
      <c r="B18267" s="121">
        <v>1526</v>
      </c>
      <c r="C18267" s="121">
        <v>5</v>
      </c>
      <c r="D18267" s="734">
        <v>144.88278303510711</v>
      </c>
      <c r="E18267" s="733"/>
    </row>
    <row r="18268" spans="2:5">
      <c r="B18268" s="121">
        <v>1526</v>
      </c>
      <c r="C18268" s="121">
        <v>6</v>
      </c>
      <c r="D18268" s="734">
        <v>139.972688681493</v>
      </c>
      <c r="E18268" s="733"/>
    </row>
    <row r="18269" spans="2:5">
      <c r="B18269" s="121">
        <v>1526</v>
      </c>
      <c r="C18269" s="121">
        <v>7</v>
      </c>
      <c r="D18269" s="734">
        <v>139.08102998028841</v>
      </c>
      <c r="E18269" s="733"/>
    </row>
    <row r="18270" spans="2:5">
      <c r="B18270" s="121">
        <v>1526</v>
      </c>
      <c r="C18270" s="121">
        <v>8</v>
      </c>
      <c r="D18270" s="734">
        <v>137.67734487362819</v>
      </c>
      <c r="E18270" s="733"/>
    </row>
    <row r="18271" spans="2:5">
      <c r="B18271" s="121">
        <v>1526</v>
      </c>
      <c r="C18271" s="121">
        <v>9</v>
      </c>
      <c r="D18271" s="734">
        <v>138.33721514533156</v>
      </c>
      <c r="E18271" s="733"/>
    </row>
    <row r="18272" spans="2:5">
      <c r="B18272" s="121">
        <v>1526</v>
      </c>
      <c r="C18272" s="121">
        <v>10</v>
      </c>
      <c r="D18272" s="734">
        <v>136.74350504191051</v>
      </c>
      <c r="E18272" s="733"/>
    </row>
    <row r="18273" spans="2:5">
      <c r="B18273" s="121">
        <v>1526</v>
      </c>
      <c r="C18273" s="121">
        <v>11</v>
      </c>
      <c r="D18273" s="734">
        <v>139.44467285955722</v>
      </c>
      <c r="E18273" s="733"/>
    </row>
    <row r="18274" spans="2:5">
      <c r="B18274" s="121">
        <v>1526</v>
      </c>
      <c r="C18274" s="121">
        <v>12</v>
      </c>
      <c r="D18274" s="734">
        <v>143.51649746708136</v>
      </c>
      <c r="E18274" s="733"/>
    </row>
    <row r="18275" spans="2:5">
      <c r="B18275" s="121">
        <v>1526</v>
      </c>
      <c r="C18275" s="121">
        <v>13</v>
      </c>
      <c r="D18275" s="734">
        <v>147.23367770044629</v>
      </c>
      <c r="E18275" s="733"/>
    </row>
    <row r="18276" spans="2:5">
      <c r="B18276" s="121">
        <v>1527</v>
      </c>
      <c r="C18276" s="121">
        <v>1</v>
      </c>
      <c r="D18276" s="734">
        <v>5</v>
      </c>
      <c r="E18276" s="733"/>
    </row>
    <row r="18277" spans="2:5">
      <c r="B18277" s="121">
        <v>1528</v>
      </c>
      <c r="C18277" s="121">
        <v>1</v>
      </c>
      <c r="D18277" s="734">
        <v>5</v>
      </c>
      <c r="E18277" s="733"/>
    </row>
    <row r="18278" spans="2:5">
      <c r="B18278" s="121">
        <v>1528</v>
      </c>
      <c r="C18278" s="121">
        <v>2</v>
      </c>
      <c r="D18278" s="734">
        <v>96.115655143582174</v>
      </c>
      <c r="E18278" s="733"/>
    </row>
    <row r="18279" spans="2:5">
      <c r="B18279" s="121">
        <v>1528</v>
      </c>
      <c r="C18279" s="121">
        <v>3</v>
      </c>
      <c r="D18279" s="734">
        <v>117.17450803934034</v>
      </c>
      <c r="E18279" s="733"/>
    </row>
    <row r="18280" spans="2:5">
      <c r="B18280" s="121">
        <v>1528</v>
      </c>
      <c r="C18280" s="121">
        <v>4</v>
      </c>
      <c r="D18280" s="734">
        <v>142.29814844333586</v>
      </c>
      <c r="E18280" s="733"/>
    </row>
    <row r="18281" spans="2:5">
      <c r="B18281" s="121">
        <v>1528</v>
      </c>
      <c r="C18281" s="121">
        <v>5</v>
      </c>
      <c r="D18281" s="734">
        <v>146.89815410580181</v>
      </c>
      <c r="E18281" s="733"/>
    </row>
    <row r="18282" spans="2:5">
      <c r="B18282" s="121">
        <v>1528</v>
      </c>
      <c r="C18282" s="121">
        <v>6</v>
      </c>
      <c r="D18282" s="734">
        <v>137.99988244794852</v>
      </c>
      <c r="E18282" s="733"/>
    </row>
    <row r="18283" spans="2:5">
      <c r="B18283" s="121">
        <v>1528</v>
      </c>
      <c r="C18283" s="121">
        <v>7</v>
      </c>
      <c r="D18283" s="734">
        <v>143.43134887665204</v>
      </c>
      <c r="E18283" s="733"/>
    </row>
    <row r="18284" spans="2:5">
      <c r="B18284" s="121">
        <v>1528</v>
      </c>
      <c r="C18284" s="121">
        <v>8</v>
      </c>
      <c r="D18284" s="734">
        <v>146.54456135297107</v>
      </c>
      <c r="E18284" s="733"/>
    </row>
    <row r="18285" spans="2:5">
      <c r="B18285" s="121">
        <v>1528</v>
      </c>
      <c r="C18285" s="121">
        <v>9</v>
      </c>
      <c r="D18285" s="734">
        <v>144.39407302026004</v>
      </c>
      <c r="E18285" s="733"/>
    </row>
    <row r="18286" spans="2:5">
      <c r="B18286" s="121">
        <v>1528</v>
      </c>
      <c r="C18286" s="121">
        <v>10</v>
      </c>
      <c r="D18286" s="734">
        <v>138.70296142872346</v>
      </c>
      <c r="E18286" s="733"/>
    </row>
    <row r="18287" spans="2:5">
      <c r="B18287" s="121">
        <v>1528</v>
      </c>
      <c r="C18287" s="121">
        <v>11</v>
      </c>
      <c r="D18287" s="734">
        <v>138.8892602520171</v>
      </c>
      <c r="E18287" s="733"/>
    </row>
    <row r="18288" spans="2:5">
      <c r="B18288" s="121">
        <v>1529</v>
      </c>
      <c r="C18288" s="121">
        <v>1</v>
      </c>
      <c r="D18288" s="734">
        <v>5</v>
      </c>
      <c r="E18288" s="733"/>
    </row>
    <row r="18289" spans="2:5">
      <c r="B18289" s="121">
        <v>1529</v>
      </c>
      <c r="C18289" s="121">
        <v>2</v>
      </c>
      <c r="D18289" s="734">
        <v>100.81225673305769</v>
      </c>
      <c r="E18289" s="733"/>
    </row>
    <row r="18290" spans="2:5">
      <c r="B18290" s="121">
        <v>1529</v>
      </c>
      <c r="C18290" s="121">
        <v>3</v>
      </c>
      <c r="D18290" s="734">
        <v>117.90033513961787</v>
      </c>
      <c r="E18290" s="733"/>
    </row>
    <row r="18291" spans="2:5">
      <c r="B18291" s="121">
        <v>1529</v>
      </c>
      <c r="C18291" s="121">
        <v>4</v>
      </c>
      <c r="D18291" s="734">
        <v>139.82369111753016</v>
      </c>
      <c r="E18291" s="733"/>
    </row>
    <row r="18292" spans="2:5">
      <c r="B18292" s="121">
        <v>1529</v>
      </c>
      <c r="C18292" s="121">
        <v>5</v>
      </c>
      <c r="D18292" s="734">
        <v>143.5001953172943</v>
      </c>
      <c r="E18292" s="733"/>
    </row>
    <row r="18293" spans="2:5">
      <c r="B18293" s="121">
        <v>1529</v>
      </c>
      <c r="C18293" s="121">
        <v>6</v>
      </c>
      <c r="D18293" s="734">
        <v>141.25747559184015</v>
      </c>
      <c r="E18293" s="733"/>
    </row>
    <row r="18294" spans="2:5">
      <c r="B18294" s="121">
        <v>1529</v>
      </c>
      <c r="C18294" s="121">
        <v>7</v>
      </c>
      <c r="D18294" s="734">
        <v>133.68997184137049</v>
      </c>
      <c r="E18294" s="733"/>
    </row>
    <row r="18295" spans="2:5">
      <c r="B18295" s="121">
        <v>1529</v>
      </c>
      <c r="C18295" s="121">
        <v>8</v>
      </c>
      <c r="D18295" s="734">
        <v>139.73802452527278</v>
      </c>
      <c r="E18295" s="733"/>
    </row>
    <row r="18296" spans="2:5">
      <c r="B18296" s="121">
        <v>1529</v>
      </c>
      <c r="C18296" s="121">
        <v>9</v>
      </c>
      <c r="D18296" s="734">
        <v>141.40088372841672</v>
      </c>
      <c r="E18296" s="733"/>
    </row>
    <row r="18297" spans="2:5">
      <c r="B18297" s="121">
        <v>1529</v>
      </c>
      <c r="C18297" s="121">
        <v>10</v>
      </c>
      <c r="D18297" s="734">
        <v>146.82673058595074</v>
      </c>
      <c r="E18297" s="733"/>
    </row>
    <row r="18298" spans="2:5">
      <c r="B18298" s="121">
        <v>1529</v>
      </c>
      <c r="C18298" s="121">
        <v>11</v>
      </c>
      <c r="D18298" s="734">
        <v>137.94479252103895</v>
      </c>
      <c r="E18298" s="733"/>
    </row>
    <row r="18299" spans="2:5">
      <c r="B18299" s="121">
        <v>1529</v>
      </c>
      <c r="C18299" s="121">
        <v>12</v>
      </c>
      <c r="D18299" s="734">
        <v>141.0543183679431</v>
      </c>
      <c r="E18299" s="733"/>
    </row>
    <row r="18300" spans="2:5">
      <c r="B18300" s="121">
        <v>1529</v>
      </c>
      <c r="C18300" s="121">
        <v>13</v>
      </c>
      <c r="D18300" s="734">
        <v>137.04257523895458</v>
      </c>
      <c r="E18300" s="733"/>
    </row>
    <row r="18301" spans="2:5">
      <c r="B18301" s="121">
        <v>1529</v>
      </c>
      <c r="C18301" s="121">
        <v>14</v>
      </c>
      <c r="D18301" s="734">
        <v>134.27950504404686</v>
      </c>
      <c r="E18301" s="733"/>
    </row>
    <row r="18302" spans="2:5">
      <c r="B18302" s="121">
        <v>1529</v>
      </c>
      <c r="C18302" s="121">
        <v>15</v>
      </c>
      <c r="D18302" s="734">
        <v>139.59567260915523</v>
      </c>
      <c r="E18302" s="733"/>
    </row>
    <row r="18303" spans="2:5">
      <c r="B18303" s="121">
        <v>1529</v>
      </c>
      <c r="C18303" s="121">
        <v>16</v>
      </c>
      <c r="D18303" s="734">
        <v>134.67639629354971</v>
      </c>
      <c r="E18303" s="733"/>
    </row>
    <row r="18304" spans="2:5">
      <c r="B18304" s="121">
        <v>1529</v>
      </c>
      <c r="C18304" s="121">
        <v>17</v>
      </c>
      <c r="D18304" s="734">
        <v>144.55843952285738</v>
      </c>
      <c r="E18304" s="733"/>
    </row>
    <row r="18305" spans="2:5">
      <c r="B18305" s="121">
        <v>1529</v>
      </c>
      <c r="C18305" s="121">
        <v>18</v>
      </c>
      <c r="D18305" s="734">
        <v>136.75908611511505</v>
      </c>
      <c r="E18305" s="733"/>
    </row>
    <row r="18306" spans="2:5">
      <c r="B18306" s="121">
        <v>1529</v>
      </c>
      <c r="C18306" s="121">
        <v>19</v>
      </c>
      <c r="D18306" s="734">
        <v>139.67733380096951</v>
      </c>
      <c r="E18306" s="733"/>
    </row>
    <row r="18307" spans="2:5">
      <c r="B18307" s="121">
        <v>1529</v>
      </c>
      <c r="C18307" s="121">
        <v>20</v>
      </c>
      <c r="D18307" s="734">
        <v>144.63114189537137</v>
      </c>
      <c r="E18307" s="733"/>
    </row>
    <row r="18308" spans="2:5">
      <c r="B18308" s="121">
        <v>1529</v>
      </c>
      <c r="C18308" s="121">
        <v>21</v>
      </c>
      <c r="D18308" s="734">
        <v>143.844730207205</v>
      </c>
      <c r="E18308" s="733"/>
    </row>
    <row r="18309" spans="2:5">
      <c r="B18309" s="121">
        <v>1529</v>
      </c>
      <c r="C18309" s="121">
        <v>22</v>
      </c>
      <c r="D18309" s="734">
        <v>143.78750039343217</v>
      </c>
      <c r="E18309" s="733"/>
    </row>
    <row r="18310" spans="2:5">
      <c r="B18310" s="121">
        <v>1529</v>
      </c>
      <c r="C18310" s="121">
        <v>23</v>
      </c>
      <c r="D18310" s="734">
        <v>140.78869930208529</v>
      </c>
      <c r="E18310" s="733"/>
    </row>
    <row r="18311" spans="2:5">
      <c r="B18311" s="121">
        <v>1529</v>
      </c>
      <c r="C18311" s="121">
        <v>24</v>
      </c>
      <c r="D18311" s="734">
        <v>147.10317744586118</v>
      </c>
      <c r="E18311" s="733"/>
    </row>
    <row r="18312" spans="2:5">
      <c r="B18312" s="121">
        <v>1529</v>
      </c>
      <c r="C18312" s="121">
        <v>25</v>
      </c>
      <c r="D18312" s="734">
        <v>135.30348212495682</v>
      </c>
      <c r="E18312" s="733"/>
    </row>
    <row r="18313" spans="2:5">
      <c r="B18313" s="121">
        <v>1529</v>
      </c>
      <c r="C18313" s="121">
        <v>26</v>
      </c>
      <c r="D18313" s="734">
        <v>146.83760944759109</v>
      </c>
      <c r="E18313" s="733"/>
    </row>
    <row r="18314" spans="2:5">
      <c r="B18314" s="121">
        <v>1529</v>
      </c>
      <c r="C18314" s="121">
        <v>27</v>
      </c>
      <c r="D18314" s="734">
        <v>144.33130923153561</v>
      </c>
      <c r="E18314" s="733"/>
    </row>
    <row r="18315" spans="2:5">
      <c r="B18315" s="121">
        <v>1529</v>
      </c>
      <c r="C18315" s="121">
        <v>28</v>
      </c>
      <c r="D18315" s="734">
        <v>145.60706772598368</v>
      </c>
      <c r="E18315" s="733"/>
    </row>
    <row r="18316" spans="2:5">
      <c r="B18316" s="121">
        <v>1529</v>
      </c>
      <c r="C18316" s="121">
        <v>29</v>
      </c>
      <c r="D18316" s="734">
        <v>141.76730007463141</v>
      </c>
      <c r="E18316" s="733"/>
    </row>
    <row r="18317" spans="2:5">
      <c r="B18317" s="121">
        <v>1529</v>
      </c>
      <c r="C18317" s="121">
        <v>30</v>
      </c>
      <c r="D18317" s="734">
        <v>143.38201449877721</v>
      </c>
      <c r="E18317" s="733"/>
    </row>
    <row r="18318" spans="2:5">
      <c r="B18318" s="121">
        <v>1529</v>
      </c>
      <c r="C18318" s="121">
        <v>31</v>
      </c>
      <c r="D18318" s="734">
        <v>138.72838202110566</v>
      </c>
      <c r="E18318" s="733"/>
    </row>
    <row r="18319" spans="2:5">
      <c r="B18319" s="121">
        <v>1529</v>
      </c>
      <c r="C18319" s="121">
        <v>32</v>
      </c>
      <c r="D18319" s="734">
        <v>141.71703188767754</v>
      </c>
      <c r="E18319" s="733"/>
    </row>
    <row r="18320" spans="2:5">
      <c r="B18320" s="121">
        <v>1529</v>
      </c>
      <c r="C18320" s="121">
        <v>33</v>
      </c>
      <c r="D18320" s="734">
        <v>141.37052756926855</v>
      </c>
      <c r="E18320" s="733"/>
    </row>
    <row r="18321" spans="2:5">
      <c r="B18321" s="121">
        <v>1529</v>
      </c>
      <c r="C18321" s="121">
        <v>34</v>
      </c>
      <c r="D18321" s="734">
        <v>135.76263202540483</v>
      </c>
      <c r="E18321" s="733"/>
    </row>
    <row r="18322" spans="2:5">
      <c r="B18322" s="121">
        <v>1529</v>
      </c>
      <c r="C18322" s="121">
        <v>35</v>
      </c>
      <c r="D18322" s="734">
        <v>146.64934767299405</v>
      </c>
      <c r="E18322" s="733"/>
    </row>
    <row r="18323" spans="2:5">
      <c r="B18323" s="121">
        <v>1529</v>
      </c>
      <c r="C18323" s="121">
        <v>36</v>
      </c>
      <c r="D18323" s="734">
        <v>135.69601672709754</v>
      </c>
      <c r="E18323" s="733"/>
    </row>
    <row r="18324" spans="2:5">
      <c r="B18324" s="121">
        <v>1530</v>
      </c>
      <c r="C18324" s="121">
        <v>1</v>
      </c>
      <c r="D18324" s="734">
        <v>5</v>
      </c>
      <c r="E18324" s="733"/>
    </row>
    <row r="18325" spans="2:5">
      <c r="B18325" s="121">
        <v>1530</v>
      </c>
      <c r="C18325" s="121">
        <v>2</v>
      </c>
      <c r="D18325" s="734">
        <v>102.65264977734394</v>
      </c>
      <c r="E18325" s="733"/>
    </row>
    <row r="18326" spans="2:5">
      <c r="B18326" s="121">
        <v>1530</v>
      </c>
      <c r="C18326" s="121">
        <v>3</v>
      </c>
      <c r="D18326" s="734">
        <v>119.79346057011126</v>
      </c>
      <c r="E18326" s="733"/>
    </row>
    <row r="18327" spans="2:5">
      <c r="B18327" s="121">
        <v>1530</v>
      </c>
      <c r="C18327" s="121">
        <v>4</v>
      </c>
      <c r="D18327" s="734">
        <v>140.04609674139476</v>
      </c>
      <c r="E18327" s="733"/>
    </row>
    <row r="18328" spans="2:5">
      <c r="B18328" s="121">
        <v>1530</v>
      </c>
      <c r="C18328" s="121">
        <v>5</v>
      </c>
      <c r="D18328" s="734">
        <v>141.33660255631796</v>
      </c>
      <c r="E18328" s="733"/>
    </row>
    <row r="18329" spans="2:5">
      <c r="B18329" s="121">
        <v>1530</v>
      </c>
      <c r="C18329" s="121">
        <v>6</v>
      </c>
      <c r="D18329" s="734">
        <v>146.7084643412081</v>
      </c>
      <c r="E18329" s="733"/>
    </row>
    <row r="18330" spans="2:5">
      <c r="B18330" s="121">
        <v>1530</v>
      </c>
      <c r="C18330" s="121">
        <v>7</v>
      </c>
      <c r="D18330" s="734">
        <v>136.01127001504989</v>
      </c>
      <c r="E18330" s="733"/>
    </row>
    <row r="18331" spans="2:5">
      <c r="B18331" s="121">
        <v>1530</v>
      </c>
      <c r="C18331" s="121">
        <v>8</v>
      </c>
      <c r="D18331" s="734">
        <v>137.42476247061921</v>
      </c>
      <c r="E18331" s="733"/>
    </row>
    <row r="18332" spans="2:5">
      <c r="B18332" s="121">
        <v>1530</v>
      </c>
      <c r="C18332" s="121">
        <v>9</v>
      </c>
      <c r="D18332" s="734">
        <v>141.08105828188087</v>
      </c>
      <c r="E18332" s="733"/>
    </row>
    <row r="18333" spans="2:5">
      <c r="B18333" s="121">
        <v>1530</v>
      </c>
      <c r="C18333" s="121">
        <v>10</v>
      </c>
      <c r="D18333" s="734">
        <v>147.03938243544454</v>
      </c>
      <c r="E18333" s="733"/>
    </row>
    <row r="18334" spans="2:5">
      <c r="B18334" s="121">
        <v>1530</v>
      </c>
      <c r="C18334" s="121">
        <v>11</v>
      </c>
      <c r="D18334" s="734">
        <v>141.93011602200437</v>
      </c>
      <c r="E18334" s="733"/>
    </row>
    <row r="18335" spans="2:5">
      <c r="B18335" s="121">
        <v>1531</v>
      </c>
      <c r="C18335" s="121">
        <v>1</v>
      </c>
      <c r="D18335" s="734">
        <v>5</v>
      </c>
      <c r="E18335" s="733"/>
    </row>
    <row r="18336" spans="2:5">
      <c r="B18336" s="121">
        <v>1532</v>
      </c>
      <c r="C18336" s="121">
        <v>1</v>
      </c>
      <c r="D18336" s="734">
        <v>5</v>
      </c>
      <c r="E18336" s="733"/>
    </row>
    <row r="18337" spans="2:5">
      <c r="B18337" s="121">
        <v>1532</v>
      </c>
      <c r="C18337" s="121">
        <v>2</v>
      </c>
      <c r="D18337" s="734">
        <v>98.054799790841571</v>
      </c>
      <c r="E18337" s="733"/>
    </row>
    <row r="18338" spans="2:5">
      <c r="B18338" s="121">
        <v>1532</v>
      </c>
      <c r="C18338" s="121">
        <v>3</v>
      </c>
      <c r="D18338" s="734">
        <v>115.84536224067128</v>
      </c>
      <c r="E18338" s="733"/>
    </row>
    <row r="18339" spans="2:5">
      <c r="B18339" s="121">
        <v>1532</v>
      </c>
      <c r="C18339" s="121">
        <v>4</v>
      </c>
      <c r="D18339" s="734">
        <v>138.76680007114956</v>
      </c>
      <c r="E18339" s="733"/>
    </row>
    <row r="18340" spans="2:5">
      <c r="B18340" s="121">
        <v>1532</v>
      </c>
      <c r="C18340" s="121">
        <v>5</v>
      </c>
      <c r="D18340" s="734">
        <v>136.25636207553868</v>
      </c>
      <c r="E18340" s="733"/>
    </row>
    <row r="18341" spans="2:5">
      <c r="B18341" s="121">
        <v>1532</v>
      </c>
      <c r="C18341" s="121">
        <v>6</v>
      </c>
      <c r="D18341" s="734">
        <v>145.73493136751387</v>
      </c>
      <c r="E18341" s="733"/>
    </row>
    <row r="18342" spans="2:5">
      <c r="B18342" s="121">
        <v>1532</v>
      </c>
      <c r="C18342" s="121">
        <v>7</v>
      </c>
      <c r="D18342" s="734">
        <v>142.94781716132516</v>
      </c>
      <c r="E18342" s="733"/>
    </row>
    <row r="18343" spans="2:5">
      <c r="B18343" s="121">
        <v>1532</v>
      </c>
      <c r="C18343" s="121">
        <v>8</v>
      </c>
      <c r="D18343" s="734">
        <v>144.27022247863397</v>
      </c>
      <c r="E18343" s="733"/>
    </row>
    <row r="18344" spans="2:5">
      <c r="B18344" s="121">
        <v>1532</v>
      </c>
      <c r="C18344" s="121">
        <v>9</v>
      </c>
      <c r="D18344" s="734">
        <v>136.39393155113319</v>
      </c>
      <c r="E18344" s="733"/>
    </row>
    <row r="18345" spans="2:5">
      <c r="B18345" s="121">
        <v>1532</v>
      </c>
      <c r="C18345" s="121">
        <v>10</v>
      </c>
      <c r="D18345" s="734">
        <v>140.51456184534155</v>
      </c>
      <c r="E18345" s="733"/>
    </row>
    <row r="18346" spans="2:5">
      <c r="B18346" s="121">
        <v>1532</v>
      </c>
      <c r="C18346" s="121">
        <v>11</v>
      </c>
      <c r="D18346" s="734">
        <v>146.7813282703016</v>
      </c>
      <c r="E18346" s="733"/>
    </row>
    <row r="18347" spans="2:5">
      <c r="B18347" s="121">
        <v>1532</v>
      </c>
      <c r="C18347" s="121">
        <v>12</v>
      </c>
      <c r="D18347" s="734">
        <v>138.57439464414725</v>
      </c>
      <c r="E18347" s="733"/>
    </row>
    <row r="18348" spans="2:5">
      <c r="B18348" s="121">
        <v>1532</v>
      </c>
      <c r="C18348" s="121">
        <v>13</v>
      </c>
      <c r="D18348" s="734">
        <v>140.7355276813656</v>
      </c>
      <c r="E18348" s="733"/>
    </row>
    <row r="18349" spans="2:5">
      <c r="B18349" s="121">
        <v>1532</v>
      </c>
      <c r="C18349" s="121">
        <v>14</v>
      </c>
      <c r="D18349" s="734">
        <v>137.98276550746624</v>
      </c>
      <c r="E18349" s="733"/>
    </row>
    <row r="18350" spans="2:5">
      <c r="B18350" s="121">
        <v>1532</v>
      </c>
      <c r="C18350" s="121">
        <v>15</v>
      </c>
      <c r="D18350" s="734">
        <v>135.72065093868093</v>
      </c>
      <c r="E18350" s="733"/>
    </row>
    <row r="18351" spans="2:5">
      <c r="B18351" s="121">
        <v>1532</v>
      </c>
      <c r="C18351" s="121">
        <v>16</v>
      </c>
      <c r="D18351" s="734">
        <v>139.23993914569803</v>
      </c>
      <c r="E18351" s="733"/>
    </row>
    <row r="18352" spans="2:5">
      <c r="B18352" s="121">
        <v>1532</v>
      </c>
      <c r="C18352" s="121">
        <v>17</v>
      </c>
      <c r="D18352" s="734">
        <v>142.28178627946704</v>
      </c>
      <c r="E18352" s="733"/>
    </row>
    <row r="18353" spans="2:5">
      <c r="B18353" s="121">
        <v>1532</v>
      </c>
      <c r="C18353" s="121">
        <v>18</v>
      </c>
      <c r="D18353" s="734">
        <v>142.67300492492708</v>
      </c>
      <c r="E18353" s="733"/>
    </row>
    <row r="18354" spans="2:5">
      <c r="B18354" s="121">
        <v>1532</v>
      </c>
      <c r="C18354" s="121">
        <v>19</v>
      </c>
      <c r="D18354" s="734">
        <v>133.97920470129739</v>
      </c>
      <c r="E18354" s="733"/>
    </row>
    <row r="18355" spans="2:5">
      <c r="B18355" s="121">
        <v>1532</v>
      </c>
      <c r="C18355" s="121">
        <v>20</v>
      </c>
      <c r="D18355" s="734">
        <v>134.70284735190759</v>
      </c>
      <c r="E18355" s="733"/>
    </row>
    <row r="18356" spans="2:5">
      <c r="B18356" s="121">
        <v>1532</v>
      </c>
      <c r="C18356" s="121">
        <v>21</v>
      </c>
      <c r="D18356" s="734">
        <v>134.387393274717</v>
      </c>
      <c r="E18356" s="733"/>
    </row>
    <row r="18357" spans="2:5">
      <c r="B18357" s="121">
        <v>1532</v>
      </c>
      <c r="C18357" s="121">
        <v>22</v>
      </c>
      <c r="D18357" s="734">
        <v>143.48735003610173</v>
      </c>
      <c r="E18357" s="733"/>
    </row>
    <row r="18358" spans="2:5">
      <c r="B18358" s="121">
        <v>1533</v>
      </c>
      <c r="C18358" s="121">
        <v>1</v>
      </c>
      <c r="D18358" s="734">
        <v>5</v>
      </c>
      <c r="E18358" s="733"/>
    </row>
    <row r="18359" spans="2:5">
      <c r="B18359" s="121">
        <v>1533</v>
      </c>
      <c r="C18359" s="121">
        <v>2</v>
      </c>
      <c r="D18359" s="734">
        <v>102.05284587356111</v>
      </c>
      <c r="E18359" s="733"/>
    </row>
    <row r="18360" spans="2:5">
      <c r="B18360" s="121">
        <v>1533</v>
      </c>
      <c r="C18360" s="121">
        <v>3</v>
      </c>
      <c r="D18360" s="734">
        <v>120.2186567224</v>
      </c>
      <c r="E18360" s="733"/>
    </row>
    <row r="18361" spans="2:5">
      <c r="B18361" s="121">
        <v>1533</v>
      </c>
      <c r="C18361" s="121">
        <v>4</v>
      </c>
      <c r="D18361" s="734">
        <v>135.68952653527745</v>
      </c>
      <c r="E18361" s="733"/>
    </row>
    <row r="18362" spans="2:5">
      <c r="B18362" s="121">
        <v>1533</v>
      </c>
      <c r="C18362" s="121">
        <v>5</v>
      </c>
      <c r="D18362" s="734">
        <v>146.096321531717</v>
      </c>
      <c r="E18362" s="733"/>
    </row>
    <row r="18363" spans="2:5">
      <c r="B18363" s="121">
        <v>1533</v>
      </c>
      <c r="C18363" s="121">
        <v>6</v>
      </c>
      <c r="D18363" s="734">
        <v>140.40015118032107</v>
      </c>
      <c r="E18363" s="733"/>
    </row>
    <row r="18364" spans="2:5">
      <c r="B18364" s="121">
        <v>1533</v>
      </c>
      <c r="C18364" s="121">
        <v>7</v>
      </c>
      <c r="D18364" s="734">
        <v>138.75371239495266</v>
      </c>
      <c r="E18364" s="733"/>
    </row>
    <row r="18365" spans="2:5">
      <c r="B18365" s="121">
        <v>1533</v>
      </c>
      <c r="C18365" s="121">
        <v>8</v>
      </c>
      <c r="D18365" s="734">
        <v>141.44417577939234</v>
      </c>
      <c r="E18365" s="733"/>
    </row>
    <row r="18366" spans="2:5">
      <c r="B18366" s="121">
        <v>1533</v>
      </c>
      <c r="C18366" s="121">
        <v>9</v>
      </c>
      <c r="D18366" s="734">
        <v>135.02737446710205</v>
      </c>
      <c r="E18366" s="733"/>
    </row>
    <row r="18367" spans="2:5">
      <c r="B18367" s="121">
        <v>1533</v>
      </c>
      <c r="C18367" s="121">
        <v>10</v>
      </c>
      <c r="D18367" s="734">
        <v>134.51360583169472</v>
      </c>
      <c r="E18367" s="733"/>
    </row>
    <row r="18368" spans="2:5">
      <c r="B18368" s="121">
        <v>1533</v>
      </c>
      <c r="C18368" s="121">
        <v>11</v>
      </c>
      <c r="D18368" s="734">
        <v>140.72054052798094</v>
      </c>
      <c r="E18368" s="733"/>
    </row>
    <row r="18369" spans="2:5">
      <c r="B18369" s="121">
        <v>1533</v>
      </c>
      <c r="C18369" s="121">
        <v>12</v>
      </c>
      <c r="D18369" s="734">
        <v>138.72097124114327</v>
      </c>
      <c r="E18369" s="733"/>
    </row>
    <row r="18370" spans="2:5">
      <c r="B18370" s="121">
        <v>1533</v>
      </c>
      <c r="C18370" s="121">
        <v>13</v>
      </c>
      <c r="D18370" s="734">
        <v>134.19820025952902</v>
      </c>
      <c r="E18370" s="733"/>
    </row>
    <row r="18371" spans="2:5">
      <c r="B18371" s="121">
        <v>1533</v>
      </c>
      <c r="C18371" s="121">
        <v>14</v>
      </c>
      <c r="D18371" s="734">
        <v>136.45938094191698</v>
      </c>
      <c r="E18371" s="733"/>
    </row>
    <row r="18372" spans="2:5">
      <c r="B18372" s="121">
        <v>1533</v>
      </c>
      <c r="C18372" s="121">
        <v>15</v>
      </c>
      <c r="D18372" s="734">
        <v>140.69138624366389</v>
      </c>
      <c r="E18372" s="733"/>
    </row>
    <row r="18373" spans="2:5">
      <c r="B18373" s="121">
        <v>1533</v>
      </c>
      <c r="C18373" s="121">
        <v>16</v>
      </c>
      <c r="D18373" s="734">
        <v>139.50582067529001</v>
      </c>
      <c r="E18373" s="733"/>
    </row>
    <row r="18374" spans="2:5">
      <c r="B18374" s="121">
        <v>1533</v>
      </c>
      <c r="C18374" s="121">
        <v>17</v>
      </c>
      <c r="D18374" s="734">
        <v>145.58388343663475</v>
      </c>
      <c r="E18374" s="733"/>
    </row>
    <row r="18375" spans="2:5">
      <c r="B18375" s="121">
        <v>1533</v>
      </c>
      <c r="C18375" s="121">
        <v>18</v>
      </c>
      <c r="D18375" s="734">
        <v>138.77162571563346</v>
      </c>
      <c r="E18375" s="733"/>
    </row>
    <row r="18376" spans="2:5">
      <c r="B18376" s="121">
        <v>1533</v>
      </c>
      <c r="C18376" s="121">
        <v>19</v>
      </c>
      <c r="D18376" s="734">
        <v>136.9214016226326</v>
      </c>
      <c r="E18376" s="733"/>
    </row>
    <row r="18377" spans="2:5">
      <c r="B18377" s="121">
        <v>1533</v>
      </c>
      <c r="C18377" s="121">
        <v>20</v>
      </c>
      <c r="D18377" s="734">
        <v>140.70388656904444</v>
      </c>
      <c r="E18377" s="733"/>
    </row>
    <row r="18378" spans="2:5">
      <c r="B18378" s="121">
        <v>1533</v>
      </c>
      <c r="C18378" s="121">
        <v>21</v>
      </c>
      <c r="D18378" s="734">
        <v>141.51773112201056</v>
      </c>
      <c r="E18378" s="733"/>
    </row>
    <row r="18379" spans="2:5">
      <c r="B18379" s="121">
        <v>1533</v>
      </c>
      <c r="C18379" s="121">
        <v>22</v>
      </c>
      <c r="D18379" s="734">
        <v>146.53381590969315</v>
      </c>
      <c r="E18379" s="733"/>
    </row>
    <row r="18380" spans="2:5">
      <c r="B18380" s="121">
        <v>1533</v>
      </c>
      <c r="C18380" s="121">
        <v>23</v>
      </c>
      <c r="D18380" s="734">
        <v>137.67475490058578</v>
      </c>
      <c r="E18380" s="733"/>
    </row>
    <row r="18381" spans="2:5">
      <c r="B18381" s="121">
        <v>1533</v>
      </c>
      <c r="C18381" s="121">
        <v>24</v>
      </c>
      <c r="D18381" s="734">
        <v>134.27794441522215</v>
      </c>
      <c r="E18381" s="733"/>
    </row>
    <row r="18382" spans="2:5">
      <c r="B18382" s="121">
        <v>1534</v>
      </c>
      <c r="C18382" s="121">
        <v>1</v>
      </c>
      <c r="D18382" s="734">
        <v>5</v>
      </c>
      <c r="E18382" s="733"/>
    </row>
    <row r="18383" spans="2:5">
      <c r="B18383" s="121">
        <v>1534</v>
      </c>
      <c r="C18383" s="121">
        <v>2</v>
      </c>
      <c r="D18383" s="734">
        <v>102.64717279562292</v>
      </c>
      <c r="E18383" s="733"/>
    </row>
    <row r="18384" spans="2:5">
      <c r="B18384" s="121">
        <v>1534</v>
      </c>
      <c r="C18384" s="121">
        <v>3</v>
      </c>
      <c r="D18384" s="734">
        <v>121.99091007072252</v>
      </c>
      <c r="E18384" s="733"/>
    </row>
    <row r="18385" spans="2:5">
      <c r="B18385" s="121">
        <v>1534</v>
      </c>
      <c r="C18385" s="121">
        <v>4</v>
      </c>
      <c r="D18385" s="734">
        <v>134.73016710095698</v>
      </c>
      <c r="E18385" s="733"/>
    </row>
    <row r="18386" spans="2:5">
      <c r="B18386" s="121">
        <v>1534</v>
      </c>
      <c r="C18386" s="121">
        <v>5</v>
      </c>
      <c r="D18386" s="734">
        <v>141.7237300745627</v>
      </c>
      <c r="E18386" s="733"/>
    </row>
    <row r="18387" spans="2:5">
      <c r="B18387" s="121">
        <v>1534</v>
      </c>
      <c r="C18387" s="121">
        <v>6</v>
      </c>
      <c r="D18387" s="734">
        <v>146.77965156445825</v>
      </c>
      <c r="E18387" s="733"/>
    </row>
    <row r="18388" spans="2:5">
      <c r="B18388" s="121">
        <v>1534</v>
      </c>
      <c r="C18388" s="121">
        <v>7</v>
      </c>
      <c r="D18388" s="734">
        <v>133.68966107459008</v>
      </c>
      <c r="E18388" s="733"/>
    </row>
    <row r="18389" spans="2:5">
      <c r="B18389" s="121">
        <v>1534</v>
      </c>
      <c r="C18389" s="121">
        <v>8</v>
      </c>
      <c r="D18389" s="734">
        <v>134.47948449421793</v>
      </c>
      <c r="E18389" s="733"/>
    </row>
    <row r="18390" spans="2:5">
      <c r="B18390" s="121">
        <v>1534</v>
      </c>
      <c r="C18390" s="121">
        <v>9</v>
      </c>
      <c r="D18390" s="734">
        <v>134.56012614127098</v>
      </c>
      <c r="E18390" s="733"/>
    </row>
    <row r="18391" spans="2:5">
      <c r="B18391" s="121">
        <v>1534</v>
      </c>
      <c r="C18391" s="121">
        <v>10</v>
      </c>
      <c r="D18391" s="734">
        <v>139.7870526859777</v>
      </c>
      <c r="E18391" s="733"/>
    </row>
    <row r="18392" spans="2:5">
      <c r="B18392" s="121">
        <v>1534</v>
      </c>
      <c r="C18392" s="121">
        <v>11</v>
      </c>
      <c r="D18392" s="734">
        <v>145.59445887090891</v>
      </c>
      <c r="E18392" s="733"/>
    </row>
    <row r="18393" spans="2:5">
      <c r="B18393" s="121">
        <v>1534</v>
      </c>
      <c r="C18393" s="121">
        <v>12</v>
      </c>
      <c r="D18393" s="734">
        <v>142.40787002287487</v>
      </c>
      <c r="E18393" s="733"/>
    </row>
    <row r="18394" spans="2:5">
      <c r="B18394" s="121">
        <v>1534</v>
      </c>
      <c r="C18394" s="121">
        <v>13</v>
      </c>
      <c r="D18394" s="734">
        <v>136.28653839796698</v>
      </c>
      <c r="E18394" s="733"/>
    </row>
    <row r="18395" spans="2:5">
      <c r="B18395" s="121">
        <v>1534</v>
      </c>
      <c r="C18395" s="121">
        <v>14</v>
      </c>
      <c r="D18395" s="734">
        <v>135.66822202638789</v>
      </c>
      <c r="E18395" s="733"/>
    </row>
    <row r="18396" spans="2:5">
      <c r="B18396" s="121">
        <v>1534</v>
      </c>
      <c r="C18396" s="121">
        <v>15</v>
      </c>
      <c r="D18396" s="734">
        <v>142.4078478350182</v>
      </c>
      <c r="E18396" s="733"/>
    </row>
    <row r="18397" spans="2:5">
      <c r="B18397" s="121">
        <v>1534</v>
      </c>
      <c r="C18397" s="121">
        <v>16</v>
      </c>
      <c r="D18397" s="734">
        <v>134.97440859715857</v>
      </c>
      <c r="E18397" s="733"/>
    </row>
    <row r="18398" spans="2:5">
      <c r="B18398" s="121">
        <v>1534</v>
      </c>
      <c r="C18398" s="121">
        <v>17</v>
      </c>
      <c r="D18398" s="734">
        <v>143.01013516785437</v>
      </c>
      <c r="E18398" s="733"/>
    </row>
    <row r="18399" spans="2:5">
      <c r="B18399" s="121">
        <v>1535</v>
      </c>
      <c r="C18399" s="121">
        <v>1</v>
      </c>
      <c r="D18399" s="734">
        <v>5</v>
      </c>
      <c r="E18399" s="733"/>
    </row>
    <row r="18400" spans="2:5">
      <c r="B18400" s="121">
        <v>1535</v>
      </c>
      <c r="C18400" s="121">
        <v>2</v>
      </c>
      <c r="D18400" s="734">
        <v>101.13693189176102</v>
      </c>
      <c r="E18400" s="733"/>
    </row>
    <row r="18401" spans="2:5">
      <c r="B18401" s="121">
        <v>1535</v>
      </c>
      <c r="C18401" s="121">
        <v>3</v>
      </c>
      <c r="D18401" s="734">
        <v>121.54269635544456</v>
      </c>
      <c r="E18401" s="733"/>
    </row>
    <row r="18402" spans="2:5">
      <c r="B18402" s="121">
        <v>1535</v>
      </c>
      <c r="C18402" s="121">
        <v>4</v>
      </c>
      <c r="D18402" s="734">
        <v>145.79737275650052</v>
      </c>
      <c r="E18402" s="733"/>
    </row>
    <row r="18403" spans="2:5">
      <c r="B18403" s="121">
        <v>1535</v>
      </c>
      <c r="C18403" s="121">
        <v>5</v>
      </c>
      <c r="D18403" s="734">
        <v>141.00793957676024</v>
      </c>
      <c r="E18403" s="733"/>
    </row>
    <row r="18404" spans="2:5">
      <c r="B18404" s="121">
        <v>1535</v>
      </c>
      <c r="C18404" s="121">
        <v>6</v>
      </c>
      <c r="D18404" s="734">
        <v>138.05685299379323</v>
      </c>
      <c r="E18404" s="733"/>
    </row>
    <row r="18405" spans="2:5">
      <c r="B18405" s="121">
        <v>1535</v>
      </c>
      <c r="C18405" s="121">
        <v>7</v>
      </c>
      <c r="D18405" s="734">
        <v>145.43720028459776</v>
      </c>
      <c r="E18405" s="733"/>
    </row>
    <row r="18406" spans="2:5">
      <c r="B18406" s="121">
        <v>1535</v>
      </c>
      <c r="C18406" s="121">
        <v>8</v>
      </c>
      <c r="D18406" s="734">
        <v>139.05146862023636</v>
      </c>
      <c r="E18406" s="733"/>
    </row>
    <row r="18407" spans="2:5">
      <c r="B18407" s="121">
        <v>1535</v>
      </c>
      <c r="C18407" s="121">
        <v>9</v>
      </c>
      <c r="D18407" s="734">
        <v>136.73606504507435</v>
      </c>
      <c r="E18407" s="733"/>
    </row>
    <row r="18408" spans="2:5">
      <c r="B18408" s="121">
        <v>1535</v>
      </c>
      <c r="C18408" s="121">
        <v>10</v>
      </c>
      <c r="D18408" s="734">
        <v>138.46840850229654</v>
      </c>
      <c r="E18408" s="733"/>
    </row>
    <row r="18409" spans="2:5">
      <c r="B18409" s="121">
        <v>1535</v>
      </c>
      <c r="C18409" s="121">
        <v>11</v>
      </c>
      <c r="D18409" s="734">
        <v>146.79338972826406</v>
      </c>
      <c r="E18409" s="733"/>
    </row>
    <row r="18410" spans="2:5">
      <c r="B18410" s="121">
        <v>1535</v>
      </c>
      <c r="C18410" s="121">
        <v>12</v>
      </c>
      <c r="D18410" s="734">
        <v>140.65472408051022</v>
      </c>
      <c r="E18410" s="733"/>
    </row>
    <row r="18411" spans="2:5">
      <c r="B18411" s="121">
        <v>1535</v>
      </c>
      <c r="C18411" s="121">
        <v>13</v>
      </c>
      <c r="D18411" s="734">
        <v>141.19329618866911</v>
      </c>
      <c r="E18411" s="733"/>
    </row>
    <row r="18412" spans="2:5">
      <c r="B18412" s="121">
        <v>1535</v>
      </c>
      <c r="C18412" s="121">
        <v>14</v>
      </c>
      <c r="D18412" s="734">
        <v>146.55210441417458</v>
      </c>
      <c r="E18412" s="733"/>
    </row>
    <row r="18413" spans="2:5">
      <c r="B18413" s="121">
        <v>1535</v>
      </c>
      <c r="C18413" s="121">
        <v>15</v>
      </c>
      <c r="D18413" s="734">
        <v>138.49011788908834</v>
      </c>
      <c r="E18413" s="733"/>
    </row>
    <row r="18414" spans="2:5">
      <c r="B18414" s="121">
        <v>1535</v>
      </c>
      <c r="C18414" s="121">
        <v>16</v>
      </c>
      <c r="D18414" s="734">
        <v>140.01884126196276</v>
      </c>
      <c r="E18414" s="733"/>
    </row>
    <row r="18415" spans="2:5">
      <c r="B18415" s="121">
        <v>1535</v>
      </c>
      <c r="C18415" s="121">
        <v>17</v>
      </c>
      <c r="D18415" s="734">
        <v>137.71949290385521</v>
      </c>
      <c r="E18415" s="733"/>
    </row>
    <row r="18416" spans="2:5">
      <c r="B18416" s="121">
        <v>1535</v>
      </c>
      <c r="C18416" s="121">
        <v>18</v>
      </c>
      <c r="D18416" s="734">
        <v>137.98087116992167</v>
      </c>
      <c r="E18416" s="733"/>
    </row>
    <row r="18417" spans="2:5">
      <c r="B18417" s="121">
        <v>1535</v>
      </c>
      <c r="C18417" s="121">
        <v>19</v>
      </c>
      <c r="D18417" s="734">
        <v>137.57433845845796</v>
      </c>
      <c r="E18417" s="733"/>
    </row>
    <row r="18418" spans="2:5">
      <c r="B18418" s="121">
        <v>1535</v>
      </c>
      <c r="C18418" s="121">
        <v>20</v>
      </c>
      <c r="D18418" s="734">
        <v>140.97106635582722</v>
      </c>
      <c r="E18418" s="733"/>
    </row>
    <row r="18419" spans="2:5">
      <c r="B18419" s="121">
        <v>1535</v>
      </c>
      <c r="C18419" s="121">
        <v>21</v>
      </c>
      <c r="D18419" s="734">
        <v>136.51434830038639</v>
      </c>
      <c r="E18419" s="733"/>
    </row>
    <row r="18420" spans="2:5">
      <c r="B18420" s="121">
        <v>1535</v>
      </c>
      <c r="C18420" s="121">
        <v>22</v>
      </c>
      <c r="D18420" s="734">
        <v>146.72649969291214</v>
      </c>
      <c r="E18420" s="733"/>
    </row>
    <row r="18421" spans="2:5">
      <c r="B18421" s="121">
        <v>1535</v>
      </c>
      <c r="C18421" s="121">
        <v>23</v>
      </c>
      <c r="D18421" s="734">
        <v>138.77993199531932</v>
      </c>
      <c r="E18421" s="733"/>
    </row>
    <row r="18422" spans="2:5">
      <c r="B18422" s="121">
        <v>1536</v>
      </c>
      <c r="C18422" s="121">
        <v>1</v>
      </c>
      <c r="D18422" s="734">
        <v>5</v>
      </c>
      <c r="E18422" s="733"/>
    </row>
    <row r="18423" spans="2:5">
      <c r="B18423" s="121">
        <v>1536</v>
      </c>
      <c r="C18423" s="121">
        <v>2</v>
      </c>
      <c r="D18423" s="734">
        <v>101.84503393074331</v>
      </c>
      <c r="E18423" s="733"/>
    </row>
    <row r="18424" spans="2:5">
      <c r="B18424" s="121">
        <v>1536</v>
      </c>
      <c r="C18424" s="121">
        <v>3</v>
      </c>
      <c r="D18424" s="734">
        <v>121.48279611370926</v>
      </c>
      <c r="E18424" s="733"/>
    </row>
    <row r="18425" spans="2:5">
      <c r="B18425" s="121">
        <v>1536</v>
      </c>
      <c r="C18425" s="121">
        <v>4</v>
      </c>
      <c r="D18425" s="734">
        <v>145.22329418429817</v>
      </c>
      <c r="E18425" s="733"/>
    </row>
    <row r="18426" spans="2:5">
      <c r="B18426" s="121">
        <v>1536</v>
      </c>
      <c r="C18426" s="121">
        <v>5</v>
      </c>
      <c r="D18426" s="734">
        <v>143.74847478329954</v>
      </c>
      <c r="E18426" s="733"/>
    </row>
    <row r="18427" spans="2:5">
      <c r="B18427" s="121">
        <v>1536</v>
      </c>
      <c r="C18427" s="121">
        <v>6</v>
      </c>
      <c r="D18427" s="734">
        <v>144.96861678793684</v>
      </c>
      <c r="E18427" s="733"/>
    </row>
    <row r="18428" spans="2:5">
      <c r="B18428" s="121">
        <v>1536</v>
      </c>
      <c r="C18428" s="121">
        <v>7</v>
      </c>
      <c r="D18428" s="734">
        <v>144.75645938214049</v>
      </c>
      <c r="E18428" s="733"/>
    </row>
    <row r="18429" spans="2:5">
      <c r="B18429" s="121">
        <v>1536</v>
      </c>
      <c r="C18429" s="121">
        <v>8</v>
      </c>
      <c r="D18429" s="734">
        <v>139.29793307859703</v>
      </c>
      <c r="E18429" s="733"/>
    </row>
    <row r="18430" spans="2:5">
      <c r="B18430" s="121">
        <v>1536</v>
      </c>
      <c r="C18430" s="121">
        <v>9</v>
      </c>
      <c r="D18430" s="734">
        <v>143.4617640677674</v>
      </c>
      <c r="E18430" s="733"/>
    </row>
    <row r="18431" spans="2:5">
      <c r="B18431" s="121">
        <v>1536</v>
      </c>
      <c r="C18431" s="121">
        <v>10</v>
      </c>
      <c r="D18431" s="734">
        <v>145.57377081216126</v>
      </c>
      <c r="E18431" s="733"/>
    </row>
    <row r="18432" spans="2:5">
      <c r="B18432" s="121">
        <v>1536</v>
      </c>
      <c r="C18432" s="121">
        <v>11</v>
      </c>
      <c r="D18432" s="734">
        <v>139.72496925558693</v>
      </c>
      <c r="E18432" s="733"/>
    </row>
    <row r="18433" spans="2:5">
      <c r="B18433" s="121">
        <v>1536</v>
      </c>
      <c r="C18433" s="121">
        <v>12</v>
      </c>
      <c r="D18433" s="734">
        <v>145.06742513926798</v>
      </c>
      <c r="E18433" s="733"/>
    </row>
    <row r="18434" spans="2:5">
      <c r="B18434" s="121">
        <v>1536</v>
      </c>
      <c r="C18434" s="121">
        <v>13</v>
      </c>
      <c r="D18434" s="734">
        <v>142.84511242086251</v>
      </c>
      <c r="E18434" s="733"/>
    </row>
    <row r="18435" spans="2:5">
      <c r="B18435" s="121">
        <v>1536</v>
      </c>
      <c r="C18435" s="121">
        <v>14</v>
      </c>
      <c r="D18435" s="734">
        <v>145.43799829697187</v>
      </c>
      <c r="E18435" s="733"/>
    </row>
    <row r="18436" spans="2:5">
      <c r="B18436" s="121">
        <v>1536</v>
      </c>
      <c r="C18436" s="121">
        <v>15</v>
      </c>
      <c r="D18436" s="734">
        <v>138.42127904026901</v>
      </c>
      <c r="E18436" s="733"/>
    </row>
    <row r="18437" spans="2:5">
      <c r="B18437" s="121">
        <v>1536</v>
      </c>
      <c r="C18437" s="121">
        <v>16</v>
      </c>
      <c r="D18437" s="734">
        <v>141.05517003517045</v>
      </c>
      <c r="E18437" s="733"/>
    </row>
    <row r="18438" spans="2:5">
      <c r="B18438" s="121">
        <v>1536</v>
      </c>
      <c r="C18438" s="121">
        <v>17</v>
      </c>
      <c r="D18438" s="734">
        <v>140.01837139497604</v>
      </c>
      <c r="E18438" s="733"/>
    </row>
    <row r="18439" spans="2:5">
      <c r="B18439" s="121">
        <v>1536</v>
      </c>
      <c r="C18439" s="121">
        <v>18</v>
      </c>
      <c r="D18439" s="734">
        <v>135.52431965133525</v>
      </c>
      <c r="E18439" s="733"/>
    </row>
    <row r="18440" spans="2:5">
      <c r="B18440" s="121">
        <v>1536</v>
      </c>
      <c r="C18440" s="121">
        <v>19</v>
      </c>
      <c r="D18440" s="734">
        <v>135.24180741837458</v>
      </c>
      <c r="E18440" s="733"/>
    </row>
    <row r="18441" spans="2:5">
      <c r="B18441" s="121">
        <v>1536</v>
      </c>
      <c r="C18441" s="121">
        <v>20</v>
      </c>
      <c r="D18441" s="734">
        <v>134.04043110307995</v>
      </c>
      <c r="E18441" s="733"/>
    </row>
    <row r="18442" spans="2:5">
      <c r="B18442" s="121">
        <v>1536</v>
      </c>
      <c r="C18442" s="121">
        <v>21</v>
      </c>
      <c r="D18442" s="734">
        <v>143.39399489733867</v>
      </c>
      <c r="E18442" s="733"/>
    </row>
    <row r="18443" spans="2:5">
      <c r="B18443" s="121">
        <v>1536</v>
      </c>
      <c r="C18443" s="121">
        <v>22</v>
      </c>
      <c r="D18443" s="734">
        <v>144.32515737279684</v>
      </c>
      <c r="E18443" s="733"/>
    </row>
    <row r="18444" spans="2:5">
      <c r="B18444" s="121">
        <v>1536</v>
      </c>
      <c r="C18444" s="121">
        <v>23</v>
      </c>
      <c r="D18444" s="734">
        <v>136.68809255328321</v>
      </c>
      <c r="E18444" s="733"/>
    </row>
    <row r="18445" spans="2:5">
      <c r="B18445" s="121">
        <v>1536</v>
      </c>
      <c r="C18445" s="121">
        <v>24</v>
      </c>
      <c r="D18445" s="734">
        <v>136.22016523696936</v>
      </c>
      <c r="E18445" s="733"/>
    </row>
    <row r="18446" spans="2:5">
      <c r="B18446" s="121">
        <v>1536</v>
      </c>
      <c r="C18446" s="121">
        <v>25</v>
      </c>
      <c r="D18446" s="734">
        <v>146.10087464941822</v>
      </c>
      <c r="E18446" s="733"/>
    </row>
    <row r="18447" spans="2:5">
      <c r="B18447" s="121">
        <v>1537</v>
      </c>
      <c r="C18447" s="121">
        <v>1</v>
      </c>
      <c r="D18447" s="734">
        <v>5</v>
      </c>
      <c r="E18447" s="733"/>
    </row>
    <row r="18448" spans="2:5">
      <c r="B18448" s="121">
        <v>1538</v>
      </c>
      <c r="C18448" s="121">
        <v>1</v>
      </c>
      <c r="D18448" s="734">
        <v>5</v>
      </c>
      <c r="E18448" s="733"/>
    </row>
    <row r="18449" spans="2:5">
      <c r="B18449" s="121">
        <v>1539</v>
      </c>
      <c r="C18449" s="121">
        <v>1</v>
      </c>
      <c r="D18449" s="734">
        <v>5</v>
      </c>
      <c r="E18449" s="733"/>
    </row>
    <row r="18450" spans="2:5">
      <c r="B18450" s="121">
        <v>1539</v>
      </c>
      <c r="C18450" s="121">
        <v>2</v>
      </c>
      <c r="D18450" s="734">
        <v>103.1583306816821</v>
      </c>
      <c r="E18450" s="733"/>
    </row>
    <row r="18451" spans="2:5">
      <c r="B18451" s="121">
        <v>1539</v>
      </c>
      <c r="C18451" s="121">
        <v>3</v>
      </c>
      <c r="D18451" s="734">
        <v>122.92357223613699</v>
      </c>
      <c r="E18451" s="733"/>
    </row>
    <row r="18452" spans="2:5">
      <c r="B18452" s="121">
        <v>1539</v>
      </c>
      <c r="C18452" s="121">
        <v>4</v>
      </c>
      <c r="D18452" s="734">
        <v>144.02117798701371</v>
      </c>
      <c r="E18452" s="733"/>
    </row>
    <row r="18453" spans="2:5">
      <c r="B18453" s="121">
        <v>1539</v>
      </c>
      <c r="C18453" s="121">
        <v>5</v>
      </c>
      <c r="D18453" s="734">
        <v>140.79489103905877</v>
      </c>
      <c r="E18453" s="733"/>
    </row>
    <row r="18454" spans="2:5">
      <c r="B18454" s="121">
        <v>1539</v>
      </c>
      <c r="C18454" s="121">
        <v>6</v>
      </c>
      <c r="D18454" s="734">
        <v>145.27513566572236</v>
      </c>
      <c r="E18454" s="733"/>
    </row>
    <row r="18455" spans="2:5">
      <c r="B18455" s="121">
        <v>1539</v>
      </c>
      <c r="C18455" s="121">
        <v>7</v>
      </c>
      <c r="D18455" s="734">
        <v>145.83006366208542</v>
      </c>
      <c r="E18455" s="733"/>
    </row>
    <row r="18456" spans="2:5">
      <c r="B18456" s="121">
        <v>1539</v>
      </c>
      <c r="C18456" s="121">
        <v>8</v>
      </c>
      <c r="D18456" s="734">
        <v>138.44797032009978</v>
      </c>
      <c r="E18456" s="733"/>
    </row>
    <row r="18457" spans="2:5">
      <c r="B18457" s="121">
        <v>1539</v>
      </c>
      <c r="C18457" s="121">
        <v>9</v>
      </c>
      <c r="D18457" s="734">
        <v>139.56991105067448</v>
      </c>
      <c r="E18457" s="733"/>
    </row>
    <row r="18458" spans="2:5">
      <c r="B18458" s="121">
        <v>1539</v>
      </c>
      <c r="C18458" s="121">
        <v>10</v>
      </c>
      <c r="D18458" s="734">
        <v>136.97771292276002</v>
      </c>
      <c r="E18458" s="733"/>
    </row>
    <row r="18459" spans="2:5">
      <c r="B18459" s="121">
        <v>1539</v>
      </c>
      <c r="C18459" s="121">
        <v>11</v>
      </c>
      <c r="D18459" s="734">
        <v>141.79068357240712</v>
      </c>
      <c r="E18459" s="733"/>
    </row>
    <row r="18460" spans="2:5">
      <c r="B18460" s="121">
        <v>1539</v>
      </c>
      <c r="C18460" s="121">
        <v>12</v>
      </c>
      <c r="D18460" s="734">
        <v>146.77231781706243</v>
      </c>
      <c r="E18460" s="733"/>
    </row>
    <row r="18461" spans="2:5">
      <c r="B18461" s="121">
        <v>1539</v>
      </c>
      <c r="C18461" s="121">
        <v>13</v>
      </c>
      <c r="D18461" s="734">
        <v>143.38343307165243</v>
      </c>
      <c r="E18461" s="733"/>
    </row>
    <row r="18462" spans="2:5">
      <c r="B18462" s="121">
        <v>1539</v>
      </c>
      <c r="C18462" s="121">
        <v>14</v>
      </c>
      <c r="D18462" s="734">
        <v>140.22713636003789</v>
      </c>
      <c r="E18462" s="733"/>
    </row>
    <row r="18463" spans="2:5">
      <c r="B18463" s="121">
        <v>1539</v>
      </c>
      <c r="C18463" s="121">
        <v>15</v>
      </c>
      <c r="D18463" s="734">
        <v>137.06331440422866</v>
      </c>
      <c r="E18463" s="733"/>
    </row>
    <row r="18464" spans="2:5">
      <c r="B18464" s="121">
        <v>1539</v>
      </c>
      <c r="C18464" s="121">
        <v>16</v>
      </c>
      <c r="D18464" s="734">
        <v>134.43272077589111</v>
      </c>
      <c r="E18464" s="733"/>
    </row>
    <row r="18465" spans="2:5">
      <c r="B18465" s="121">
        <v>1539</v>
      </c>
      <c r="C18465" s="121">
        <v>17</v>
      </c>
      <c r="D18465" s="734">
        <v>146.00374808994673</v>
      </c>
      <c r="E18465" s="733"/>
    </row>
    <row r="18466" spans="2:5">
      <c r="B18466" s="121">
        <v>1539</v>
      </c>
      <c r="C18466" s="121">
        <v>18</v>
      </c>
      <c r="D18466" s="734">
        <v>139.69385398698651</v>
      </c>
      <c r="E18466" s="733"/>
    </row>
    <row r="18467" spans="2:5">
      <c r="B18467" s="121">
        <v>1539</v>
      </c>
      <c r="C18467" s="121">
        <v>19</v>
      </c>
      <c r="D18467" s="734">
        <v>136.83084104157373</v>
      </c>
      <c r="E18467" s="733"/>
    </row>
    <row r="18468" spans="2:5">
      <c r="B18468" s="121">
        <v>1539</v>
      </c>
      <c r="C18468" s="121">
        <v>20</v>
      </c>
      <c r="D18468" s="734">
        <v>145.92468813004561</v>
      </c>
      <c r="E18468" s="733"/>
    </row>
    <row r="18469" spans="2:5">
      <c r="B18469" s="121">
        <v>1539</v>
      </c>
      <c r="C18469" s="121">
        <v>21</v>
      </c>
      <c r="D18469" s="734">
        <v>141.77899539607921</v>
      </c>
      <c r="E18469" s="733"/>
    </row>
    <row r="18470" spans="2:5">
      <c r="B18470" s="121">
        <v>1539</v>
      </c>
      <c r="C18470" s="121">
        <v>22</v>
      </c>
      <c r="D18470" s="734">
        <v>146.95142558412664</v>
      </c>
      <c r="E18470" s="733"/>
    </row>
    <row r="18471" spans="2:5">
      <c r="B18471" s="121">
        <v>1539</v>
      </c>
      <c r="C18471" s="121">
        <v>23</v>
      </c>
      <c r="D18471" s="734">
        <v>144.83730851388617</v>
      </c>
      <c r="E18471" s="733"/>
    </row>
    <row r="18472" spans="2:5">
      <c r="B18472" s="121">
        <v>1539</v>
      </c>
      <c r="C18472" s="121">
        <v>24</v>
      </c>
      <c r="D18472" s="734">
        <v>137.84957062819942</v>
      </c>
      <c r="E18472" s="733"/>
    </row>
    <row r="18473" spans="2:5">
      <c r="B18473" s="121">
        <v>1539</v>
      </c>
      <c r="C18473" s="121">
        <v>25</v>
      </c>
      <c r="D18473" s="734">
        <v>137.70907037285437</v>
      </c>
      <c r="E18473" s="733"/>
    </row>
    <row r="18474" spans="2:5">
      <c r="B18474" s="121">
        <v>1539</v>
      </c>
      <c r="C18474" s="121">
        <v>26</v>
      </c>
      <c r="D18474" s="734">
        <v>140.61732103029419</v>
      </c>
      <c r="E18474" s="733"/>
    </row>
    <row r="18475" spans="2:5">
      <c r="B18475" s="121">
        <v>1539</v>
      </c>
      <c r="C18475" s="121">
        <v>27</v>
      </c>
      <c r="D18475" s="734">
        <v>137.7687352448645</v>
      </c>
      <c r="E18475" s="733"/>
    </row>
    <row r="18476" spans="2:5">
      <c r="B18476" s="121">
        <v>1539</v>
      </c>
      <c r="C18476" s="121">
        <v>28</v>
      </c>
      <c r="D18476" s="734">
        <v>142.75950197072444</v>
      </c>
      <c r="E18476" s="733"/>
    </row>
    <row r="18477" spans="2:5">
      <c r="B18477" s="121">
        <v>1539</v>
      </c>
      <c r="C18477" s="121">
        <v>29</v>
      </c>
      <c r="D18477" s="734">
        <v>142.32879689176366</v>
      </c>
      <c r="E18477" s="733"/>
    </row>
    <row r="18478" spans="2:5">
      <c r="B18478" s="121">
        <v>1539</v>
      </c>
      <c r="C18478" s="121">
        <v>30</v>
      </c>
      <c r="D18478" s="734">
        <v>138.94740626205248</v>
      </c>
      <c r="E18478" s="733"/>
    </row>
    <row r="18479" spans="2:5">
      <c r="B18479" s="121">
        <v>1540</v>
      </c>
      <c r="C18479" s="121">
        <v>1</v>
      </c>
      <c r="D18479" s="734">
        <v>5</v>
      </c>
      <c r="E18479" s="733"/>
    </row>
    <row r="18480" spans="2:5">
      <c r="B18480" s="121">
        <v>1540</v>
      </c>
      <c r="C18480" s="121">
        <v>2</v>
      </c>
      <c r="D18480" s="734">
        <v>102.72164623078157</v>
      </c>
      <c r="E18480" s="733"/>
    </row>
    <row r="18481" spans="2:5">
      <c r="B18481" s="121">
        <v>1540</v>
      </c>
      <c r="C18481" s="121">
        <v>3</v>
      </c>
      <c r="D18481" s="734">
        <v>124.26647440765129</v>
      </c>
      <c r="E18481" s="733"/>
    </row>
    <row r="18482" spans="2:5">
      <c r="B18482" s="121">
        <v>1540</v>
      </c>
      <c r="C18482" s="121">
        <v>4</v>
      </c>
      <c r="D18482" s="734">
        <v>143.84234568964874</v>
      </c>
      <c r="E18482" s="733"/>
    </row>
    <row r="18483" spans="2:5">
      <c r="B18483" s="121">
        <v>1540</v>
      </c>
      <c r="C18483" s="121">
        <v>5</v>
      </c>
      <c r="D18483" s="734">
        <v>145.72892736117581</v>
      </c>
      <c r="E18483" s="733"/>
    </row>
    <row r="18484" spans="2:5">
      <c r="B18484" s="121">
        <v>1540</v>
      </c>
      <c r="C18484" s="121">
        <v>6</v>
      </c>
      <c r="D18484" s="734">
        <v>134.00398644310832</v>
      </c>
      <c r="E18484" s="733"/>
    </row>
    <row r="18485" spans="2:5">
      <c r="B18485" s="121">
        <v>1540</v>
      </c>
      <c r="C18485" s="121">
        <v>7</v>
      </c>
      <c r="D18485" s="734">
        <v>143.87575588432318</v>
      </c>
      <c r="E18485" s="733"/>
    </row>
    <row r="18486" spans="2:5">
      <c r="B18486" s="121">
        <v>1540</v>
      </c>
      <c r="C18486" s="121">
        <v>8</v>
      </c>
      <c r="D18486" s="734">
        <v>139.7200507134948</v>
      </c>
      <c r="E18486" s="733"/>
    </row>
    <row r="18487" spans="2:5">
      <c r="B18487" s="121">
        <v>1540</v>
      </c>
      <c r="C18487" s="121">
        <v>9</v>
      </c>
      <c r="D18487" s="734">
        <v>141.73479131803299</v>
      </c>
      <c r="E18487" s="733"/>
    </row>
    <row r="18488" spans="2:5">
      <c r="B18488" s="121">
        <v>1540</v>
      </c>
      <c r="C18488" s="121">
        <v>10</v>
      </c>
      <c r="D18488" s="734">
        <v>136.52430125145179</v>
      </c>
      <c r="E18488" s="733"/>
    </row>
    <row r="18489" spans="2:5">
      <c r="B18489" s="121">
        <v>1540</v>
      </c>
      <c r="C18489" s="121">
        <v>11</v>
      </c>
      <c r="D18489" s="734">
        <v>141.40696809147389</v>
      </c>
      <c r="E18489" s="733"/>
    </row>
    <row r="18490" spans="2:5">
      <c r="B18490" s="121">
        <v>1540</v>
      </c>
      <c r="C18490" s="121">
        <v>12</v>
      </c>
      <c r="D18490" s="734">
        <v>138.50948215056425</v>
      </c>
      <c r="E18490" s="733"/>
    </row>
    <row r="18491" spans="2:5">
      <c r="B18491" s="121">
        <v>1540</v>
      </c>
      <c r="C18491" s="121">
        <v>13</v>
      </c>
      <c r="D18491" s="734">
        <v>135.43837062256321</v>
      </c>
      <c r="E18491" s="733"/>
    </row>
    <row r="18492" spans="2:5">
      <c r="B18492" s="121">
        <v>1540</v>
      </c>
      <c r="C18492" s="121">
        <v>14</v>
      </c>
      <c r="D18492" s="734">
        <v>142.86708509963111</v>
      </c>
      <c r="E18492" s="733"/>
    </row>
    <row r="18493" spans="2:5">
      <c r="B18493" s="121">
        <v>1540</v>
      </c>
      <c r="C18493" s="121">
        <v>15</v>
      </c>
      <c r="D18493" s="734">
        <v>146.86503425825217</v>
      </c>
      <c r="E18493" s="733"/>
    </row>
    <row r="18494" spans="2:5">
      <c r="B18494" s="121">
        <v>1540</v>
      </c>
      <c r="C18494" s="121">
        <v>16</v>
      </c>
      <c r="D18494" s="734">
        <v>133.90602255144523</v>
      </c>
      <c r="E18494" s="733"/>
    </row>
    <row r="18495" spans="2:5">
      <c r="B18495" s="121">
        <v>1540</v>
      </c>
      <c r="C18495" s="121">
        <v>17</v>
      </c>
      <c r="D18495" s="734">
        <v>137.57690504519394</v>
      </c>
      <c r="E18495" s="733"/>
    </row>
    <row r="18496" spans="2:5">
      <c r="B18496" s="121">
        <v>1540</v>
      </c>
      <c r="C18496" s="121">
        <v>18</v>
      </c>
      <c r="D18496" s="734">
        <v>137.85548973638066</v>
      </c>
      <c r="E18496" s="733"/>
    </row>
    <row r="18497" spans="2:5">
      <c r="B18497" s="121">
        <v>1541</v>
      </c>
      <c r="C18497" s="121">
        <v>1</v>
      </c>
      <c r="D18497" s="734">
        <v>5</v>
      </c>
      <c r="E18497" s="733"/>
    </row>
    <row r="18498" spans="2:5">
      <c r="B18498" s="121">
        <v>1542</v>
      </c>
      <c r="C18498" s="121">
        <v>1</v>
      </c>
      <c r="D18498" s="734">
        <v>5</v>
      </c>
      <c r="E18498" s="733"/>
    </row>
    <row r="18499" spans="2:5">
      <c r="B18499" s="121">
        <v>1542</v>
      </c>
      <c r="C18499" s="121">
        <v>2</v>
      </c>
      <c r="D18499" s="734">
        <v>102.03869317369907</v>
      </c>
      <c r="E18499" s="733"/>
    </row>
    <row r="18500" spans="2:5">
      <c r="B18500" s="121">
        <v>1542</v>
      </c>
      <c r="C18500" s="121">
        <v>3</v>
      </c>
      <c r="D18500" s="734">
        <v>121.95828604914219</v>
      </c>
      <c r="E18500" s="733"/>
    </row>
    <row r="18501" spans="2:5">
      <c r="B18501" s="121">
        <v>1542</v>
      </c>
      <c r="C18501" s="121">
        <v>4</v>
      </c>
      <c r="D18501" s="734">
        <v>139.82940268425904</v>
      </c>
      <c r="E18501" s="733"/>
    </row>
    <row r="18502" spans="2:5">
      <c r="B18502" s="121">
        <v>1542</v>
      </c>
      <c r="C18502" s="121">
        <v>5</v>
      </c>
      <c r="D18502" s="734">
        <v>141.60961305898653</v>
      </c>
      <c r="E18502" s="733"/>
    </row>
    <row r="18503" spans="2:5">
      <c r="B18503" s="121">
        <v>1542</v>
      </c>
      <c r="C18503" s="121">
        <v>6</v>
      </c>
      <c r="D18503" s="734">
        <v>141.76043913572789</v>
      </c>
      <c r="E18503" s="733"/>
    </row>
    <row r="18504" spans="2:5">
      <c r="B18504" s="121">
        <v>1542</v>
      </c>
      <c r="C18504" s="121">
        <v>7</v>
      </c>
      <c r="D18504" s="734">
        <v>146.59338826634593</v>
      </c>
      <c r="E18504" s="733"/>
    </row>
    <row r="18505" spans="2:5">
      <c r="B18505" s="121">
        <v>1542</v>
      </c>
      <c r="C18505" s="121">
        <v>8</v>
      </c>
      <c r="D18505" s="734">
        <v>138.5442350755612</v>
      </c>
      <c r="E18505" s="733"/>
    </row>
    <row r="18506" spans="2:5">
      <c r="B18506" s="121">
        <v>1542</v>
      </c>
      <c r="C18506" s="121">
        <v>9</v>
      </c>
      <c r="D18506" s="734">
        <v>139.37489191045543</v>
      </c>
      <c r="E18506" s="733"/>
    </row>
    <row r="18507" spans="2:5">
      <c r="B18507" s="121">
        <v>1542</v>
      </c>
      <c r="C18507" s="121">
        <v>10</v>
      </c>
      <c r="D18507" s="734">
        <v>139.32392451410504</v>
      </c>
      <c r="E18507" s="733"/>
    </row>
    <row r="18508" spans="2:5">
      <c r="B18508" s="121">
        <v>1542</v>
      </c>
      <c r="C18508" s="121">
        <v>11</v>
      </c>
      <c r="D18508" s="734">
        <v>138.7555821099555</v>
      </c>
      <c r="E18508" s="733"/>
    </row>
    <row r="18509" spans="2:5">
      <c r="B18509" s="121">
        <v>1542</v>
      </c>
      <c r="C18509" s="121">
        <v>12</v>
      </c>
      <c r="D18509" s="734">
        <v>134.17236370521934</v>
      </c>
      <c r="E18509" s="733"/>
    </row>
    <row r="18510" spans="2:5">
      <c r="B18510" s="121">
        <v>1542</v>
      </c>
      <c r="C18510" s="121">
        <v>13</v>
      </c>
      <c r="D18510" s="734">
        <v>135.38673095129525</v>
      </c>
      <c r="E18510" s="733"/>
    </row>
    <row r="18511" spans="2:5">
      <c r="B18511" s="121">
        <v>1542</v>
      </c>
      <c r="C18511" s="121">
        <v>14</v>
      </c>
      <c r="D18511" s="734">
        <v>140.9916377815365</v>
      </c>
      <c r="E18511" s="733"/>
    </row>
    <row r="18512" spans="2:5">
      <c r="B18512" s="121">
        <v>1542</v>
      </c>
      <c r="C18512" s="121">
        <v>15</v>
      </c>
      <c r="D18512" s="734">
        <v>143.26478675780555</v>
      </c>
      <c r="E18512" s="733"/>
    </row>
    <row r="18513" spans="2:5">
      <c r="B18513" s="121">
        <v>1542</v>
      </c>
      <c r="C18513" s="121">
        <v>16</v>
      </c>
      <c r="D18513" s="734">
        <v>135.05698087158385</v>
      </c>
      <c r="E18513" s="733"/>
    </row>
    <row r="18514" spans="2:5">
      <c r="B18514" s="121">
        <v>1542</v>
      </c>
      <c r="C18514" s="121">
        <v>17</v>
      </c>
      <c r="D18514" s="734">
        <v>134.79306438304533</v>
      </c>
      <c r="E18514" s="733"/>
    </row>
    <row r="18515" spans="2:5">
      <c r="B18515" s="121">
        <v>1542</v>
      </c>
      <c r="C18515" s="121">
        <v>18</v>
      </c>
      <c r="D18515" s="734">
        <v>137.27568302229429</v>
      </c>
      <c r="E18515" s="733"/>
    </row>
    <row r="18516" spans="2:5">
      <c r="B18516" s="121">
        <v>1542</v>
      </c>
      <c r="C18516" s="121">
        <v>19</v>
      </c>
      <c r="D18516" s="734">
        <v>145.00889888485298</v>
      </c>
      <c r="E18516" s="733"/>
    </row>
    <row r="18517" spans="2:5">
      <c r="B18517" s="121">
        <v>1542</v>
      </c>
      <c r="C18517" s="121">
        <v>20</v>
      </c>
      <c r="D18517" s="734">
        <v>144.77893886313515</v>
      </c>
      <c r="E18517" s="733"/>
    </row>
    <row r="18518" spans="2:5">
      <c r="B18518" s="121">
        <v>1542</v>
      </c>
      <c r="C18518" s="121">
        <v>21</v>
      </c>
      <c r="D18518" s="734">
        <v>146.10834443710698</v>
      </c>
      <c r="E18518" s="733"/>
    </row>
    <row r="18519" spans="2:5">
      <c r="B18519" s="121">
        <v>1542</v>
      </c>
      <c r="C18519" s="121">
        <v>22</v>
      </c>
      <c r="D18519" s="734">
        <v>139.47219114006626</v>
      </c>
      <c r="E18519" s="733"/>
    </row>
    <row r="18520" spans="2:5">
      <c r="B18520" s="121">
        <v>1542</v>
      </c>
      <c r="C18520" s="121">
        <v>23</v>
      </c>
      <c r="D18520" s="734">
        <v>146.5597145757184</v>
      </c>
      <c r="E18520" s="733"/>
    </row>
    <row r="18521" spans="2:5">
      <c r="B18521" s="121">
        <v>1542</v>
      </c>
      <c r="C18521" s="121">
        <v>24</v>
      </c>
      <c r="D18521" s="734">
        <v>147.04899974938255</v>
      </c>
      <c r="E18521" s="733"/>
    </row>
    <row r="18522" spans="2:5">
      <c r="B18522" s="121">
        <v>1542</v>
      </c>
      <c r="C18522" s="121">
        <v>25</v>
      </c>
      <c r="D18522" s="734">
        <v>143.75457928545143</v>
      </c>
      <c r="E18522" s="733"/>
    </row>
    <row r="18523" spans="2:5">
      <c r="B18523" s="121">
        <v>1542</v>
      </c>
      <c r="C18523" s="121">
        <v>26</v>
      </c>
      <c r="D18523" s="734">
        <v>146.62906596663254</v>
      </c>
      <c r="E18523" s="733"/>
    </row>
    <row r="18524" spans="2:5">
      <c r="B18524" s="121">
        <v>1542</v>
      </c>
      <c r="C18524" s="121">
        <v>27</v>
      </c>
      <c r="D18524" s="734">
        <v>144.08962577539981</v>
      </c>
      <c r="E18524" s="733"/>
    </row>
    <row r="18525" spans="2:5">
      <c r="B18525" s="121">
        <v>1542</v>
      </c>
      <c r="C18525" s="121">
        <v>28</v>
      </c>
      <c r="D18525" s="734">
        <v>137.36296273809458</v>
      </c>
      <c r="E18525" s="733"/>
    </row>
    <row r="18526" spans="2:5">
      <c r="B18526" s="121">
        <v>1542</v>
      </c>
      <c r="C18526" s="121">
        <v>29</v>
      </c>
      <c r="D18526" s="734">
        <v>140.7851629016356</v>
      </c>
      <c r="E18526" s="733"/>
    </row>
    <row r="18527" spans="2:5">
      <c r="B18527" s="121">
        <v>1542</v>
      </c>
      <c r="C18527" s="121">
        <v>30</v>
      </c>
      <c r="D18527" s="734">
        <v>136.27893219491364</v>
      </c>
      <c r="E18527" s="733"/>
    </row>
    <row r="18528" spans="2:5">
      <c r="B18528" s="121">
        <v>1542</v>
      </c>
      <c r="C18528" s="121">
        <v>31</v>
      </c>
      <c r="D18528" s="734">
        <v>138.51678043673581</v>
      </c>
      <c r="E18528" s="733"/>
    </row>
    <row r="18529" spans="2:5">
      <c r="B18529" s="121">
        <v>1542</v>
      </c>
      <c r="C18529" s="121">
        <v>32</v>
      </c>
      <c r="D18529" s="734">
        <v>146.35657632575635</v>
      </c>
      <c r="E18529" s="733"/>
    </row>
    <row r="18530" spans="2:5">
      <c r="B18530" s="121">
        <v>1542</v>
      </c>
      <c r="C18530" s="121">
        <v>33</v>
      </c>
      <c r="D18530" s="734">
        <v>139.57313192796312</v>
      </c>
      <c r="E18530" s="733"/>
    </row>
    <row r="18531" spans="2:5">
      <c r="B18531" s="121">
        <v>1542</v>
      </c>
      <c r="C18531" s="121">
        <v>34</v>
      </c>
      <c r="D18531" s="734">
        <v>143.83868164942703</v>
      </c>
      <c r="E18531" s="733"/>
    </row>
    <row r="18532" spans="2:5">
      <c r="B18532" s="121">
        <v>1542</v>
      </c>
      <c r="C18532" s="121">
        <v>35</v>
      </c>
      <c r="D18532" s="734">
        <v>135.69145631011301</v>
      </c>
      <c r="E18532" s="733"/>
    </row>
    <row r="18533" spans="2:5">
      <c r="B18533" s="121">
        <v>1542</v>
      </c>
      <c r="C18533" s="121">
        <v>36</v>
      </c>
      <c r="D18533" s="734">
        <v>137.40600114136271</v>
      </c>
      <c r="E18533" s="733"/>
    </row>
    <row r="18534" spans="2:5">
      <c r="B18534" s="121">
        <v>1543</v>
      </c>
      <c r="C18534" s="121">
        <v>1</v>
      </c>
      <c r="D18534" s="734">
        <v>5</v>
      </c>
      <c r="E18534" s="733"/>
    </row>
    <row r="18535" spans="2:5">
      <c r="B18535" s="121">
        <v>1543</v>
      </c>
      <c r="C18535" s="121">
        <v>2</v>
      </c>
      <c r="D18535" s="734">
        <v>98.925602315458974</v>
      </c>
      <c r="E18535" s="733"/>
    </row>
    <row r="18536" spans="2:5">
      <c r="B18536" s="121">
        <v>1543</v>
      </c>
      <c r="C18536" s="121">
        <v>3</v>
      </c>
      <c r="D18536" s="734">
        <v>122.08665202654375</v>
      </c>
      <c r="E18536" s="733"/>
    </row>
    <row r="18537" spans="2:5">
      <c r="B18537" s="121">
        <v>1544</v>
      </c>
      <c r="C18537" s="121">
        <v>1</v>
      </c>
      <c r="D18537" s="734">
        <v>5</v>
      </c>
      <c r="E18537" s="733"/>
    </row>
    <row r="18538" spans="2:5">
      <c r="B18538" s="121">
        <v>1545</v>
      </c>
      <c r="C18538" s="121">
        <v>1</v>
      </c>
      <c r="D18538" s="734">
        <v>5</v>
      </c>
      <c r="E18538" s="733"/>
    </row>
    <row r="18539" spans="2:5">
      <c r="B18539" s="121">
        <v>1546</v>
      </c>
      <c r="C18539" s="121">
        <v>1</v>
      </c>
      <c r="D18539" s="734">
        <v>5</v>
      </c>
      <c r="E18539" s="733"/>
    </row>
    <row r="18540" spans="2:5">
      <c r="B18540" s="121">
        <v>1546</v>
      </c>
      <c r="C18540" s="121">
        <v>2</v>
      </c>
      <c r="D18540" s="734">
        <v>103.51849932262549</v>
      </c>
      <c r="E18540" s="733"/>
    </row>
    <row r="18541" spans="2:5">
      <c r="B18541" s="121">
        <v>1546</v>
      </c>
      <c r="C18541" s="121">
        <v>3</v>
      </c>
      <c r="D18541" s="734">
        <v>116.15455797965055</v>
      </c>
      <c r="E18541" s="733"/>
    </row>
    <row r="18542" spans="2:5">
      <c r="B18542" s="121">
        <v>1546</v>
      </c>
      <c r="C18542" s="121">
        <v>4</v>
      </c>
      <c r="D18542" s="734">
        <v>135.6005053786179</v>
      </c>
      <c r="E18542" s="733"/>
    </row>
    <row r="18543" spans="2:5">
      <c r="B18543" s="121">
        <v>1546</v>
      </c>
      <c r="C18543" s="121">
        <v>5</v>
      </c>
      <c r="D18543" s="734">
        <v>138.31628985737271</v>
      </c>
      <c r="E18543" s="733"/>
    </row>
    <row r="18544" spans="2:5">
      <c r="B18544" s="121">
        <v>1546</v>
      </c>
      <c r="C18544" s="121">
        <v>6</v>
      </c>
      <c r="D18544" s="734">
        <v>136.34238874112873</v>
      </c>
      <c r="E18544" s="733"/>
    </row>
    <row r="18545" spans="2:5">
      <c r="B18545" s="121">
        <v>1546</v>
      </c>
      <c r="C18545" s="121">
        <v>7</v>
      </c>
      <c r="D18545" s="734">
        <v>142.08264287550327</v>
      </c>
      <c r="E18545" s="733"/>
    </row>
    <row r="18546" spans="2:5">
      <c r="B18546" s="121">
        <v>1546</v>
      </c>
      <c r="C18546" s="121">
        <v>8</v>
      </c>
      <c r="D18546" s="734">
        <v>135.69028575583837</v>
      </c>
      <c r="E18546" s="733"/>
    </row>
    <row r="18547" spans="2:5">
      <c r="B18547" s="121">
        <v>1546</v>
      </c>
      <c r="C18547" s="121">
        <v>9</v>
      </c>
      <c r="D18547" s="734">
        <v>135.01883061001084</v>
      </c>
      <c r="E18547" s="733"/>
    </row>
    <row r="18548" spans="2:5">
      <c r="B18548" s="121">
        <v>1546</v>
      </c>
      <c r="C18548" s="121">
        <v>10</v>
      </c>
      <c r="D18548" s="734">
        <v>144.45647081695409</v>
      </c>
      <c r="E18548" s="733"/>
    </row>
    <row r="18549" spans="2:5">
      <c r="B18549" s="121">
        <v>1546</v>
      </c>
      <c r="C18549" s="121">
        <v>11</v>
      </c>
      <c r="D18549" s="734">
        <v>139.82710110305968</v>
      </c>
      <c r="E18549" s="733"/>
    </row>
    <row r="18550" spans="2:5">
      <c r="B18550" s="121">
        <v>1546</v>
      </c>
      <c r="C18550" s="121">
        <v>12</v>
      </c>
      <c r="D18550" s="734">
        <v>137.21183852222572</v>
      </c>
      <c r="E18550" s="733"/>
    </row>
    <row r="18551" spans="2:5">
      <c r="B18551" s="121">
        <v>1546</v>
      </c>
      <c r="C18551" s="121">
        <v>13</v>
      </c>
      <c r="D18551" s="734">
        <v>137.50628519906167</v>
      </c>
      <c r="E18551" s="733"/>
    </row>
    <row r="18552" spans="2:5">
      <c r="B18552" s="121">
        <v>1546</v>
      </c>
      <c r="C18552" s="121">
        <v>14</v>
      </c>
      <c r="D18552" s="734">
        <v>142.08919288392653</v>
      </c>
      <c r="E18552" s="733"/>
    </row>
    <row r="18553" spans="2:5">
      <c r="B18553" s="121">
        <v>1546</v>
      </c>
      <c r="C18553" s="121">
        <v>15</v>
      </c>
      <c r="D18553" s="734">
        <v>134.05195010337081</v>
      </c>
      <c r="E18553" s="733"/>
    </row>
    <row r="18554" spans="2:5">
      <c r="B18554" s="121">
        <v>1546</v>
      </c>
      <c r="C18554" s="121">
        <v>16</v>
      </c>
      <c r="D18554" s="734">
        <v>140.05547450238743</v>
      </c>
      <c r="E18554" s="733"/>
    </row>
    <row r="18555" spans="2:5">
      <c r="B18555" s="121">
        <v>1546</v>
      </c>
      <c r="C18555" s="121">
        <v>17</v>
      </c>
      <c r="D18555" s="734">
        <v>143.74692897351807</v>
      </c>
      <c r="E18555" s="733"/>
    </row>
    <row r="18556" spans="2:5">
      <c r="B18556" s="121">
        <v>1546</v>
      </c>
      <c r="C18556" s="121">
        <v>18</v>
      </c>
      <c r="D18556" s="734">
        <v>134.74319958951659</v>
      </c>
      <c r="E18556" s="733"/>
    </row>
    <row r="18557" spans="2:5">
      <c r="B18557" s="121">
        <v>1546</v>
      </c>
      <c r="C18557" s="121">
        <v>19</v>
      </c>
      <c r="D18557" s="734">
        <v>145.74662752791625</v>
      </c>
      <c r="E18557" s="733"/>
    </row>
    <row r="18558" spans="2:5">
      <c r="B18558" s="121">
        <v>1546</v>
      </c>
      <c r="C18558" s="121">
        <v>20</v>
      </c>
      <c r="D18558" s="734">
        <v>147.06799804144541</v>
      </c>
      <c r="E18558" s="733"/>
    </row>
    <row r="18559" spans="2:5">
      <c r="B18559" s="121">
        <v>1546</v>
      </c>
      <c r="C18559" s="121">
        <v>21</v>
      </c>
      <c r="D18559" s="734">
        <v>141.75495691412246</v>
      </c>
      <c r="E18559" s="733"/>
    </row>
    <row r="18560" spans="2:5">
      <c r="B18560" s="121">
        <v>1546</v>
      </c>
      <c r="C18560" s="121">
        <v>22</v>
      </c>
      <c r="D18560" s="734">
        <v>146.88984763292527</v>
      </c>
      <c r="E18560" s="733"/>
    </row>
    <row r="18561" spans="2:5">
      <c r="B18561" s="121">
        <v>1546</v>
      </c>
      <c r="C18561" s="121">
        <v>23</v>
      </c>
      <c r="D18561" s="734">
        <v>143.35684116742397</v>
      </c>
      <c r="E18561" s="733"/>
    </row>
    <row r="18562" spans="2:5">
      <c r="B18562" s="121">
        <v>1546</v>
      </c>
      <c r="C18562" s="121">
        <v>24</v>
      </c>
      <c r="D18562" s="734">
        <v>139.58437478529794</v>
      </c>
      <c r="E18562" s="733"/>
    </row>
    <row r="18563" spans="2:5">
      <c r="B18563" s="121">
        <v>1546</v>
      </c>
      <c r="C18563" s="121">
        <v>25</v>
      </c>
      <c r="D18563" s="734">
        <v>135.83317482869393</v>
      </c>
      <c r="E18563" s="733"/>
    </row>
    <row r="18564" spans="2:5">
      <c r="B18564" s="121">
        <v>1546</v>
      </c>
      <c r="C18564" s="121">
        <v>26</v>
      </c>
      <c r="D18564" s="734">
        <v>140.77357763674297</v>
      </c>
      <c r="E18564" s="733"/>
    </row>
    <row r="18565" spans="2:5">
      <c r="B18565" s="121">
        <v>1546</v>
      </c>
      <c r="C18565" s="121">
        <v>27</v>
      </c>
      <c r="D18565" s="734">
        <v>137.70401386332685</v>
      </c>
      <c r="E18565" s="733"/>
    </row>
    <row r="18566" spans="2:5">
      <c r="B18566" s="121">
        <v>1546</v>
      </c>
      <c r="C18566" s="121">
        <v>28</v>
      </c>
      <c r="D18566" s="734">
        <v>136.8528195862047</v>
      </c>
      <c r="E18566" s="733"/>
    </row>
    <row r="18567" spans="2:5">
      <c r="B18567" s="121">
        <v>1546</v>
      </c>
      <c r="C18567" s="121">
        <v>29</v>
      </c>
      <c r="D18567" s="734">
        <v>134.74965030077337</v>
      </c>
      <c r="E18567" s="733"/>
    </row>
    <row r="18568" spans="2:5">
      <c r="B18568" s="121">
        <v>1546</v>
      </c>
      <c r="C18568" s="121">
        <v>30</v>
      </c>
      <c r="D18568" s="734">
        <v>133.70874063033301</v>
      </c>
      <c r="E18568" s="733"/>
    </row>
    <row r="18569" spans="2:5">
      <c r="B18569" s="121">
        <v>1546</v>
      </c>
      <c r="C18569" s="121">
        <v>31</v>
      </c>
      <c r="D18569" s="734">
        <v>146.66692337636132</v>
      </c>
      <c r="E18569" s="733"/>
    </row>
    <row r="18570" spans="2:5">
      <c r="B18570" s="121">
        <v>1546</v>
      </c>
      <c r="C18570" s="121">
        <v>32</v>
      </c>
      <c r="D18570" s="734">
        <v>134.89912818288136</v>
      </c>
      <c r="E18570" s="733"/>
    </row>
    <row r="18571" spans="2:5">
      <c r="B18571" s="121">
        <v>1546</v>
      </c>
      <c r="C18571" s="121">
        <v>33</v>
      </c>
      <c r="D18571" s="734">
        <v>140.4952371643648</v>
      </c>
      <c r="E18571" s="733"/>
    </row>
    <row r="18572" spans="2:5">
      <c r="B18572" s="121">
        <v>1546</v>
      </c>
      <c r="C18572" s="121">
        <v>34</v>
      </c>
      <c r="D18572" s="734">
        <v>141.08228597308255</v>
      </c>
      <c r="E18572" s="733"/>
    </row>
    <row r="18573" spans="2:5">
      <c r="B18573" s="121">
        <v>1546</v>
      </c>
      <c r="C18573" s="121">
        <v>35</v>
      </c>
      <c r="D18573" s="734">
        <v>139.77839008987854</v>
      </c>
      <c r="E18573" s="733"/>
    </row>
    <row r="18574" spans="2:5">
      <c r="B18574" s="121">
        <v>1546</v>
      </c>
      <c r="C18574" s="121">
        <v>36</v>
      </c>
      <c r="D18574" s="734">
        <v>136.03174551138463</v>
      </c>
      <c r="E18574" s="733"/>
    </row>
    <row r="18575" spans="2:5">
      <c r="B18575" s="121">
        <v>1547</v>
      </c>
      <c r="C18575" s="121">
        <v>1</v>
      </c>
      <c r="D18575" s="734">
        <v>5</v>
      </c>
      <c r="E18575" s="733"/>
    </row>
    <row r="18576" spans="2:5">
      <c r="B18576" s="121">
        <v>1548</v>
      </c>
      <c r="C18576" s="121">
        <v>1</v>
      </c>
      <c r="D18576" s="734">
        <v>5</v>
      </c>
      <c r="E18576" s="733"/>
    </row>
    <row r="18577" spans="2:5">
      <c r="B18577" s="121">
        <v>1549</v>
      </c>
      <c r="C18577" s="121">
        <v>1</v>
      </c>
      <c r="D18577" s="734">
        <v>5</v>
      </c>
      <c r="E18577" s="733"/>
    </row>
    <row r="18578" spans="2:5">
      <c r="B18578" s="121">
        <v>1550</v>
      </c>
      <c r="C18578" s="121">
        <v>1</v>
      </c>
      <c r="D18578" s="734">
        <v>5</v>
      </c>
      <c r="E18578" s="733"/>
    </row>
    <row r="18579" spans="2:5">
      <c r="B18579" s="121">
        <v>1550</v>
      </c>
      <c r="C18579" s="121">
        <v>2</v>
      </c>
      <c r="D18579" s="734">
        <v>94.437148719825416</v>
      </c>
      <c r="E18579" s="733"/>
    </row>
    <row r="18580" spans="2:5">
      <c r="B18580" s="121">
        <v>1550</v>
      </c>
      <c r="C18580" s="121">
        <v>3</v>
      </c>
      <c r="D18580" s="734">
        <v>117.15049837700887</v>
      </c>
      <c r="E18580" s="733"/>
    </row>
    <row r="18581" spans="2:5">
      <c r="B18581" s="121">
        <v>1550</v>
      </c>
      <c r="C18581" s="121">
        <v>4</v>
      </c>
      <c r="D18581" s="734">
        <v>139.45025797699375</v>
      </c>
      <c r="E18581" s="733"/>
    </row>
    <row r="18582" spans="2:5">
      <c r="B18582" s="121">
        <v>1550</v>
      </c>
      <c r="C18582" s="121">
        <v>5</v>
      </c>
      <c r="D18582" s="734">
        <v>136.25889408830642</v>
      </c>
      <c r="E18582" s="733"/>
    </row>
    <row r="18583" spans="2:5">
      <c r="B18583" s="121">
        <v>1550</v>
      </c>
      <c r="C18583" s="121">
        <v>6</v>
      </c>
      <c r="D18583" s="734">
        <v>136.84728392065554</v>
      </c>
      <c r="E18583" s="733"/>
    </row>
    <row r="18584" spans="2:5">
      <c r="B18584" s="121">
        <v>1550</v>
      </c>
      <c r="C18584" s="121">
        <v>7</v>
      </c>
      <c r="D18584" s="734">
        <v>140.65600652545899</v>
      </c>
      <c r="E18584" s="733"/>
    </row>
    <row r="18585" spans="2:5">
      <c r="B18585" s="121">
        <v>1550</v>
      </c>
      <c r="C18585" s="121">
        <v>8</v>
      </c>
      <c r="D18585" s="734">
        <v>136.24998359939715</v>
      </c>
      <c r="E18585" s="733"/>
    </row>
    <row r="18586" spans="2:5">
      <c r="B18586" s="121">
        <v>1550</v>
      </c>
      <c r="C18586" s="121">
        <v>9</v>
      </c>
      <c r="D18586" s="734">
        <v>145.68793863071218</v>
      </c>
      <c r="E18586" s="733"/>
    </row>
    <row r="18587" spans="2:5">
      <c r="B18587" s="121">
        <v>1550</v>
      </c>
      <c r="C18587" s="121">
        <v>10</v>
      </c>
      <c r="D18587" s="734">
        <v>144.22663695305727</v>
      </c>
      <c r="E18587" s="733"/>
    </row>
    <row r="18588" spans="2:5">
      <c r="B18588" s="121">
        <v>1551</v>
      </c>
      <c r="C18588" s="121">
        <v>1</v>
      </c>
      <c r="D18588" s="734">
        <v>5</v>
      </c>
      <c r="E18588" s="733"/>
    </row>
    <row r="18589" spans="2:5">
      <c r="B18589" s="121">
        <v>1552</v>
      </c>
      <c r="C18589" s="121">
        <v>1</v>
      </c>
      <c r="D18589" s="734">
        <v>5</v>
      </c>
      <c r="E18589" s="733"/>
    </row>
    <row r="18590" spans="2:5">
      <c r="B18590" s="121">
        <v>1553</v>
      </c>
      <c r="C18590" s="121">
        <v>1</v>
      </c>
      <c r="D18590" s="734">
        <v>5</v>
      </c>
      <c r="E18590" s="733"/>
    </row>
    <row r="18591" spans="2:5">
      <c r="B18591" s="121">
        <v>1554</v>
      </c>
      <c r="C18591" s="121">
        <v>1</v>
      </c>
      <c r="D18591" s="734">
        <v>5</v>
      </c>
      <c r="E18591" s="733"/>
    </row>
    <row r="18592" spans="2:5">
      <c r="B18592" s="121">
        <v>1554</v>
      </c>
      <c r="C18592" s="121">
        <v>2</v>
      </c>
      <c r="D18592" s="734">
        <v>100.64926884699756</v>
      </c>
      <c r="E18592" s="733"/>
    </row>
    <row r="18593" spans="2:5">
      <c r="B18593" s="121">
        <v>1554</v>
      </c>
      <c r="C18593" s="121">
        <v>3</v>
      </c>
      <c r="D18593" s="734">
        <v>118.09646421032963</v>
      </c>
      <c r="E18593" s="733"/>
    </row>
    <row r="18594" spans="2:5">
      <c r="B18594" s="121">
        <v>1554</v>
      </c>
      <c r="C18594" s="121">
        <v>4</v>
      </c>
      <c r="D18594" s="734">
        <v>146.65919686683478</v>
      </c>
      <c r="E18594" s="733"/>
    </row>
    <row r="18595" spans="2:5">
      <c r="B18595" s="121">
        <v>1554</v>
      </c>
      <c r="C18595" s="121">
        <v>5</v>
      </c>
      <c r="D18595" s="734">
        <v>136.74483166064627</v>
      </c>
      <c r="E18595" s="733"/>
    </row>
    <row r="18596" spans="2:5">
      <c r="B18596" s="121">
        <v>1554</v>
      </c>
      <c r="C18596" s="121">
        <v>6</v>
      </c>
      <c r="D18596" s="734">
        <v>143.80273796270981</v>
      </c>
      <c r="E18596" s="733"/>
    </row>
    <row r="18597" spans="2:5">
      <c r="B18597" s="121">
        <v>1554</v>
      </c>
      <c r="C18597" s="121">
        <v>7</v>
      </c>
      <c r="D18597" s="734">
        <v>142.66930481031883</v>
      </c>
      <c r="E18597" s="733"/>
    </row>
    <row r="18598" spans="2:5">
      <c r="B18598" s="121">
        <v>1554</v>
      </c>
      <c r="C18598" s="121">
        <v>8</v>
      </c>
      <c r="D18598" s="734">
        <v>141.58023364976395</v>
      </c>
      <c r="E18598" s="733"/>
    </row>
    <row r="18599" spans="2:5">
      <c r="B18599" s="121">
        <v>1554</v>
      </c>
      <c r="C18599" s="121">
        <v>9</v>
      </c>
      <c r="D18599" s="734">
        <v>138.30407535539547</v>
      </c>
      <c r="E18599" s="733"/>
    </row>
    <row r="18600" spans="2:5">
      <c r="B18600" s="121">
        <v>1554</v>
      </c>
      <c r="C18600" s="121">
        <v>10</v>
      </c>
      <c r="D18600" s="734">
        <v>136.37921650964373</v>
      </c>
      <c r="E18600" s="733"/>
    </row>
    <row r="18601" spans="2:5">
      <c r="B18601" s="121">
        <v>1554</v>
      </c>
      <c r="C18601" s="121">
        <v>11</v>
      </c>
      <c r="D18601" s="734">
        <v>136.64636485729258</v>
      </c>
      <c r="E18601" s="733"/>
    </row>
    <row r="18602" spans="2:5">
      <c r="B18602" s="121">
        <v>1554</v>
      </c>
      <c r="C18602" s="121">
        <v>12</v>
      </c>
      <c r="D18602" s="734">
        <v>136.82838740762611</v>
      </c>
      <c r="E18602" s="733"/>
    </row>
    <row r="18603" spans="2:5">
      <c r="B18603" s="121">
        <v>1554</v>
      </c>
      <c r="C18603" s="121">
        <v>13</v>
      </c>
      <c r="D18603" s="734">
        <v>143.83128576626834</v>
      </c>
      <c r="E18603" s="733"/>
    </row>
    <row r="18604" spans="2:5">
      <c r="B18604" s="121">
        <v>1554</v>
      </c>
      <c r="C18604" s="121">
        <v>14</v>
      </c>
      <c r="D18604" s="734">
        <v>137.67981235285174</v>
      </c>
      <c r="E18604" s="733"/>
    </row>
    <row r="18605" spans="2:5">
      <c r="B18605" s="121">
        <v>1554</v>
      </c>
      <c r="C18605" s="121">
        <v>15</v>
      </c>
      <c r="D18605" s="734">
        <v>134.27437923836962</v>
      </c>
      <c r="E18605" s="733"/>
    </row>
    <row r="18606" spans="2:5">
      <c r="B18606" s="121">
        <v>1554</v>
      </c>
      <c r="C18606" s="121">
        <v>16</v>
      </c>
      <c r="D18606" s="734">
        <v>141.03939992832764</v>
      </c>
      <c r="E18606" s="733"/>
    </row>
    <row r="18607" spans="2:5">
      <c r="B18607" s="121">
        <v>1554</v>
      </c>
      <c r="C18607" s="121">
        <v>17</v>
      </c>
      <c r="D18607" s="734">
        <v>135.87618310865435</v>
      </c>
      <c r="E18607" s="733"/>
    </row>
    <row r="18608" spans="2:5">
      <c r="B18608" s="121">
        <v>1554</v>
      </c>
      <c r="C18608" s="121">
        <v>18</v>
      </c>
      <c r="D18608" s="734">
        <v>142.64815807734712</v>
      </c>
      <c r="E18608" s="733"/>
    </row>
    <row r="18609" spans="2:5">
      <c r="B18609" s="121">
        <v>1554</v>
      </c>
      <c r="C18609" s="121">
        <v>19</v>
      </c>
      <c r="D18609" s="734">
        <v>141.24438785774859</v>
      </c>
      <c r="E18609" s="733"/>
    </row>
    <row r="18610" spans="2:5">
      <c r="B18610" s="121">
        <v>1554</v>
      </c>
      <c r="C18610" s="121">
        <v>20</v>
      </c>
      <c r="D18610" s="734">
        <v>140.33416229462676</v>
      </c>
      <c r="E18610" s="733"/>
    </row>
    <row r="18611" spans="2:5">
      <c r="B18611" s="121">
        <v>1554</v>
      </c>
      <c r="C18611" s="121">
        <v>21</v>
      </c>
      <c r="D18611" s="734">
        <v>139.43538967726801</v>
      </c>
      <c r="E18611" s="733"/>
    </row>
    <row r="18612" spans="2:5">
      <c r="B18612" s="121">
        <v>1554</v>
      </c>
      <c r="C18612" s="121">
        <v>22</v>
      </c>
      <c r="D18612" s="734">
        <v>140.53460898771195</v>
      </c>
      <c r="E18612" s="733"/>
    </row>
    <row r="18613" spans="2:5">
      <c r="B18613" s="121">
        <v>1554</v>
      </c>
      <c r="C18613" s="121">
        <v>23</v>
      </c>
      <c r="D18613" s="734">
        <v>138.7547615653157</v>
      </c>
      <c r="E18613" s="733"/>
    </row>
    <row r="18614" spans="2:5">
      <c r="B18614" s="121">
        <v>1554</v>
      </c>
      <c r="C18614" s="121">
        <v>24</v>
      </c>
      <c r="D18614" s="734">
        <v>142.03429944463321</v>
      </c>
      <c r="E18614" s="733"/>
    </row>
    <row r="18615" spans="2:5">
      <c r="B18615" s="121">
        <v>1554</v>
      </c>
      <c r="C18615" s="121">
        <v>25</v>
      </c>
      <c r="D18615" s="734">
        <v>141.08379735553851</v>
      </c>
      <c r="E18615" s="733"/>
    </row>
    <row r="18616" spans="2:5">
      <c r="B18616" s="121">
        <v>1554</v>
      </c>
      <c r="C18616" s="121">
        <v>26</v>
      </c>
      <c r="D18616" s="734">
        <v>140.78217832786126</v>
      </c>
      <c r="E18616" s="733"/>
    </row>
    <row r="18617" spans="2:5">
      <c r="B18617" s="121">
        <v>1554</v>
      </c>
      <c r="C18617" s="121">
        <v>27</v>
      </c>
      <c r="D18617" s="734">
        <v>138.53394695438786</v>
      </c>
      <c r="E18617" s="733"/>
    </row>
    <row r="18618" spans="2:5">
      <c r="B18618" s="121">
        <v>1554</v>
      </c>
      <c r="C18618" s="121">
        <v>28</v>
      </c>
      <c r="D18618" s="734">
        <v>144.96357731008956</v>
      </c>
      <c r="E18618" s="733"/>
    </row>
    <row r="18619" spans="2:5">
      <c r="B18619" s="121">
        <v>1554</v>
      </c>
      <c r="C18619" s="121">
        <v>29</v>
      </c>
      <c r="D18619" s="734">
        <v>136.45260270385654</v>
      </c>
      <c r="E18619" s="733"/>
    </row>
    <row r="18620" spans="2:5">
      <c r="B18620" s="121">
        <v>1555</v>
      </c>
      <c r="C18620" s="121">
        <v>1</v>
      </c>
      <c r="D18620" s="734">
        <v>5</v>
      </c>
      <c r="E18620" s="733"/>
    </row>
    <row r="18621" spans="2:5">
      <c r="B18621" s="121">
        <v>1555</v>
      </c>
      <c r="C18621" s="121">
        <v>2</v>
      </c>
      <c r="D18621" s="734">
        <v>95.303153091304296</v>
      </c>
      <c r="E18621" s="733"/>
    </row>
    <row r="18622" spans="2:5">
      <c r="B18622" s="121">
        <v>1555</v>
      </c>
      <c r="C18622" s="121">
        <v>3</v>
      </c>
      <c r="D18622" s="734">
        <v>115.50099643855307</v>
      </c>
      <c r="E18622" s="733"/>
    </row>
    <row r="18623" spans="2:5">
      <c r="B18623" s="121">
        <v>1555</v>
      </c>
      <c r="C18623" s="121">
        <v>4</v>
      </c>
      <c r="D18623" s="734">
        <v>144.21467585670996</v>
      </c>
      <c r="E18623" s="733"/>
    </row>
    <row r="18624" spans="2:5">
      <c r="B18624" s="121">
        <v>1555</v>
      </c>
      <c r="C18624" s="121">
        <v>5</v>
      </c>
      <c r="D18624" s="734">
        <v>140.27604324041781</v>
      </c>
      <c r="E18624" s="733"/>
    </row>
    <row r="18625" spans="2:5">
      <c r="B18625" s="121">
        <v>1555</v>
      </c>
      <c r="C18625" s="121">
        <v>6</v>
      </c>
      <c r="D18625" s="734">
        <v>135.52003696950783</v>
      </c>
      <c r="E18625" s="733"/>
    </row>
    <row r="18626" spans="2:5">
      <c r="B18626" s="121">
        <v>1555</v>
      </c>
      <c r="C18626" s="121">
        <v>7</v>
      </c>
      <c r="D18626" s="734">
        <v>141.59691892788933</v>
      </c>
      <c r="E18626" s="733"/>
    </row>
    <row r="18627" spans="2:5">
      <c r="B18627" s="121">
        <v>1555</v>
      </c>
      <c r="C18627" s="121">
        <v>8</v>
      </c>
      <c r="D18627" s="734">
        <v>136.35995523479153</v>
      </c>
      <c r="E18627" s="733"/>
    </row>
    <row r="18628" spans="2:5">
      <c r="B18628" s="121">
        <v>1555</v>
      </c>
      <c r="C18628" s="121">
        <v>9</v>
      </c>
      <c r="D18628" s="734">
        <v>145.61860488921087</v>
      </c>
      <c r="E18628" s="733"/>
    </row>
    <row r="18629" spans="2:5">
      <c r="B18629" s="121">
        <v>1555</v>
      </c>
      <c r="C18629" s="121">
        <v>10</v>
      </c>
      <c r="D18629" s="734">
        <v>145.02992027523158</v>
      </c>
      <c r="E18629" s="733"/>
    </row>
    <row r="18630" spans="2:5">
      <c r="B18630" s="121">
        <v>1555</v>
      </c>
      <c r="C18630" s="121">
        <v>11</v>
      </c>
      <c r="D18630" s="734">
        <v>138.21021999055037</v>
      </c>
      <c r="E18630" s="733"/>
    </row>
    <row r="18631" spans="2:5">
      <c r="B18631" s="121">
        <v>1555</v>
      </c>
      <c r="C18631" s="121">
        <v>12</v>
      </c>
      <c r="D18631" s="734">
        <v>146.70231703176734</v>
      </c>
      <c r="E18631" s="733"/>
    </row>
    <row r="18632" spans="2:5">
      <c r="B18632" s="121">
        <v>1556</v>
      </c>
      <c r="C18632" s="121">
        <v>1</v>
      </c>
      <c r="D18632" s="734">
        <v>5</v>
      </c>
      <c r="E18632" s="733"/>
    </row>
    <row r="18633" spans="2:5">
      <c r="B18633" s="121">
        <v>1556</v>
      </c>
      <c r="C18633" s="121">
        <v>2</v>
      </c>
      <c r="D18633" s="734">
        <v>94.8744460822154</v>
      </c>
      <c r="E18633" s="733"/>
    </row>
    <row r="18634" spans="2:5">
      <c r="B18634" s="121">
        <v>1556</v>
      </c>
      <c r="C18634" s="121">
        <v>3</v>
      </c>
      <c r="D18634" s="734">
        <v>119.95858145074776</v>
      </c>
      <c r="E18634" s="733"/>
    </row>
    <row r="18635" spans="2:5">
      <c r="B18635" s="121">
        <v>1556</v>
      </c>
      <c r="C18635" s="121">
        <v>4</v>
      </c>
      <c r="D18635" s="734">
        <v>137.28764691101614</v>
      </c>
      <c r="E18635" s="733"/>
    </row>
    <row r="18636" spans="2:5">
      <c r="B18636" s="121">
        <v>1556</v>
      </c>
      <c r="C18636" s="121">
        <v>5</v>
      </c>
      <c r="D18636" s="734">
        <v>141.55161539795276</v>
      </c>
      <c r="E18636" s="733"/>
    </row>
    <row r="18637" spans="2:5">
      <c r="B18637" s="121">
        <v>1556</v>
      </c>
      <c r="C18637" s="121">
        <v>6</v>
      </c>
      <c r="D18637" s="734">
        <v>137.51638590982657</v>
      </c>
      <c r="E18637" s="733"/>
    </row>
    <row r="18638" spans="2:5">
      <c r="B18638" s="121">
        <v>1556</v>
      </c>
      <c r="C18638" s="121">
        <v>7</v>
      </c>
      <c r="D18638" s="734">
        <v>134.35108418614121</v>
      </c>
      <c r="E18638" s="733"/>
    </row>
    <row r="18639" spans="2:5">
      <c r="B18639" s="121">
        <v>1556</v>
      </c>
      <c r="C18639" s="121">
        <v>8</v>
      </c>
      <c r="D18639" s="734">
        <v>146.43968344026808</v>
      </c>
      <c r="E18639" s="733"/>
    </row>
    <row r="18640" spans="2:5">
      <c r="B18640" s="121">
        <v>1557</v>
      </c>
      <c r="C18640" s="121">
        <v>1</v>
      </c>
      <c r="D18640" s="734">
        <v>5</v>
      </c>
      <c r="E18640" s="733"/>
    </row>
    <row r="18641" spans="2:5">
      <c r="B18641" s="121">
        <v>1557</v>
      </c>
      <c r="C18641" s="121">
        <v>2</v>
      </c>
      <c r="D18641" s="734">
        <v>100.09042171673555</v>
      </c>
      <c r="E18641" s="733"/>
    </row>
    <row r="18642" spans="2:5">
      <c r="B18642" s="121">
        <v>1557</v>
      </c>
      <c r="C18642" s="121">
        <v>3</v>
      </c>
      <c r="D18642" s="734">
        <v>117.04299278567581</v>
      </c>
      <c r="E18642" s="733"/>
    </row>
    <row r="18643" spans="2:5">
      <c r="B18643" s="121">
        <v>1557</v>
      </c>
      <c r="C18643" s="121">
        <v>4</v>
      </c>
      <c r="D18643" s="734">
        <v>142.3205405336472</v>
      </c>
      <c r="E18643" s="733"/>
    </row>
    <row r="18644" spans="2:5">
      <c r="B18644" s="121">
        <v>1557</v>
      </c>
      <c r="C18644" s="121">
        <v>5</v>
      </c>
      <c r="D18644" s="734">
        <v>144.21461857715767</v>
      </c>
      <c r="E18644" s="733"/>
    </row>
    <row r="18645" spans="2:5">
      <c r="B18645" s="121">
        <v>1557</v>
      </c>
      <c r="C18645" s="121">
        <v>6</v>
      </c>
      <c r="D18645" s="734">
        <v>140.51251832015043</v>
      </c>
      <c r="E18645" s="733"/>
    </row>
    <row r="18646" spans="2:5">
      <c r="B18646" s="121">
        <v>1557</v>
      </c>
      <c r="C18646" s="121">
        <v>7</v>
      </c>
      <c r="D18646" s="734">
        <v>144.74268005212267</v>
      </c>
      <c r="E18646" s="733"/>
    </row>
    <row r="18647" spans="2:5">
      <c r="B18647" s="121">
        <v>1557</v>
      </c>
      <c r="C18647" s="121">
        <v>8</v>
      </c>
      <c r="D18647" s="734">
        <v>146.4993696048935</v>
      </c>
      <c r="E18647" s="733"/>
    </row>
    <row r="18648" spans="2:5">
      <c r="B18648" s="121">
        <v>1557</v>
      </c>
      <c r="C18648" s="121">
        <v>9</v>
      </c>
      <c r="D18648" s="734">
        <v>138.37517022532512</v>
      </c>
      <c r="E18648" s="733"/>
    </row>
    <row r="18649" spans="2:5">
      <c r="B18649" s="121">
        <v>1557</v>
      </c>
      <c r="C18649" s="121">
        <v>10</v>
      </c>
      <c r="D18649" s="734">
        <v>135.75156233469571</v>
      </c>
      <c r="E18649" s="733"/>
    </row>
    <row r="18650" spans="2:5">
      <c r="B18650" s="121">
        <v>1557</v>
      </c>
      <c r="C18650" s="121">
        <v>11</v>
      </c>
      <c r="D18650" s="734">
        <v>135.72661193743863</v>
      </c>
      <c r="E18650" s="733"/>
    </row>
    <row r="18651" spans="2:5">
      <c r="B18651" s="121">
        <v>1557</v>
      </c>
      <c r="C18651" s="121">
        <v>12</v>
      </c>
      <c r="D18651" s="734">
        <v>144.03207949637945</v>
      </c>
      <c r="E18651" s="733"/>
    </row>
    <row r="18652" spans="2:5">
      <c r="B18652" s="121">
        <v>1557</v>
      </c>
      <c r="C18652" s="121">
        <v>13</v>
      </c>
      <c r="D18652" s="734">
        <v>136.95645968552654</v>
      </c>
      <c r="E18652" s="733"/>
    </row>
    <row r="18653" spans="2:5">
      <c r="B18653" s="121">
        <v>1557</v>
      </c>
      <c r="C18653" s="121">
        <v>14</v>
      </c>
      <c r="D18653" s="734">
        <v>139.03221842273808</v>
      </c>
      <c r="E18653" s="733"/>
    </row>
    <row r="18654" spans="2:5">
      <c r="B18654" s="121">
        <v>1557</v>
      </c>
      <c r="C18654" s="121">
        <v>15</v>
      </c>
      <c r="D18654" s="734">
        <v>146.05864806051449</v>
      </c>
      <c r="E18654" s="733"/>
    </row>
    <row r="18655" spans="2:5">
      <c r="B18655" s="121">
        <v>1557</v>
      </c>
      <c r="C18655" s="121">
        <v>16</v>
      </c>
      <c r="D18655" s="734">
        <v>144.40290117232553</v>
      </c>
      <c r="E18655" s="733"/>
    </row>
    <row r="18656" spans="2:5">
      <c r="B18656" s="121">
        <v>1557</v>
      </c>
      <c r="C18656" s="121">
        <v>17</v>
      </c>
      <c r="D18656" s="734">
        <v>146.87940701485431</v>
      </c>
      <c r="E18656" s="733"/>
    </row>
    <row r="18657" spans="2:5">
      <c r="B18657" s="121">
        <v>1557</v>
      </c>
      <c r="C18657" s="121">
        <v>18</v>
      </c>
      <c r="D18657" s="734">
        <v>146.94018649392581</v>
      </c>
      <c r="E18657" s="733"/>
    </row>
    <row r="18658" spans="2:5">
      <c r="B18658" s="121">
        <v>1557</v>
      </c>
      <c r="C18658" s="121">
        <v>19</v>
      </c>
      <c r="D18658" s="734">
        <v>142.90233413952549</v>
      </c>
      <c r="E18658" s="733"/>
    </row>
    <row r="18659" spans="2:5">
      <c r="B18659" s="121">
        <v>1557</v>
      </c>
      <c r="C18659" s="121">
        <v>20</v>
      </c>
      <c r="D18659" s="734">
        <v>139.40379071522389</v>
      </c>
      <c r="E18659" s="733"/>
    </row>
    <row r="18660" spans="2:5">
      <c r="B18660" s="121">
        <v>1557</v>
      </c>
      <c r="C18660" s="121">
        <v>21</v>
      </c>
      <c r="D18660" s="734">
        <v>145.45608804595963</v>
      </c>
      <c r="E18660" s="733"/>
    </row>
    <row r="18661" spans="2:5">
      <c r="B18661" s="121">
        <v>1557</v>
      </c>
      <c r="C18661" s="121">
        <v>22</v>
      </c>
      <c r="D18661" s="734">
        <v>138.52064760883431</v>
      </c>
      <c r="E18661" s="733"/>
    </row>
    <row r="18662" spans="2:5">
      <c r="B18662" s="121">
        <v>1557</v>
      </c>
      <c r="C18662" s="121">
        <v>23</v>
      </c>
      <c r="D18662" s="734">
        <v>139.90973731200268</v>
      </c>
      <c r="E18662" s="733"/>
    </row>
    <row r="18663" spans="2:5">
      <c r="B18663" s="121">
        <v>1557</v>
      </c>
      <c r="C18663" s="121">
        <v>24</v>
      </c>
      <c r="D18663" s="734">
        <v>135.20521758575819</v>
      </c>
      <c r="E18663" s="733"/>
    </row>
    <row r="18664" spans="2:5">
      <c r="B18664" s="121">
        <v>1557</v>
      </c>
      <c r="C18664" s="121">
        <v>25</v>
      </c>
      <c r="D18664" s="734">
        <v>134.54400691089126</v>
      </c>
      <c r="E18664" s="733"/>
    </row>
    <row r="18665" spans="2:5">
      <c r="B18665" s="121">
        <v>1557</v>
      </c>
      <c r="C18665" s="121">
        <v>26</v>
      </c>
      <c r="D18665" s="734">
        <v>143.44152162296322</v>
      </c>
      <c r="E18665" s="733"/>
    </row>
    <row r="18666" spans="2:5">
      <c r="B18666" s="121">
        <v>1557</v>
      </c>
      <c r="C18666" s="121">
        <v>27</v>
      </c>
      <c r="D18666" s="734">
        <v>137.98915170413147</v>
      </c>
      <c r="E18666" s="733"/>
    </row>
    <row r="18667" spans="2:5">
      <c r="B18667" s="121">
        <v>1557</v>
      </c>
      <c r="C18667" s="121">
        <v>28</v>
      </c>
      <c r="D18667" s="734">
        <v>144.81891499471902</v>
      </c>
      <c r="E18667" s="733"/>
    </row>
    <row r="18668" spans="2:5">
      <c r="B18668" s="121">
        <v>1557</v>
      </c>
      <c r="C18668" s="121">
        <v>29</v>
      </c>
      <c r="D18668" s="734">
        <v>133.71447044616536</v>
      </c>
      <c r="E18668" s="733"/>
    </row>
    <row r="18669" spans="2:5">
      <c r="B18669" s="121">
        <v>1557</v>
      </c>
      <c r="C18669" s="121">
        <v>30</v>
      </c>
      <c r="D18669" s="734">
        <v>137.37802146219408</v>
      </c>
      <c r="E18669" s="733"/>
    </row>
    <row r="18670" spans="2:5">
      <c r="B18670" s="121">
        <v>1557</v>
      </c>
      <c r="C18670" s="121">
        <v>31</v>
      </c>
      <c r="D18670" s="734">
        <v>137.75780541778971</v>
      </c>
      <c r="E18670" s="733"/>
    </row>
    <row r="18671" spans="2:5">
      <c r="B18671" s="121">
        <v>1557</v>
      </c>
      <c r="C18671" s="121">
        <v>32</v>
      </c>
      <c r="D18671" s="734">
        <v>142.39525761619024</v>
      </c>
      <c r="E18671" s="733"/>
    </row>
    <row r="18672" spans="2:5">
      <c r="B18672" s="121">
        <v>1557</v>
      </c>
      <c r="C18672" s="121">
        <v>33</v>
      </c>
      <c r="D18672" s="734">
        <v>138.30087544647648</v>
      </c>
      <c r="E18672" s="733"/>
    </row>
    <row r="18673" spans="2:5">
      <c r="B18673" s="121">
        <v>1557</v>
      </c>
      <c r="C18673" s="121">
        <v>34</v>
      </c>
      <c r="D18673" s="734">
        <v>140.62285117726998</v>
      </c>
      <c r="E18673" s="733"/>
    </row>
    <row r="18674" spans="2:5">
      <c r="B18674" s="121">
        <v>1557</v>
      </c>
      <c r="C18674" s="121">
        <v>35</v>
      </c>
      <c r="D18674" s="734">
        <v>140.53517158076443</v>
      </c>
      <c r="E18674" s="733"/>
    </row>
    <row r="18675" spans="2:5">
      <c r="B18675" s="121">
        <v>1557</v>
      </c>
      <c r="C18675" s="121">
        <v>36</v>
      </c>
      <c r="D18675" s="734">
        <v>142.32983066751595</v>
      </c>
      <c r="E18675" s="733"/>
    </row>
    <row r="18676" spans="2:5">
      <c r="B18676" s="121">
        <v>1558</v>
      </c>
      <c r="C18676" s="121">
        <v>1</v>
      </c>
      <c r="D18676" s="734">
        <v>5</v>
      </c>
      <c r="E18676" s="733"/>
    </row>
    <row r="18677" spans="2:5">
      <c r="B18677" s="121">
        <v>1558</v>
      </c>
      <c r="C18677" s="121">
        <v>2</v>
      </c>
      <c r="D18677" s="734">
        <v>96.163542333555611</v>
      </c>
      <c r="E18677" s="733"/>
    </row>
    <row r="18678" spans="2:5">
      <c r="B18678" s="121">
        <v>1558</v>
      </c>
      <c r="C18678" s="121">
        <v>3</v>
      </c>
      <c r="D18678" s="734">
        <v>118.13073254548551</v>
      </c>
      <c r="E18678" s="733"/>
    </row>
    <row r="18679" spans="2:5">
      <c r="B18679" s="121">
        <v>1558</v>
      </c>
      <c r="C18679" s="121">
        <v>4</v>
      </c>
      <c r="D18679" s="734">
        <v>146.34407949288519</v>
      </c>
      <c r="E18679" s="733"/>
    </row>
    <row r="18680" spans="2:5">
      <c r="B18680" s="121">
        <v>1558</v>
      </c>
      <c r="C18680" s="121">
        <v>5</v>
      </c>
      <c r="D18680" s="734">
        <v>133.95773705173028</v>
      </c>
      <c r="E18680" s="733"/>
    </row>
    <row r="18681" spans="2:5">
      <c r="B18681" s="121">
        <v>1558</v>
      </c>
      <c r="C18681" s="121">
        <v>6</v>
      </c>
      <c r="D18681" s="734">
        <v>136.4874989890312</v>
      </c>
      <c r="E18681" s="733"/>
    </row>
    <row r="18682" spans="2:5">
      <c r="B18682" s="121">
        <v>1558</v>
      </c>
      <c r="C18682" s="121">
        <v>7</v>
      </c>
      <c r="D18682" s="734">
        <v>135.89579997502318</v>
      </c>
      <c r="E18682" s="733"/>
    </row>
    <row r="18683" spans="2:5">
      <c r="B18683" s="121">
        <v>1558</v>
      </c>
      <c r="C18683" s="121">
        <v>8</v>
      </c>
      <c r="D18683" s="734">
        <v>135.94580099189707</v>
      </c>
      <c r="E18683" s="733"/>
    </row>
    <row r="18684" spans="2:5">
      <c r="B18684" s="121">
        <v>1558</v>
      </c>
      <c r="C18684" s="121">
        <v>9</v>
      </c>
      <c r="D18684" s="734">
        <v>134.28563056332578</v>
      </c>
      <c r="E18684" s="733"/>
    </row>
    <row r="18685" spans="2:5">
      <c r="B18685" s="121">
        <v>1558</v>
      </c>
      <c r="C18685" s="121">
        <v>10</v>
      </c>
      <c r="D18685" s="734">
        <v>134.7910840894497</v>
      </c>
      <c r="E18685" s="733"/>
    </row>
    <row r="18686" spans="2:5">
      <c r="B18686" s="121">
        <v>1558</v>
      </c>
      <c r="C18686" s="121">
        <v>11</v>
      </c>
      <c r="D18686" s="734">
        <v>136.41815969503185</v>
      </c>
      <c r="E18686" s="733"/>
    </row>
    <row r="18687" spans="2:5">
      <c r="B18687" s="121">
        <v>1558</v>
      </c>
      <c r="C18687" s="121">
        <v>12</v>
      </c>
      <c r="D18687" s="734">
        <v>144.84821655086475</v>
      </c>
      <c r="E18687" s="733"/>
    </row>
    <row r="18688" spans="2:5">
      <c r="B18688" s="121">
        <v>1558</v>
      </c>
      <c r="C18688" s="121">
        <v>13</v>
      </c>
      <c r="D18688" s="734">
        <v>138.68656021876384</v>
      </c>
      <c r="E18688" s="733"/>
    </row>
    <row r="18689" spans="2:5">
      <c r="B18689" s="121">
        <v>1558</v>
      </c>
      <c r="C18689" s="121">
        <v>14</v>
      </c>
      <c r="D18689" s="734">
        <v>136.87441903839843</v>
      </c>
      <c r="E18689" s="733"/>
    </row>
    <row r="18690" spans="2:5">
      <c r="B18690" s="121">
        <v>1558</v>
      </c>
      <c r="C18690" s="121">
        <v>15</v>
      </c>
      <c r="D18690" s="734">
        <v>134.85398608592391</v>
      </c>
      <c r="E18690" s="733"/>
    </row>
    <row r="18691" spans="2:5">
      <c r="B18691" s="121">
        <v>1558</v>
      </c>
      <c r="C18691" s="121">
        <v>16</v>
      </c>
      <c r="D18691" s="734">
        <v>136.00938796220154</v>
      </c>
      <c r="E18691" s="733"/>
    </row>
    <row r="18692" spans="2:5">
      <c r="B18692" s="121">
        <v>1558</v>
      </c>
      <c r="C18692" s="121">
        <v>17</v>
      </c>
      <c r="D18692" s="734">
        <v>137.8627916236679</v>
      </c>
      <c r="E18692" s="733"/>
    </row>
    <row r="18693" spans="2:5">
      <c r="B18693" s="121">
        <v>1558</v>
      </c>
      <c r="C18693" s="121">
        <v>18</v>
      </c>
      <c r="D18693" s="734">
        <v>143.35021533269878</v>
      </c>
      <c r="E18693" s="733"/>
    </row>
    <row r="18694" spans="2:5">
      <c r="B18694" s="121">
        <v>1558</v>
      </c>
      <c r="C18694" s="121">
        <v>19</v>
      </c>
      <c r="D18694" s="734">
        <v>134.9413405532402</v>
      </c>
      <c r="E18694" s="733"/>
    </row>
    <row r="18695" spans="2:5">
      <c r="B18695" s="121">
        <v>1558</v>
      </c>
      <c r="C18695" s="121">
        <v>20</v>
      </c>
      <c r="D18695" s="734">
        <v>140.32562476735876</v>
      </c>
      <c r="E18695" s="733"/>
    </row>
    <row r="18696" spans="2:5">
      <c r="B18696" s="121">
        <v>1558</v>
      </c>
      <c r="C18696" s="121">
        <v>21</v>
      </c>
      <c r="D18696" s="734">
        <v>138.01294299191056</v>
      </c>
      <c r="E18696" s="733"/>
    </row>
    <row r="18697" spans="2:5">
      <c r="B18697" s="121">
        <v>1558</v>
      </c>
      <c r="C18697" s="121">
        <v>22</v>
      </c>
      <c r="D18697" s="734">
        <v>142.78134495388409</v>
      </c>
      <c r="E18697" s="733"/>
    </row>
    <row r="18698" spans="2:5">
      <c r="B18698" s="121">
        <v>1558</v>
      </c>
      <c r="C18698" s="121">
        <v>23</v>
      </c>
      <c r="D18698" s="734">
        <v>139.03514346756504</v>
      </c>
      <c r="E18698" s="733"/>
    </row>
    <row r="18699" spans="2:5">
      <c r="B18699" s="121">
        <v>1558</v>
      </c>
      <c r="C18699" s="121">
        <v>24</v>
      </c>
      <c r="D18699" s="734">
        <v>146.08638564815703</v>
      </c>
      <c r="E18699" s="733"/>
    </row>
    <row r="18700" spans="2:5">
      <c r="B18700" s="121">
        <v>1558</v>
      </c>
      <c r="C18700" s="121">
        <v>25</v>
      </c>
      <c r="D18700" s="734">
        <v>137.79340190714021</v>
      </c>
      <c r="E18700" s="733"/>
    </row>
    <row r="18701" spans="2:5">
      <c r="B18701" s="121">
        <v>1558</v>
      </c>
      <c r="C18701" s="121">
        <v>26</v>
      </c>
      <c r="D18701" s="734">
        <v>143.35731755793063</v>
      </c>
      <c r="E18701" s="733"/>
    </row>
    <row r="18702" spans="2:5">
      <c r="B18702" s="121">
        <v>1559</v>
      </c>
      <c r="C18702" s="121">
        <v>1</v>
      </c>
      <c r="D18702" s="734">
        <v>5</v>
      </c>
      <c r="E18702" s="733"/>
    </row>
    <row r="18703" spans="2:5">
      <c r="B18703" s="121">
        <v>1560</v>
      </c>
      <c r="C18703" s="121">
        <v>1</v>
      </c>
      <c r="D18703" s="734">
        <v>5</v>
      </c>
      <c r="E18703" s="733"/>
    </row>
    <row r="18704" spans="2:5">
      <c r="B18704" s="121">
        <v>1560</v>
      </c>
      <c r="C18704" s="121">
        <v>2</v>
      </c>
      <c r="D18704" s="734">
        <v>97.32865993512425</v>
      </c>
      <c r="E18704" s="733"/>
    </row>
    <row r="18705" spans="2:5">
      <c r="B18705" s="121">
        <v>1561</v>
      </c>
      <c r="C18705" s="121">
        <v>1</v>
      </c>
      <c r="D18705" s="734">
        <v>5</v>
      </c>
      <c r="E18705" s="733"/>
    </row>
    <row r="18706" spans="2:5">
      <c r="B18706" s="121">
        <v>1562</v>
      </c>
      <c r="C18706" s="121">
        <v>1</v>
      </c>
      <c r="D18706" s="734">
        <v>5</v>
      </c>
      <c r="E18706" s="733"/>
    </row>
    <row r="18707" spans="2:5">
      <c r="B18707" s="121">
        <v>1562</v>
      </c>
      <c r="C18707" s="121">
        <v>2</v>
      </c>
      <c r="D18707" s="734">
        <v>99.13658595787625</v>
      </c>
      <c r="E18707" s="733"/>
    </row>
    <row r="18708" spans="2:5">
      <c r="B18708" s="121">
        <v>1562</v>
      </c>
      <c r="C18708" s="121">
        <v>3</v>
      </c>
      <c r="D18708" s="734">
        <v>123.20787605961669</v>
      </c>
      <c r="E18708" s="733"/>
    </row>
    <row r="18709" spans="2:5">
      <c r="B18709" s="121">
        <v>1562</v>
      </c>
      <c r="C18709" s="121">
        <v>4</v>
      </c>
      <c r="D18709" s="734">
        <v>142.43614032906359</v>
      </c>
      <c r="E18709" s="733"/>
    </row>
    <row r="18710" spans="2:5">
      <c r="B18710" s="121">
        <v>1562</v>
      </c>
      <c r="C18710" s="121">
        <v>5</v>
      </c>
      <c r="D18710" s="734">
        <v>141.92943670806</v>
      </c>
      <c r="E18710" s="733"/>
    </row>
    <row r="18711" spans="2:5">
      <c r="B18711" s="121">
        <v>1562</v>
      </c>
      <c r="C18711" s="121">
        <v>6</v>
      </c>
      <c r="D18711" s="734">
        <v>142.64565776785668</v>
      </c>
      <c r="E18711" s="733"/>
    </row>
    <row r="18712" spans="2:5">
      <c r="B18712" s="121">
        <v>1562</v>
      </c>
      <c r="C18712" s="121">
        <v>7</v>
      </c>
      <c r="D18712" s="734">
        <v>135.81043236409224</v>
      </c>
      <c r="E18712" s="733"/>
    </row>
    <row r="18713" spans="2:5">
      <c r="B18713" s="121">
        <v>1562</v>
      </c>
      <c r="C18713" s="121">
        <v>8</v>
      </c>
      <c r="D18713" s="734">
        <v>135.83458056866507</v>
      </c>
      <c r="E18713" s="733"/>
    </row>
    <row r="18714" spans="2:5">
      <c r="B18714" s="121">
        <v>1562</v>
      </c>
      <c r="C18714" s="121">
        <v>9</v>
      </c>
      <c r="D18714" s="734">
        <v>140.69589123329143</v>
      </c>
      <c r="E18714" s="733"/>
    </row>
    <row r="18715" spans="2:5">
      <c r="B18715" s="121">
        <v>1562</v>
      </c>
      <c r="C18715" s="121">
        <v>10</v>
      </c>
      <c r="D18715" s="734">
        <v>145.41395148304258</v>
      </c>
      <c r="E18715" s="733"/>
    </row>
    <row r="18716" spans="2:5">
      <c r="B18716" s="121">
        <v>1562</v>
      </c>
      <c r="C18716" s="121">
        <v>11</v>
      </c>
      <c r="D18716" s="734">
        <v>135.36276517431</v>
      </c>
      <c r="E18716" s="733"/>
    </row>
    <row r="18717" spans="2:5">
      <c r="B18717" s="121">
        <v>1562</v>
      </c>
      <c r="C18717" s="121">
        <v>12</v>
      </c>
      <c r="D18717" s="734">
        <v>139.36540348006557</v>
      </c>
      <c r="E18717" s="733"/>
    </row>
    <row r="18718" spans="2:5">
      <c r="B18718" s="121">
        <v>1563</v>
      </c>
      <c r="C18718" s="121">
        <v>1</v>
      </c>
      <c r="D18718" s="734">
        <v>5</v>
      </c>
      <c r="E18718" s="733"/>
    </row>
    <row r="18719" spans="2:5">
      <c r="B18719" s="121">
        <v>1563</v>
      </c>
      <c r="C18719" s="121">
        <v>2</v>
      </c>
      <c r="D18719" s="734">
        <v>98.538995116995508</v>
      </c>
      <c r="E18719" s="733"/>
    </row>
    <row r="18720" spans="2:5">
      <c r="B18720" s="121">
        <v>1563</v>
      </c>
      <c r="C18720" s="121">
        <v>3</v>
      </c>
      <c r="D18720" s="734">
        <v>120.28371578467534</v>
      </c>
      <c r="E18720" s="733"/>
    </row>
    <row r="18721" spans="2:5">
      <c r="B18721" s="121">
        <v>1563</v>
      </c>
      <c r="C18721" s="121">
        <v>4</v>
      </c>
      <c r="D18721" s="734">
        <v>136.99101398330106</v>
      </c>
      <c r="E18721" s="733"/>
    </row>
    <row r="18722" spans="2:5">
      <c r="B18722" s="121">
        <v>1563</v>
      </c>
      <c r="C18722" s="121">
        <v>5</v>
      </c>
      <c r="D18722" s="734">
        <v>143.45827003248084</v>
      </c>
      <c r="E18722" s="733"/>
    </row>
    <row r="18723" spans="2:5">
      <c r="B18723" s="121">
        <v>1563</v>
      </c>
      <c r="C18723" s="121">
        <v>6</v>
      </c>
      <c r="D18723" s="734">
        <v>137.38403014129659</v>
      </c>
      <c r="E18723" s="733"/>
    </row>
    <row r="18724" spans="2:5">
      <c r="B18724" s="121">
        <v>1563</v>
      </c>
      <c r="C18724" s="121">
        <v>7</v>
      </c>
      <c r="D18724" s="734">
        <v>135.96570921149723</v>
      </c>
      <c r="E18724" s="733"/>
    </row>
    <row r="18725" spans="2:5">
      <c r="B18725" s="121">
        <v>1563</v>
      </c>
      <c r="C18725" s="121">
        <v>8</v>
      </c>
      <c r="D18725" s="734">
        <v>134.86928741928784</v>
      </c>
      <c r="E18725" s="733"/>
    </row>
    <row r="18726" spans="2:5">
      <c r="B18726" s="121">
        <v>1563</v>
      </c>
      <c r="C18726" s="121">
        <v>9</v>
      </c>
      <c r="D18726" s="734">
        <v>135.19487887853143</v>
      </c>
      <c r="E18726" s="733"/>
    </row>
    <row r="18727" spans="2:5">
      <c r="B18727" s="121">
        <v>1563</v>
      </c>
      <c r="C18727" s="121">
        <v>10</v>
      </c>
      <c r="D18727" s="734">
        <v>139.74259851086381</v>
      </c>
      <c r="E18727" s="733"/>
    </row>
    <row r="18728" spans="2:5">
      <c r="B18728" s="121">
        <v>1563</v>
      </c>
      <c r="C18728" s="121">
        <v>11</v>
      </c>
      <c r="D18728" s="734">
        <v>136.59590091384698</v>
      </c>
      <c r="E18728" s="733"/>
    </row>
    <row r="18729" spans="2:5">
      <c r="B18729" s="121">
        <v>1563</v>
      </c>
      <c r="C18729" s="121">
        <v>12</v>
      </c>
      <c r="D18729" s="734">
        <v>145.7160973126274</v>
      </c>
      <c r="E18729" s="733"/>
    </row>
    <row r="18730" spans="2:5">
      <c r="B18730" s="121">
        <v>1563</v>
      </c>
      <c r="C18730" s="121">
        <v>13</v>
      </c>
      <c r="D18730" s="734">
        <v>140.02591025361275</v>
      </c>
      <c r="E18730" s="733"/>
    </row>
    <row r="18731" spans="2:5">
      <c r="B18731" s="121">
        <v>1563</v>
      </c>
      <c r="C18731" s="121">
        <v>14</v>
      </c>
      <c r="D18731" s="734">
        <v>140.62901887958262</v>
      </c>
      <c r="E18731" s="733"/>
    </row>
    <row r="18732" spans="2:5">
      <c r="B18732" s="121">
        <v>1563</v>
      </c>
      <c r="C18732" s="121">
        <v>15</v>
      </c>
      <c r="D18732" s="734">
        <v>142.30508043805153</v>
      </c>
      <c r="E18732" s="733"/>
    </row>
    <row r="18733" spans="2:5">
      <c r="B18733" s="121">
        <v>1563</v>
      </c>
      <c r="C18733" s="121">
        <v>16</v>
      </c>
      <c r="D18733" s="734">
        <v>146.31829865367453</v>
      </c>
      <c r="E18733" s="733"/>
    </row>
    <row r="18734" spans="2:5">
      <c r="B18734" s="121">
        <v>1563</v>
      </c>
      <c r="C18734" s="121">
        <v>17</v>
      </c>
      <c r="D18734" s="734">
        <v>135.8359982681761</v>
      </c>
      <c r="E18734" s="733"/>
    </row>
    <row r="18735" spans="2:5">
      <c r="B18735" s="121">
        <v>1563</v>
      </c>
      <c r="C18735" s="121">
        <v>18</v>
      </c>
      <c r="D18735" s="734">
        <v>147.09960333556774</v>
      </c>
      <c r="E18735" s="733"/>
    </row>
    <row r="18736" spans="2:5">
      <c r="B18736" s="121">
        <v>1564</v>
      </c>
      <c r="C18736" s="121">
        <v>1</v>
      </c>
      <c r="D18736" s="734">
        <v>5</v>
      </c>
      <c r="E18736" s="733"/>
    </row>
    <row r="18737" spans="2:5">
      <c r="B18737" s="121">
        <v>1564</v>
      </c>
      <c r="C18737" s="121">
        <v>2</v>
      </c>
      <c r="D18737" s="734">
        <v>99.9281423979198</v>
      </c>
      <c r="E18737" s="733"/>
    </row>
    <row r="18738" spans="2:5">
      <c r="B18738" s="121">
        <v>1564</v>
      </c>
      <c r="C18738" s="121">
        <v>3</v>
      </c>
      <c r="D18738" s="734">
        <v>121.11283101398182</v>
      </c>
      <c r="E18738" s="733"/>
    </row>
    <row r="18739" spans="2:5">
      <c r="B18739" s="121">
        <v>1564</v>
      </c>
      <c r="C18739" s="121">
        <v>4</v>
      </c>
      <c r="D18739" s="734">
        <v>137.43237733452881</v>
      </c>
      <c r="E18739" s="733"/>
    </row>
    <row r="18740" spans="2:5">
      <c r="B18740" s="121">
        <v>1564</v>
      </c>
      <c r="C18740" s="121">
        <v>5</v>
      </c>
      <c r="D18740" s="734">
        <v>136.72553449647864</v>
      </c>
      <c r="E18740" s="733"/>
    </row>
    <row r="18741" spans="2:5">
      <c r="B18741" s="121">
        <v>1564</v>
      </c>
      <c r="C18741" s="121">
        <v>6</v>
      </c>
      <c r="D18741" s="734">
        <v>136.30574059798718</v>
      </c>
      <c r="E18741" s="733"/>
    </row>
    <row r="18742" spans="2:5">
      <c r="B18742" s="121">
        <v>1564</v>
      </c>
      <c r="C18742" s="121">
        <v>7</v>
      </c>
      <c r="D18742" s="734">
        <v>143.68316614514404</v>
      </c>
      <c r="E18742" s="733"/>
    </row>
    <row r="18743" spans="2:5">
      <c r="B18743" s="121">
        <v>1564</v>
      </c>
      <c r="C18743" s="121">
        <v>8</v>
      </c>
      <c r="D18743" s="734">
        <v>140.62634995744818</v>
      </c>
      <c r="E18743" s="733"/>
    </row>
    <row r="18744" spans="2:5">
      <c r="B18744" s="121">
        <v>1564</v>
      </c>
      <c r="C18744" s="121">
        <v>9</v>
      </c>
      <c r="D18744" s="734">
        <v>137.72337242776905</v>
      </c>
      <c r="E18744" s="733"/>
    </row>
    <row r="18745" spans="2:5">
      <c r="B18745" s="121">
        <v>1564</v>
      </c>
      <c r="C18745" s="121">
        <v>10</v>
      </c>
      <c r="D18745" s="734">
        <v>142.3707033422773</v>
      </c>
      <c r="E18745" s="733"/>
    </row>
    <row r="18746" spans="2:5">
      <c r="B18746" s="121">
        <v>1564</v>
      </c>
      <c r="C18746" s="121">
        <v>11</v>
      </c>
      <c r="D18746" s="734">
        <v>141.7674950863979</v>
      </c>
      <c r="E18746" s="733"/>
    </row>
    <row r="18747" spans="2:5">
      <c r="B18747" s="121">
        <v>1564</v>
      </c>
      <c r="C18747" s="121">
        <v>12</v>
      </c>
      <c r="D18747" s="734">
        <v>141.36460810335652</v>
      </c>
      <c r="E18747" s="733"/>
    </row>
    <row r="18748" spans="2:5">
      <c r="B18748" s="121">
        <v>1564</v>
      </c>
      <c r="C18748" s="121">
        <v>13</v>
      </c>
      <c r="D18748" s="734">
        <v>139.57527704243535</v>
      </c>
      <c r="E18748" s="733"/>
    </row>
    <row r="18749" spans="2:5">
      <c r="B18749" s="121">
        <v>1564</v>
      </c>
      <c r="C18749" s="121">
        <v>14</v>
      </c>
      <c r="D18749" s="734">
        <v>134.94771756275921</v>
      </c>
      <c r="E18749" s="733"/>
    </row>
    <row r="18750" spans="2:5">
      <c r="B18750" s="121">
        <v>1564</v>
      </c>
      <c r="C18750" s="121">
        <v>15</v>
      </c>
      <c r="D18750" s="734">
        <v>139.0344770733418</v>
      </c>
      <c r="E18750" s="733"/>
    </row>
    <row r="18751" spans="2:5">
      <c r="B18751" s="121">
        <v>1564</v>
      </c>
      <c r="C18751" s="121">
        <v>16</v>
      </c>
      <c r="D18751" s="734">
        <v>137.67440914386057</v>
      </c>
      <c r="E18751" s="733"/>
    </row>
    <row r="18752" spans="2:5">
      <c r="B18752" s="121">
        <v>1564</v>
      </c>
      <c r="C18752" s="121">
        <v>17</v>
      </c>
      <c r="D18752" s="734">
        <v>134.69969089073325</v>
      </c>
      <c r="E18752" s="733"/>
    </row>
    <row r="18753" spans="2:5">
      <c r="B18753" s="121">
        <v>1564</v>
      </c>
      <c r="C18753" s="121">
        <v>18</v>
      </c>
      <c r="D18753" s="734">
        <v>142.54481342989129</v>
      </c>
      <c r="E18753" s="733"/>
    </row>
    <row r="18754" spans="2:5">
      <c r="B18754" s="121">
        <v>1564</v>
      </c>
      <c r="C18754" s="121">
        <v>19</v>
      </c>
      <c r="D18754" s="734">
        <v>142.47196531246095</v>
      </c>
      <c r="E18754" s="733"/>
    </row>
    <row r="18755" spans="2:5">
      <c r="B18755" s="121">
        <v>1564</v>
      </c>
      <c r="C18755" s="121">
        <v>20</v>
      </c>
      <c r="D18755" s="734">
        <v>134.22516866357753</v>
      </c>
      <c r="E18755" s="733"/>
    </row>
    <row r="18756" spans="2:5">
      <c r="B18756" s="121">
        <v>1564</v>
      </c>
      <c r="C18756" s="121">
        <v>21</v>
      </c>
      <c r="D18756" s="734">
        <v>142.9036846021329</v>
      </c>
      <c r="E18756" s="733"/>
    </row>
    <row r="18757" spans="2:5">
      <c r="B18757" s="121">
        <v>1564</v>
      </c>
      <c r="C18757" s="121">
        <v>22</v>
      </c>
      <c r="D18757" s="734">
        <v>138.20723051460729</v>
      </c>
      <c r="E18757" s="733"/>
    </row>
    <row r="18758" spans="2:5">
      <c r="B18758" s="121">
        <v>1564</v>
      </c>
      <c r="C18758" s="121">
        <v>23</v>
      </c>
      <c r="D18758" s="734">
        <v>136.54197723858496</v>
      </c>
      <c r="E18758" s="733"/>
    </row>
    <row r="18759" spans="2:5">
      <c r="B18759" s="121">
        <v>1565</v>
      </c>
      <c r="C18759" s="121">
        <v>1</v>
      </c>
      <c r="D18759" s="734">
        <v>5</v>
      </c>
      <c r="E18759" s="733"/>
    </row>
    <row r="18760" spans="2:5">
      <c r="B18760" s="121">
        <v>1565</v>
      </c>
      <c r="C18760" s="121">
        <v>2</v>
      </c>
      <c r="D18760" s="734">
        <v>100.03656041846914</v>
      </c>
      <c r="E18760" s="733"/>
    </row>
    <row r="18761" spans="2:5">
      <c r="B18761" s="121">
        <v>1565</v>
      </c>
      <c r="C18761" s="121">
        <v>3</v>
      </c>
      <c r="D18761" s="734">
        <v>122.04646527817037</v>
      </c>
      <c r="E18761" s="733"/>
    </row>
    <row r="18762" spans="2:5">
      <c r="B18762" s="121">
        <v>1565</v>
      </c>
      <c r="C18762" s="121">
        <v>4</v>
      </c>
      <c r="D18762" s="734">
        <v>144.8792006457212</v>
      </c>
      <c r="E18762" s="733"/>
    </row>
    <row r="18763" spans="2:5">
      <c r="B18763" s="121">
        <v>1565</v>
      </c>
      <c r="C18763" s="121">
        <v>5</v>
      </c>
      <c r="D18763" s="734">
        <v>146.69935777142501</v>
      </c>
      <c r="E18763" s="733"/>
    </row>
    <row r="18764" spans="2:5">
      <c r="B18764" s="121">
        <v>1565</v>
      </c>
      <c r="C18764" s="121">
        <v>6</v>
      </c>
      <c r="D18764" s="734">
        <v>146.77923551612116</v>
      </c>
      <c r="E18764" s="733"/>
    </row>
    <row r="18765" spans="2:5">
      <c r="B18765" s="121">
        <v>1565</v>
      </c>
      <c r="C18765" s="121">
        <v>7</v>
      </c>
      <c r="D18765" s="734">
        <v>140.79969623574942</v>
      </c>
      <c r="E18765" s="733"/>
    </row>
    <row r="18766" spans="2:5">
      <c r="B18766" s="121">
        <v>1565</v>
      </c>
      <c r="C18766" s="121">
        <v>8</v>
      </c>
      <c r="D18766" s="734">
        <v>145.72342574713855</v>
      </c>
      <c r="E18766" s="733"/>
    </row>
    <row r="18767" spans="2:5">
      <c r="B18767" s="121">
        <v>1565</v>
      </c>
      <c r="C18767" s="121">
        <v>9</v>
      </c>
      <c r="D18767" s="734">
        <v>141.50827409004495</v>
      </c>
      <c r="E18767" s="733"/>
    </row>
    <row r="18768" spans="2:5">
      <c r="B18768" s="121">
        <v>1565</v>
      </c>
      <c r="C18768" s="121">
        <v>10</v>
      </c>
      <c r="D18768" s="734">
        <v>140.76441908734859</v>
      </c>
      <c r="E18768" s="733"/>
    </row>
    <row r="18769" spans="2:5">
      <c r="B18769" s="121">
        <v>1565</v>
      </c>
      <c r="C18769" s="121">
        <v>11</v>
      </c>
      <c r="D18769" s="734">
        <v>142.93808578753757</v>
      </c>
      <c r="E18769" s="733"/>
    </row>
    <row r="18770" spans="2:5">
      <c r="B18770" s="121">
        <v>1565</v>
      </c>
      <c r="C18770" s="121">
        <v>12</v>
      </c>
      <c r="D18770" s="734">
        <v>140.83830673375527</v>
      </c>
      <c r="E18770" s="733"/>
    </row>
    <row r="18771" spans="2:5">
      <c r="B18771" s="121">
        <v>1565</v>
      </c>
      <c r="C18771" s="121">
        <v>13</v>
      </c>
      <c r="D18771" s="734">
        <v>141.54890563417428</v>
      </c>
      <c r="E18771" s="733"/>
    </row>
    <row r="18772" spans="2:5">
      <c r="B18772" s="121">
        <v>1566</v>
      </c>
      <c r="C18772" s="121">
        <v>1</v>
      </c>
      <c r="D18772" s="734">
        <v>5</v>
      </c>
      <c r="E18772" s="733"/>
    </row>
    <row r="18773" spans="2:5">
      <c r="B18773" s="121">
        <v>1566</v>
      </c>
      <c r="C18773" s="121">
        <v>2</v>
      </c>
      <c r="D18773" s="734">
        <v>95.940182750400112</v>
      </c>
      <c r="E18773" s="733"/>
    </row>
    <row r="18774" spans="2:5">
      <c r="B18774" s="121">
        <v>1566</v>
      </c>
      <c r="C18774" s="121">
        <v>3</v>
      </c>
      <c r="D18774" s="734">
        <v>124.72167191357912</v>
      </c>
      <c r="E18774" s="733"/>
    </row>
    <row r="18775" spans="2:5">
      <c r="B18775" s="121">
        <v>1566</v>
      </c>
      <c r="C18775" s="121">
        <v>4</v>
      </c>
      <c r="D18775" s="734">
        <v>140.82932587625447</v>
      </c>
      <c r="E18775" s="733"/>
    </row>
    <row r="18776" spans="2:5">
      <c r="B18776" s="121">
        <v>1566</v>
      </c>
      <c r="C18776" s="121">
        <v>5</v>
      </c>
      <c r="D18776" s="734">
        <v>145.32089621049892</v>
      </c>
      <c r="E18776" s="733"/>
    </row>
    <row r="18777" spans="2:5">
      <c r="B18777" s="121">
        <v>1566</v>
      </c>
      <c r="C18777" s="121">
        <v>6</v>
      </c>
      <c r="D18777" s="734">
        <v>146.51725633064834</v>
      </c>
      <c r="E18777" s="733"/>
    </row>
    <row r="18778" spans="2:5">
      <c r="B18778" s="121">
        <v>1566</v>
      </c>
      <c r="C18778" s="121">
        <v>7</v>
      </c>
      <c r="D18778" s="734">
        <v>142.40688947033169</v>
      </c>
      <c r="E18778" s="733"/>
    </row>
    <row r="18779" spans="2:5">
      <c r="B18779" s="121">
        <v>1566</v>
      </c>
      <c r="C18779" s="121">
        <v>8</v>
      </c>
      <c r="D18779" s="734">
        <v>139.79492369090329</v>
      </c>
      <c r="E18779" s="733"/>
    </row>
    <row r="18780" spans="2:5">
      <c r="B18780" s="121">
        <v>1566</v>
      </c>
      <c r="C18780" s="121">
        <v>9</v>
      </c>
      <c r="D18780" s="734">
        <v>140.72419517450425</v>
      </c>
      <c r="E18780" s="733"/>
    </row>
    <row r="18781" spans="2:5">
      <c r="B18781" s="121">
        <v>1566</v>
      </c>
      <c r="C18781" s="121">
        <v>10</v>
      </c>
      <c r="D18781" s="734">
        <v>147.06597607805281</v>
      </c>
      <c r="E18781" s="733"/>
    </row>
    <row r="18782" spans="2:5">
      <c r="B18782" s="121">
        <v>1566</v>
      </c>
      <c r="C18782" s="121">
        <v>11</v>
      </c>
      <c r="D18782" s="734">
        <v>134.69981896768684</v>
      </c>
      <c r="E18782" s="733"/>
    </row>
    <row r="18783" spans="2:5">
      <c r="B18783" s="121">
        <v>1566</v>
      </c>
      <c r="C18783" s="121">
        <v>12</v>
      </c>
      <c r="D18783" s="734">
        <v>142.57458706053478</v>
      </c>
      <c r="E18783" s="733"/>
    </row>
    <row r="18784" spans="2:5">
      <c r="B18784" s="121">
        <v>1566</v>
      </c>
      <c r="C18784" s="121">
        <v>13</v>
      </c>
      <c r="D18784" s="734">
        <v>144.70783557878173</v>
      </c>
      <c r="E18784" s="733"/>
    </row>
    <row r="18785" spans="2:5">
      <c r="B18785" s="121">
        <v>1566</v>
      </c>
      <c r="C18785" s="121">
        <v>14</v>
      </c>
      <c r="D18785" s="734">
        <v>134.66599272373685</v>
      </c>
      <c r="E18785" s="733"/>
    </row>
    <row r="18786" spans="2:5">
      <c r="B18786" s="121">
        <v>1566</v>
      </c>
      <c r="C18786" s="121">
        <v>15</v>
      </c>
      <c r="D18786" s="734">
        <v>146.52442007657822</v>
      </c>
      <c r="E18786" s="733"/>
    </row>
    <row r="18787" spans="2:5">
      <c r="B18787" s="121">
        <v>1566</v>
      </c>
      <c r="C18787" s="121">
        <v>16</v>
      </c>
      <c r="D18787" s="734">
        <v>142.05777185200921</v>
      </c>
      <c r="E18787" s="733"/>
    </row>
    <row r="18788" spans="2:5">
      <c r="B18788" s="121">
        <v>1566</v>
      </c>
      <c r="C18788" s="121">
        <v>17</v>
      </c>
      <c r="D18788" s="734">
        <v>136.75142330188388</v>
      </c>
      <c r="E18788" s="733"/>
    </row>
    <row r="18789" spans="2:5">
      <c r="B18789" s="121">
        <v>1566</v>
      </c>
      <c r="C18789" s="121">
        <v>18</v>
      </c>
      <c r="D18789" s="734">
        <v>138.3681367560319</v>
      </c>
      <c r="E18789" s="733"/>
    </row>
    <row r="18790" spans="2:5">
      <c r="B18790" s="121">
        <v>1566</v>
      </c>
      <c r="C18790" s="121">
        <v>19</v>
      </c>
      <c r="D18790" s="734">
        <v>139.63790981842851</v>
      </c>
      <c r="E18790" s="733"/>
    </row>
    <row r="18791" spans="2:5">
      <c r="B18791" s="121">
        <v>1566</v>
      </c>
      <c r="C18791" s="121">
        <v>20</v>
      </c>
      <c r="D18791" s="734">
        <v>136.68154437044512</v>
      </c>
      <c r="E18791" s="733"/>
    </row>
    <row r="18792" spans="2:5">
      <c r="B18792" s="121">
        <v>1566</v>
      </c>
      <c r="C18792" s="121">
        <v>21</v>
      </c>
      <c r="D18792" s="734">
        <v>145.3223097758918</v>
      </c>
      <c r="E18792" s="733"/>
    </row>
    <row r="18793" spans="2:5">
      <c r="B18793" s="121">
        <v>1567</v>
      </c>
      <c r="C18793" s="121">
        <v>1</v>
      </c>
      <c r="D18793" s="734">
        <v>5</v>
      </c>
      <c r="E18793" s="733"/>
    </row>
    <row r="18794" spans="2:5">
      <c r="B18794" s="121">
        <v>1568</v>
      </c>
      <c r="C18794" s="121">
        <v>1</v>
      </c>
      <c r="D18794" s="734">
        <v>5</v>
      </c>
      <c r="E18794" s="733"/>
    </row>
    <row r="18795" spans="2:5">
      <c r="B18795" s="121">
        <v>1568</v>
      </c>
      <c r="C18795" s="121">
        <v>2</v>
      </c>
      <c r="D18795" s="734">
        <v>96.192441645233274</v>
      </c>
      <c r="E18795" s="733"/>
    </row>
    <row r="18796" spans="2:5">
      <c r="B18796" s="121">
        <v>1568</v>
      </c>
      <c r="C18796" s="121">
        <v>3</v>
      </c>
      <c r="D18796" s="734">
        <v>115.44129506441081</v>
      </c>
      <c r="E18796" s="733"/>
    </row>
    <row r="18797" spans="2:5">
      <c r="B18797" s="121">
        <v>1568</v>
      </c>
      <c r="C18797" s="121">
        <v>4</v>
      </c>
      <c r="D18797" s="734">
        <v>145.07078152634014</v>
      </c>
      <c r="E18797" s="733"/>
    </row>
    <row r="18798" spans="2:5">
      <c r="B18798" s="121">
        <v>1568</v>
      </c>
      <c r="C18798" s="121">
        <v>5</v>
      </c>
      <c r="D18798" s="734">
        <v>141.40298309024277</v>
      </c>
      <c r="E18798" s="733"/>
    </row>
    <row r="18799" spans="2:5">
      <c r="B18799" s="121">
        <v>1568</v>
      </c>
      <c r="C18799" s="121">
        <v>6</v>
      </c>
      <c r="D18799" s="734">
        <v>142.57945210014319</v>
      </c>
      <c r="E18799" s="733"/>
    </row>
    <row r="18800" spans="2:5">
      <c r="B18800" s="121">
        <v>1568</v>
      </c>
      <c r="C18800" s="121">
        <v>7</v>
      </c>
      <c r="D18800" s="734">
        <v>137.34138132859769</v>
      </c>
      <c r="E18800" s="733"/>
    </row>
    <row r="18801" spans="2:5">
      <c r="B18801" s="121">
        <v>1568</v>
      </c>
      <c r="C18801" s="121">
        <v>8</v>
      </c>
      <c r="D18801" s="734">
        <v>144.21306157037213</v>
      </c>
      <c r="E18801" s="733"/>
    </row>
    <row r="18802" spans="2:5">
      <c r="B18802" s="121">
        <v>1568</v>
      </c>
      <c r="C18802" s="121">
        <v>9</v>
      </c>
      <c r="D18802" s="734">
        <v>140.38855468111268</v>
      </c>
      <c r="E18802" s="733"/>
    </row>
    <row r="18803" spans="2:5">
      <c r="B18803" s="121">
        <v>1568</v>
      </c>
      <c r="C18803" s="121">
        <v>10</v>
      </c>
      <c r="D18803" s="734">
        <v>141.54985937840397</v>
      </c>
      <c r="E18803" s="733"/>
    </row>
    <row r="18804" spans="2:5">
      <c r="B18804" s="121">
        <v>1568</v>
      </c>
      <c r="C18804" s="121">
        <v>11</v>
      </c>
      <c r="D18804" s="734">
        <v>137.92448648487235</v>
      </c>
      <c r="E18804" s="733"/>
    </row>
    <row r="18805" spans="2:5">
      <c r="B18805" s="121">
        <v>1568</v>
      </c>
      <c r="C18805" s="121">
        <v>12</v>
      </c>
      <c r="D18805" s="734">
        <v>141.81729495060438</v>
      </c>
      <c r="E18805" s="733"/>
    </row>
    <row r="18806" spans="2:5">
      <c r="B18806" s="121">
        <v>1568</v>
      </c>
      <c r="C18806" s="121">
        <v>13</v>
      </c>
      <c r="D18806" s="734">
        <v>134.5209847093555</v>
      </c>
      <c r="E18806" s="733"/>
    </row>
    <row r="18807" spans="2:5">
      <c r="B18807" s="121">
        <v>1568</v>
      </c>
      <c r="C18807" s="121">
        <v>14</v>
      </c>
      <c r="D18807" s="734">
        <v>138.43616830946954</v>
      </c>
      <c r="E18807" s="733"/>
    </row>
    <row r="18808" spans="2:5">
      <c r="B18808" s="121">
        <v>1568</v>
      </c>
      <c r="C18808" s="121">
        <v>15</v>
      </c>
      <c r="D18808" s="734">
        <v>145.78121806139029</v>
      </c>
      <c r="E18808" s="733"/>
    </row>
    <row r="18809" spans="2:5">
      <c r="B18809" s="121">
        <v>1568</v>
      </c>
      <c r="C18809" s="121">
        <v>16</v>
      </c>
      <c r="D18809" s="734">
        <v>146.24335072542547</v>
      </c>
      <c r="E18809" s="733"/>
    </row>
    <row r="18810" spans="2:5">
      <c r="B18810" s="121">
        <v>1568</v>
      </c>
      <c r="C18810" s="121">
        <v>17</v>
      </c>
      <c r="D18810" s="734">
        <v>146.82625481424387</v>
      </c>
      <c r="E18810" s="733"/>
    </row>
    <row r="18811" spans="2:5">
      <c r="B18811" s="121">
        <v>1568</v>
      </c>
      <c r="C18811" s="121">
        <v>18</v>
      </c>
      <c r="D18811" s="734">
        <v>142.24095236710309</v>
      </c>
      <c r="E18811" s="733"/>
    </row>
    <row r="18812" spans="2:5">
      <c r="B18812" s="121">
        <v>1568</v>
      </c>
      <c r="C18812" s="121">
        <v>19</v>
      </c>
      <c r="D18812" s="734">
        <v>140.6684100446187</v>
      </c>
      <c r="E18812" s="733"/>
    </row>
    <row r="18813" spans="2:5">
      <c r="B18813" s="121">
        <v>1568</v>
      </c>
      <c r="C18813" s="121">
        <v>20</v>
      </c>
      <c r="D18813" s="734">
        <v>145.82109241388898</v>
      </c>
      <c r="E18813" s="733"/>
    </row>
    <row r="18814" spans="2:5">
      <c r="B18814" s="121">
        <v>1568</v>
      </c>
      <c r="C18814" s="121">
        <v>21</v>
      </c>
      <c r="D18814" s="734">
        <v>143.45270937635311</v>
      </c>
      <c r="E18814" s="733"/>
    </row>
    <row r="18815" spans="2:5">
      <c r="B18815" s="121">
        <v>1568</v>
      </c>
      <c r="C18815" s="121">
        <v>22</v>
      </c>
      <c r="D18815" s="734">
        <v>144.82573261741936</v>
      </c>
      <c r="E18815" s="733"/>
    </row>
    <row r="18816" spans="2:5">
      <c r="B18816" s="121">
        <v>1568</v>
      </c>
      <c r="C18816" s="121">
        <v>23</v>
      </c>
      <c r="D18816" s="734">
        <v>134.82942337932744</v>
      </c>
      <c r="E18816" s="733"/>
    </row>
    <row r="18817" spans="2:5">
      <c r="B18817" s="121">
        <v>1568</v>
      </c>
      <c r="C18817" s="121">
        <v>24</v>
      </c>
      <c r="D18817" s="734">
        <v>134.97619150809282</v>
      </c>
      <c r="E18817" s="733"/>
    </row>
    <row r="18818" spans="2:5">
      <c r="B18818" s="121">
        <v>1568</v>
      </c>
      <c r="C18818" s="121">
        <v>25</v>
      </c>
      <c r="D18818" s="734">
        <v>137.90484400147176</v>
      </c>
      <c r="E18818" s="733"/>
    </row>
    <row r="18819" spans="2:5">
      <c r="B18819" s="121">
        <v>1568</v>
      </c>
      <c r="C18819" s="121">
        <v>26</v>
      </c>
      <c r="D18819" s="734">
        <v>141.384997814863</v>
      </c>
      <c r="E18819" s="733"/>
    </row>
    <row r="18820" spans="2:5">
      <c r="B18820" s="121">
        <v>1568</v>
      </c>
      <c r="C18820" s="121">
        <v>27</v>
      </c>
      <c r="D18820" s="734">
        <v>144.9345718847201</v>
      </c>
      <c r="E18820" s="733"/>
    </row>
    <row r="18821" spans="2:5">
      <c r="B18821" s="121">
        <v>1568</v>
      </c>
      <c r="C18821" s="121">
        <v>28</v>
      </c>
      <c r="D18821" s="734">
        <v>144.91546428334857</v>
      </c>
      <c r="E18821" s="733"/>
    </row>
    <row r="18822" spans="2:5">
      <c r="B18822" s="121">
        <v>1568</v>
      </c>
      <c r="C18822" s="121">
        <v>29</v>
      </c>
      <c r="D18822" s="734">
        <v>134.49119653862004</v>
      </c>
      <c r="E18822" s="733"/>
    </row>
    <row r="18823" spans="2:5">
      <c r="B18823" s="121">
        <v>1568</v>
      </c>
      <c r="C18823" s="121">
        <v>30</v>
      </c>
      <c r="D18823" s="734">
        <v>134.19184793481142</v>
      </c>
      <c r="E18823" s="733"/>
    </row>
    <row r="18824" spans="2:5">
      <c r="B18824" s="121">
        <v>1568</v>
      </c>
      <c r="C18824" s="121">
        <v>31</v>
      </c>
      <c r="D18824" s="734">
        <v>142.78744025014836</v>
      </c>
      <c r="E18824" s="733"/>
    </row>
    <row r="18825" spans="2:5">
      <c r="B18825" s="121">
        <v>1568</v>
      </c>
      <c r="C18825" s="121">
        <v>32</v>
      </c>
      <c r="D18825" s="734">
        <v>137.31527860449495</v>
      </c>
      <c r="E18825" s="733"/>
    </row>
    <row r="18826" spans="2:5">
      <c r="B18826" s="121">
        <v>1568</v>
      </c>
      <c r="C18826" s="121">
        <v>33</v>
      </c>
      <c r="D18826" s="734">
        <v>143.54872893767862</v>
      </c>
      <c r="E18826" s="733"/>
    </row>
    <row r="18827" spans="2:5">
      <c r="B18827" s="121">
        <v>1568</v>
      </c>
      <c r="C18827" s="121">
        <v>34</v>
      </c>
      <c r="D18827" s="734">
        <v>139.76678638803574</v>
      </c>
      <c r="E18827" s="733"/>
    </row>
    <row r="18828" spans="2:5">
      <c r="B18828" s="121">
        <v>1568</v>
      </c>
      <c r="C18828" s="121">
        <v>35</v>
      </c>
      <c r="D18828" s="734">
        <v>146.84977944845801</v>
      </c>
      <c r="E18828" s="733"/>
    </row>
    <row r="18829" spans="2:5">
      <c r="B18829" s="121">
        <v>1568</v>
      </c>
      <c r="C18829" s="121">
        <v>36</v>
      </c>
      <c r="D18829" s="734">
        <v>134.22192480131167</v>
      </c>
      <c r="E18829" s="733"/>
    </row>
    <row r="18830" spans="2:5">
      <c r="B18830" s="121">
        <v>1569</v>
      </c>
      <c r="C18830" s="121">
        <v>1</v>
      </c>
      <c r="D18830" s="734">
        <v>5</v>
      </c>
      <c r="E18830" s="733"/>
    </row>
    <row r="18831" spans="2:5">
      <c r="B18831" s="121">
        <v>1569</v>
      </c>
      <c r="C18831" s="121">
        <v>2</v>
      </c>
      <c r="D18831" s="734">
        <v>96.977027947584787</v>
      </c>
      <c r="E18831" s="733"/>
    </row>
    <row r="18832" spans="2:5">
      <c r="B18832" s="121">
        <v>1570</v>
      </c>
      <c r="C18832" s="121">
        <v>1</v>
      </c>
      <c r="D18832" s="734">
        <v>5</v>
      </c>
      <c r="E18832" s="733"/>
    </row>
    <row r="18833" spans="2:5">
      <c r="B18833" s="121">
        <v>1570</v>
      </c>
      <c r="C18833" s="121">
        <v>2</v>
      </c>
      <c r="D18833" s="734">
        <v>94.816135603086167</v>
      </c>
      <c r="E18833" s="733"/>
    </row>
    <row r="18834" spans="2:5">
      <c r="B18834" s="121">
        <v>1570</v>
      </c>
      <c r="C18834" s="121">
        <v>3</v>
      </c>
      <c r="D18834" s="734">
        <v>123.62029002716925</v>
      </c>
      <c r="E18834" s="733"/>
    </row>
    <row r="18835" spans="2:5">
      <c r="B18835" s="121">
        <v>1570</v>
      </c>
      <c r="C18835" s="121">
        <v>4</v>
      </c>
      <c r="D18835" s="734">
        <v>143.92170949054557</v>
      </c>
      <c r="E18835" s="733"/>
    </row>
    <row r="18836" spans="2:5">
      <c r="B18836" s="121">
        <v>1570</v>
      </c>
      <c r="C18836" s="121">
        <v>5</v>
      </c>
      <c r="D18836" s="734">
        <v>147.11433470645412</v>
      </c>
      <c r="E18836" s="733"/>
    </row>
    <row r="18837" spans="2:5">
      <c r="B18837" s="121">
        <v>1570</v>
      </c>
      <c r="C18837" s="121">
        <v>6</v>
      </c>
      <c r="D18837" s="734">
        <v>145.36266204348343</v>
      </c>
      <c r="E18837" s="733"/>
    </row>
    <row r="18838" spans="2:5">
      <c r="B18838" s="121">
        <v>1570</v>
      </c>
      <c r="C18838" s="121">
        <v>7</v>
      </c>
      <c r="D18838" s="734">
        <v>137.95891451109421</v>
      </c>
      <c r="E18838" s="733"/>
    </row>
    <row r="18839" spans="2:5">
      <c r="B18839" s="121">
        <v>1570</v>
      </c>
      <c r="C18839" s="121">
        <v>8</v>
      </c>
      <c r="D18839" s="734">
        <v>141.26859826408725</v>
      </c>
      <c r="E18839" s="733"/>
    </row>
    <row r="18840" spans="2:5">
      <c r="B18840" s="121">
        <v>1570</v>
      </c>
      <c r="C18840" s="121">
        <v>9</v>
      </c>
      <c r="D18840" s="734">
        <v>136.35097772070327</v>
      </c>
      <c r="E18840" s="733"/>
    </row>
    <row r="18841" spans="2:5">
      <c r="B18841" s="121">
        <v>1570</v>
      </c>
      <c r="C18841" s="121">
        <v>10</v>
      </c>
      <c r="D18841" s="734">
        <v>139.78481356377071</v>
      </c>
      <c r="E18841" s="733"/>
    </row>
    <row r="18842" spans="2:5">
      <c r="B18842" s="121">
        <v>1570</v>
      </c>
      <c r="C18842" s="121">
        <v>11</v>
      </c>
      <c r="D18842" s="734">
        <v>139.61062367119484</v>
      </c>
      <c r="E18842" s="733"/>
    </row>
    <row r="18843" spans="2:5">
      <c r="B18843" s="121">
        <v>1570</v>
      </c>
      <c r="C18843" s="121">
        <v>12</v>
      </c>
      <c r="D18843" s="734">
        <v>138.3421692723258</v>
      </c>
      <c r="E18843" s="733"/>
    </row>
    <row r="18844" spans="2:5">
      <c r="B18844" s="121">
        <v>1570</v>
      </c>
      <c r="C18844" s="121">
        <v>13</v>
      </c>
      <c r="D18844" s="734">
        <v>136.06453834480766</v>
      </c>
      <c r="E18844" s="733"/>
    </row>
    <row r="18845" spans="2:5">
      <c r="B18845" s="121">
        <v>1570</v>
      </c>
      <c r="C18845" s="121">
        <v>14</v>
      </c>
      <c r="D18845" s="734">
        <v>134.36702920842785</v>
      </c>
      <c r="E18845" s="733"/>
    </row>
    <row r="18846" spans="2:5">
      <c r="B18846" s="121">
        <v>1570</v>
      </c>
      <c r="C18846" s="121">
        <v>15</v>
      </c>
      <c r="D18846" s="734">
        <v>144.73113272651958</v>
      </c>
      <c r="E18846" s="733"/>
    </row>
    <row r="18847" spans="2:5">
      <c r="B18847" s="121">
        <v>1570</v>
      </c>
      <c r="C18847" s="121">
        <v>16</v>
      </c>
      <c r="D18847" s="734">
        <v>146.56344848426161</v>
      </c>
      <c r="E18847" s="733"/>
    </row>
    <row r="18848" spans="2:5">
      <c r="B18848" s="121">
        <v>1570</v>
      </c>
      <c r="C18848" s="121">
        <v>17</v>
      </c>
      <c r="D18848" s="734">
        <v>139.62471883829014</v>
      </c>
      <c r="E18848" s="733"/>
    </row>
    <row r="18849" spans="2:5">
      <c r="B18849" s="121">
        <v>1570</v>
      </c>
      <c r="C18849" s="121">
        <v>18</v>
      </c>
      <c r="D18849" s="734">
        <v>135.63514278887428</v>
      </c>
      <c r="E18849" s="733"/>
    </row>
    <row r="18850" spans="2:5">
      <c r="B18850" s="121">
        <v>1570</v>
      </c>
      <c r="C18850" s="121">
        <v>19</v>
      </c>
      <c r="D18850" s="734">
        <v>135.03666566654542</v>
      </c>
      <c r="E18850" s="733"/>
    </row>
    <row r="18851" spans="2:5">
      <c r="B18851" s="121">
        <v>1570</v>
      </c>
      <c r="C18851" s="121">
        <v>20</v>
      </c>
      <c r="D18851" s="734">
        <v>140.43630098191289</v>
      </c>
      <c r="E18851" s="733"/>
    </row>
    <row r="18852" spans="2:5">
      <c r="B18852" s="121">
        <v>1571</v>
      </c>
      <c r="C18852" s="121">
        <v>1</v>
      </c>
      <c r="D18852" s="734">
        <v>5</v>
      </c>
      <c r="E18852" s="733"/>
    </row>
    <row r="18853" spans="2:5">
      <c r="B18853" s="121">
        <v>1572</v>
      </c>
      <c r="C18853" s="121">
        <v>1</v>
      </c>
      <c r="D18853" s="734">
        <v>5</v>
      </c>
      <c r="E18853" s="733"/>
    </row>
    <row r="18854" spans="2:5">
      <c r="B18854" s="121">
        <v>1572</v>
      </c>
      <c r="C18854" s="121">
        <v>2</v>
      </c>
      <c r="D18854" s="734">
        <v>101.5735930420084</v>
      </c>
      <c r="E18854" s="733"/>
    </row>
    <row r="18855" spans="2:5">
      <c r="B18855" s="121">
        <v>1572</v>
      </c>
      <c r="C18855" s="121">
        <v>3</v>
      </c>
      <c r="D18855" s="734">
        <v>125.27099876593945</v>
      </c>
      <c r="E18855" s="733"/>
    </row>
    <row r="18856" spans="2:5">
      <c r="B18856" s="121">
        <v>1572</v>
      </c>
      <c r="C18856" s="121">
        <v>4</v>
      </c>
      <c r="D18856" s="734">
        <v>142.24364397702365</v>
      </c>
      <c r="E18856" s="733"/>
    </row>
    <row r="18857" spans="2:5">
      <c r="B18857" s="121">
        <v>1572</v>
      </c>
      <c r="C18857" s="121">
        <v>5</v>
      </c>
      <c r="D18857" s="734">
        <v>140.77422785038607</v>
      </c>
      <c r="E18857" s="733"/>
    </row>
    <row r="18858" spans="2:5">
      <c r="B18858" s="121">
        <v>1572</v>
      </c>
      <c r="C18858" s="121">
        <v>6</v>
      </c>
      <c r="D18858" s="734">
        <v>137.64333420091336</v>
      </c>
      <c r="E18858" s="733"/>
    </row>
    <row r="18859" spans="2:5">
      <c r="B18859" s="121">
        <v>1572</v>
      </c>
      <c r="C18859" s="121">
        <v>7</v>
      </c>
      <c r="D18859" s="734">
        <v>145.10513242014528</v>
      </c>
      <c r="E18859" s="733"/>
    </row>
    <row r="18860" spans="2:5">
      <c r="B18860" s="121">
        <v>1572</v>
      </c>
      <c r="C18860" s="121">
        <v>8</v>
      </c>
      <c r="D18860" s="734">
        <v>134.4696219783996</v>
      </c>
      <c r="E18860" s="733"/>
    </row>
    <row r="18861" spans="2:5">
      <c r="B18861" s="121">
        <v>1572</v>
      </c>
      <c r="C18861" s="121">
        <v>9</v>
      </c>
      <c r="D18861" s="734">
        <v>141.74738095538868</v>
      </c>
      <c r="E18861" s="733"/>
    </row>
    <row r="18862" spans="2:5">
      <c r="B18862" s="121">
        <v>1572</v>
      </c>
      <c r="C18862" s="121">
        <v>10</v>
      </c>
      <c r="D18862" s="734">
        <v>138.75066585099319</v>
      </c>
      <c r="E18862" s="733"/>
    </row>
    <row r="18863" spans="2:5">
      <c r="B18863" s="121">
        <v>1572</v>
      </c>
      <c r="C18863" s="121">
        <v>11</v>
      </c>
      <c r="D18863" s="734">
        <v>145.49720200792942</v>
      </c>
      <c r="E18863" s="733"/>
    </row>
    <row r="18864" spans="2:5">
      <c r="B18864" s="121">
        <v>1572</v>
      </c>
      <c r="C18864" s="121">
        <v>12</v>
      </c>
      <c r="D18864" s="734">
        <v>144.64260175664134</v>
      </c>
      <c r="E18864" s="733"/>
    </row>
    <row r="18865" spans="2:5">
      <c r="B18865" s="121">
        <v>1572</v>
      </c>
      <c r="C18865" s="121">
        <v>13</v>
      </c>
      <c r="D18865" s="734">
        <v>141.86665488754113</v>
      </c>
      <c r="E18865" s="733"/>
    </row>
    <row r="18866" spans="2:5">
      <c r="B18866" s="121">
        <v>1572</v>
      </c>
      <c r="C18866" s="121">
        <v>14</v>
      </c>
      <c r="D18866" s="734">
        <v>140.27406697366163</v>
      </c>
      <c r="E18866" s="733"/>
    </row>
    <row r="18867" spans="2:5">
      <c r="B18867" s="121">
        <v>1572</v>
      </c>
      <c r="C18867" s="121">
        <v>15</v>
      </c>
      <c r="D18867" s="734">
        <v>134.55811356374409</v>
      </c>
      <c r="E18867" s="733"/>
    </row>
    <row r="18868" spans="2:5">
      <c r="B18868" s="121">
        <v>1572</v>
      </c>
      <c r="C18868" s="121">
        <v>16</v>
      </c>
      <c r="D18868" s="734">
        <v>136.23264046511733</v>
      </c>
      <c r="E18868" s="733"/>
    </row>
    <row r="18869" spans="2:5">
      <c r="B18869" s="121">
        <v>1572</v>
      </c>
      <c r="C18869" s="121">
        <v>17</v>
      </c>
      <c r="D18869" s="734">
        <v>138.04093384194539</v>
      </c>
      <c r="E18869" s="733"/>
    </row>
    <row r="18870" spans="2:5">
      <c r="B18870" s="121">
        <v>1572</v>
      </c>
      <c r="C18870" s="121">
        <v>18</v>
      </c>
      <c r="D18870" s="734">
        <v>146.72178267547943</v>
      </c>
      <c r="E18870" s="733"/>
    </row>
    <row r="18871" spans="2:5">
      <c r="B18871" s="121">
        <v>1572</v>
      </c>
      <c r="C18871" s="121">
        <v>19</v>
      </c>
      <c r="D18871" s="734">
        <v>138.67074964499247</v>
      </c>
      <c r="E18871" s="733"/>
    </row>
    <row r="18872" spans="2:5">
      <c r="B18872" s="121">
        <v>1572</v>
      </c>
      <c r="C18872" s="121">
        <v>20</v>
      </c>
      <c r="D18872" s="734">
        <v>138.23996840773367</v>
      </c>
      <c r="E18872" s="733"/>
    </row>
    <row r="18873" spans="2:5">
      <c r="B18873" s="121">
        <v>1572</v>
      </c>
      <c r="C18873" s="121">
        <v>21</v>
      </c>
      <c r="D18873" s="734">
        <v>146.77884477037242</v>
      </c>
      <c r="E18873" s="733"/>
    </row>
    <row r="18874" spans="2:5">
      <c r="B18874" s="121">
        <v>1572</v>
      </c>
      <c r="C18874" s="121">
        <v>22</v>
      </c>
      <c r="D18874" s="734">
        <v>139.89833482722656</v>
      </c>
      <c r="E18874" s="733"/>
    </row>
    <row r="18875" spans="2:5">
      <c r="B18875" s="121">
        <v>1572</v>
      </c>
      <c r="C18875" s="121">
        <v>23</v>
      </c>
      <c r="D18875" s="734">
        <v>141.34679574393238</v>
      </c>
      <c r="E18875" s="733"/>
    </row>
    <row r="18876" spans="2:5">
      <c r="B18876" s="121">
        <v>1572</v>
      </c>
      <c r="C18876" s="121">
        <v>24</v>
      </c>
      <c r="D18876" s="734">
        <v>133.93312981204639</v>
      </c>
      <c r="E18876" s="733"/>
    </row>
    <row r="18877" spans="2:5">
      <c r="B18877" s="121">
        <v>1572</v>
      </c>
      <c r="C18877" s="121">
        <v>25</v>
      </c>
      <c r="D18877" s="734">
        <v>144.70230693997266</v>
      </c>
      <c r="E18877" s="733"/>
    </row>
    <row r="18878" spans="2:5">
      <c r="B18878" s="121">
        <v>1572</v>
      </c>
      <c r="C18878" s="121">
        <v>26</v>
      </c>
      <c r="D18878" s="734">
        <v>140.82834298818258</v>
      </c>
      <c r="E18878" s="733"/>
    </row>
    <row r="18879" spans="2:5">
      <c r="B18879" s="121">
        <v>1572</v>
      </c>
      <c r="C18879" s="121">
        <v>27</v>
      </c>
      <c r="D18879" s="734">
        <v>144.87398600772951</v>
      </c>
      <c r="E18879" s="733"/>
    </row>
    <row r="18880" spans="2:5">
      <c r="B18880" s="121">
        <v>1573</v>
      </c>
      <c r="C18880" s="121">
        <v>1</v>
      </c>
      <c r="D18880" s="734">
        <v>5</v>
      </c>
      <c r="E18880" s="733"/>
    </row>
    <row r="18881" spans="2:5">
      <c r="B18881" s="121">
        <v>1573</v>
      </c>
      <c r="C18881" s="121">
        <v>2</v>
      </c>
      <c r="D18881" s="734">
        <v>95.963094176471103</v>
      </c>
      <c r="E18881" s="733"/>
    </row>
    <row r="18882" spans="2:5">
      <c r="B18882" s="121">
        <v>1573</v>
      </c>
      <c r="C18882" s="121">
        <v>3</v>
      </c>
      <c r="D18882" s="734">
        <v>120.87265939659757</v>
      </c>
      <c r="E18882" s="733"/>
    </row>
    <row r="18883" spans="2:5">
      <c r="B18883" s="121">
        <v>1573</v>
      </c>
      <c r="C18883" s="121">
        <v>4</v>
      </c>
      <c r="D18883" s="734">
        <v>139.00304762883019</v>
      </c>
      <c r="E18883" s="733"/>
    </row>
    <row r="18884" spans="2:5">
      <c r="B18884" s="121">
        <v>1573</v>
      </c>
      <c r="C18884" s="121">
        <v>5</v>
      </c>
      <c r="D18884" s="734">
        <v>136.97716264241276</v>
      </c>
      <c r="E18884" s="733"/>
    </row>
    <row r="18885" spans="2:5">
      <c r="B18885" s="121">
        <v>1574</v>
      </c>
      <c r="C18885" s="121">
        <v>1</v>
      </c>
      <c r="D18885" s="734">
        <v>5</v>
      </c>
      <c r="E18885" s="733"/>
    </row>
    <row r="18886" spans="2:5">
      <c r="B18886" s="121">
        <v>1574</v>
      </c>
      <c r="C18886" s="121">
        <v>2</v>
      </c>
      <c r="D18886" s="734">
        <v>98.33626780555737</v>
      </c>
      <c r="E18886" s="733"/>
    </row>
    <row r="18887" spans="2:5">
      <c r="B18887" s="121">
        <v>1574</v>
      </c>
      <c r="C18887" s="121">
        <v>3</v>
      </c>
      <c r="D18887" s="734">
        <v>123.19555670174607</v>
      </c>
      <c r="E18887" s="733"/>
    </row>
    <row r="18888" spans="2:5">
      <c r="B18888" s="121">
        <v>1574</v>
      </c>
      <c r="C18888" s="121">
        <v>4</v>
      </c>
      <c r="D18888" s="734">
        <v>139.56466183518137</v>
      </c>
      <c r="E18888" s="733"/>
    </row>
    <row r="18889" spans="2:5">
      <c r="B18889" s="121">
        <v>1574</v>
      </c>
      <c r="C18889" s="121">
        <v>5</v>
      </c>
      <c r="D18889" s="734">
        <v>137.80664262520955</v>
      </c>
      <c r="E18889" s="733"/>
    </row>
    <row r="18890" spans="2:5">
      <c r="B18890" s="121">
        <v>1574</v>
      </c>
      <c r="C18890" s="121">
        <v>6</v>
      </c>
      <c r="D18890" s="734">
        <v>134.74147851085885</v>
      </c>
      <c r="E18890" s="733"/>
    </row>
    <row r="18891" spans="2:5">
      <c r="B18891" s="121">
        <v>1574</v>
      </c>
      <c r="C18891" s="121">
        <v>7</v>
      </c>
      <c r="D18891" s="734">
        <v>138.65320283622734</v>
      </c>
      <c r="E18891" s="733"/>
    </row>
    <row r="18892" spans="2:5">
      <c r="B18892" s="121">
        <v>1574</v>
      </c>
      <c r="C18892" s="121">
        <v>8</v>
      </c>
      <c r="D18892" s="734">
        <v>140.50473508192783</v>
      </c>
      <c r="E18892" s="733"/>
    </row>
    <row r="18893" spans="2:5">
      <c r="B18893" s="121">
        <v>1574</v>
      </c>
      <c r="C18893" s="121">
        <v>9</v>
      </c>
      <c r="D18893" s="734">
        <v>142.87786611231638</v>
      </c>
      <c r="E18893" s="733"/>
    </row>
    <row r="18894" spans="2:5">
      <c r="B18894" s="121">
        <v>1574</v>
      </c>
      <c r="C18894" s="121">
        <v>10</v>
      </c>
      <c r="D18894" s="734">
        <v>136.75167207696748</v>
      </c>
      <c r="E18894" s="733"/>
    </row>
    <row r="18895" spans="2:5">
      <c r="B18895" s="121">
        <v>1574</v>
      </c>
      <c r="C18895" s="121">
        <v>11</v>
      </c>
      <c r="D18895" s="734">
        <v>141.87221198951485</v>
      </c>
      <c r="E18895" s="733"/>
    </row>
    <row r="18896" spans="2:5">
      <c r="B18896" s="121">
        <v>1574</v>
      </c>
      <c r="C18896" s="121">
        <v>12</v>
      </c>
      <c r="D18896" s="734">
        <v>141.63129374430207</v>
      </c>
      <c r="E18896" s="733"/>
    </row>
    <row r="18897" spans="2:5">
      <c r="B18897" s="121">
        <v>1574</v>
      </c>
      <c r="C18897" s="121">
        <v>13</v>
      </c>
      <c r="D18897" s="734">
        <v>141.50535434915972</v>
      </c>
      <c r="E18897" s="733"/>
    </row>
    <row r="18898" spans="2:5">
      <c r="B18898" s="121">
        <v>1574</v>
      </c>
      <c r="C18898" s="121">
        <v>14</v>
      </c>
      <c r="D18898" s="734">
        <v>134.05568876263348</v>
      </c>
      <c r="E18898" s="733"/>
    </row>
    <row r="18899" spans="2:5">
      <c r="B18899" s="121">
        <v>1574</v>
      </c>
      <c r="C18899" s="121">
        <v>15</v>
      </c>
      <c r="D18899" s="734">
        <v>136.18992555652443</v>
      </c>
      <c r="E18899" s="733"/>
    </row>
    <row r="18900" spans="2:5">
      <c r="B18900" s="121">
        <v>1574</v>
      </c>
      <c r="C18900" s="121">
        <v>16</v>
      </c>
      <c r="D18900" s="734">
        <v>138.68556138177527</v>
      </c>
      <c r="E18900" s="733"/>
    </row>
    <row r="18901" spans="2:5">
      <c r="B18901" s="121">
        <v>1575</v>
      </c>
      <c r="C18901" s="121">
        <v>1</v>
      </c>
      <c r="D18901" s="734">
        <v>5</v>
      </c>
      <c r="E18901" s="733"/>
    </row>
    <row r="18902" spans="2:5">
      <c r="B18902" s="121">
        <v>1576</v>
      </c>
      <c r="C18902" s="121">
        <v>1</v>
      </c>
      <c r="D18902" s="734">
        <v>5</v>
      </c>
      <c r="E18902" s="733"/>
    </row>
    <row r="18903" spans="2:5">
      <c r="B18903" s="121">
        <v>1576</v>
      </c>
      <c r="C18903" s="121">
        <v>2</v>
      </c>
      <c r="D18903" s="734">
        <v>103.21104129550409</v>
      </c>
      <c r="E18903" s="733"/>
    </row>
    <row r="18904" spans="2:5">
      <c r="B18904" s="121">
        <v>1576</v>
      </c>
      <c r="C18904" s="121">
        <v>3</v>
      </c>
      <c r="D18904" s="734">
        <v>114.20539357714553</v>
      </c>
      <c r="E18904" s="733"/>
    </row>
    <row r="18905" spans="2:5">
      <c r="B18905" s="121">
        <v>1576</v>
      </c>
      <c r="C18905" s="121">
        <v>4</v>
      </c>
      <c r="D18905" s="734">
        <v>143.81143915402706</v>
      </c>
      <c r="E18905" s="733"/>
    </row>
    <row r="18906" spans="2:5">
      <c r="B18906" s="121">
        <v>1576</v>
      </c>
      <c r="C18906" s="121">
        <v>5</v>
      </c>
      <c r="D18906" s="734">
        <v>144.46271330248828</v>
      </c>
      <c r="E18906" s="733"/>
    </row>
    <row r="18907" spans="2:5">
      <c r="B18907" s="121">
        <v>1576</v>
      </c>
      <c r="C18907" s="121">
        <v>6</v>
      </c>
      <c r="D18907" s="734">
        <v>138.5819118920991</v>
      </c>
      <c r="E18907" s="733"/>
    </row>
    <row r="18908" spans="2:5">
      <c r="B18908" s="121">
        <v>1576</v>
      </c>
      <c r="C18908" s="121">
        <v>7</v>
      </c>
      <c r="D18908" s="734">
        <v>139.73177075955908</v>
      </c>
      <c r="E18908" s="733"/>
    </row>
    <row r="18909" spans="2:5">
      <c r="B18909" s="121">
        <v>1576</v>
      </c>
      <c r="C18909" s="121">
        <v>8</v>
      </c>
      <c r="D18909" s="734">
        <v>141.80478889802546</v>
      </c>
      <c r="E18909" s="733"/>
    </row>
    <row r="18910" spans="2:5">
      <c r="B18910" s="121">
        <v>1576</v>
      </c>
      <c r="C18910" s="121">
        <v>9</v>
      </c>
      <c r="D18910" s="734">
        <v>143.40482682716473</v>
      </c>
      <c r="E18910" s="733"/>
    </row>
    <row r="18911" spans="2:5">
      <c r="B18911" s="121">
        <v>1576</v>
      </c>
      <c r="C18911" s="121">
        <v>10</v>
      </c>
      <c r="D18911" s="734">
        <v>145.06046478207395</v>
      </c>
      <c r="E18911" s="733"/>
    </row>
    <row r="18912" spans="2:5">
      <c r="B18912" s="121">
        <v>1576</v>
      </c>
      <c r="C18912" s="121">
        <v>11</v>
      </c>
      <c r="D18912" s="734">
        <v>140.3168150792165</v>
      </c>
      <c r="E18912" s="733"/>
    </row>
    <row r="18913" spans="2:5">
      <c r="B18913" s="121">
        <v>1576</v>
      </c>
      <c r="C18913" s="121">
        <v>12</v>
      </c>
      <c r="D18913" s="734">
        <v>141.56374462436872</v>
      </c>
      <c r="E18913" s="733"/>
    </row>
    <row r="18914" spans="2:5">
      <c r="B18914" s="121">
        <v>1576</v>
      </c>
      <c r="C18914" s="121">
        <v>13</v>
      </c>
      <c r="D18914" s="734">
        <v>137.48756078001898</v>
      </c>
      <c r="E18914" s="733"/>
    </row>
    <row r="18915" spans="2:5">
      <c r="B18915" s="121">
        <v>1576</v>
      </c>
      <c r="C18915" s="121">
        <v>14</v>
      </c>
      <c r="D18915" s="734">
        <v>145.41896637311368</v>
      </c>
      <c r="E18915" s="733"/>
    </row>
    <row r="18916" spans="2:5">
      <c r="B18916" s="121">
        <v>1576</v>
      </c>
      <c r="C18916" s="121">
        <v>15</v>
      </c>
      <c r="D18916" s="734">
        <v>145.37493089400184</v>
      </c>
      <c r="E18916" s="733"/>
    </row>
    <row r="18917" spans="2:5">
      <c r="B18917" s="121">
        <v>1576</v>
      </c>
      <c r="C18917" s="121">
        <v>16</v>
      </c>
      <c r="D18917" s="734">
        <v>145.40364117832254</v>
      </c>
      <c r="E18917" s="733"/>
    </row>
    <row r="18918" spans="2:5">
      <c r="B18918" s="121">
        <v>1576</v>
      </c>
      <c r="C18918" s="121">
        <v>17</v>
      </c>
      <c r="D18918" s="734">
        <v>134.78751839969337</v>
      </c>
      <c r="E18918" s="733"/>
    </row>
    <row r="18919" spans="2:5">
      <c r="B18919" s="121">
        <v>1576</v>
      </c>
      <c r="C18919" s="121">
        <v>18</v>
      </c>
      <c r="D18919" s="734">
        <v>134.9525365295205</v>
      </c>
      <c r="E18919" s="733"/>
    </row>
    <row r="18920" spans="2:5">
      <c r="B18920" s="121">
        <v>1576</v>
      </c>
      <c r="C18920" s="121">
        <v>19</v>
      </c>
      <c r="D18920" s="734">
        <v>142.7349979820188</v>
      </c>
      <c r="E18920" s="733"/>
    </row>
    <row r="18921" spans="2:5">
      <c r="B18921" s="121">
        <v>1576</v>
      </c>
      <c r="C18921" s="121">
        <v>20</v>
      </c>
      <c r="D18921" s="734">
        <v>133.74884046842448</v>
      </c>
      <c r="E18921" s="733"/>
    </row>
    <row r="18922" spans="2:5">
      <c r="B18922" s="121">
        <v>1576</v>
      </c>
      <c r="C18922" s="121">
        <v>21</v>
      </c>
      <c r="D18922" s="734">
        <v>147.07963310085938</v>
      </c>
      <c r="E18922" s="733"/>
    </row>
    <row r="18923" spans="2:5">
      <c r="B18923" s="121">
        <v>1576</v>
      </c>
      <c r="C18923" s="121">
        <v>22</v>
      </c>
      <c r="D18923" s="734">
        <v>141.51465283702984</v>
      </c>
      <c r="E18923" s="733"/>
    </row>
    <row r="18924" spans="2:5">
      <c r="B18924" s="121">
        <v>1576</v>
      </c>
      <c r="C18924" s="121">
        <v>23</v>
      </c>
      <c r="D18924" s="734">
        <v>147.07136418165564</v>
      </c>
      <c r="E18924" s="733"/>
    </row>
    <row r="18925" spans="2:5">
      <c r="B18925" s="121">
        <v>1576</v>
      </c>
      <c r="C18925" s="121">
        <v>24</v>
      </c>
      <c r="D18925" s="734">
        <v>141.04508996594535</v>
      </c>
      <c r="E18925" s="733"/>
    </row>
    <row r="18926" spans="2:5">
      <c r="B18926" s="121">
        <v>1576</v>
      </c>
      <c r="C18926" s="121">
        <v>25</v>
      </c>
      <c r="D18926" s="734">
        <v>137.55159049726933</v>
      </c>
      <c r="E18926" s="733"/>
    </row>
    <row r="18927" spans="2:5">
      <c r="B18927" s="121">
        <v>1576</v>
      </c>
      <c r="C18927" s="121">
        <v>26</v>
      </c>
      <c r="D18927" s="734">
        <v>145.29035240419762</v>
      </c>
      <c r="E18927" s="733"/>
    </row>
    <row r="18928" spans="2:5">
      <c r="B18928" s="121">
        <v>1576</v>
      </c>
      <c r="C18928" s="121">
        <v>27</v>
      </c>
      <c r="D18928" s="734">
        <v>145.92470318470259</v>
      </c>
      <c r="E18928" s="733"/>
    </row>
    <row r="18929" spans="2:5">
      <c r="B18929" s="121">
        <v>1576</v>
      </c>
      <c r="C18929" s="121">
        <v>28</v>
      </c>
      <c r="D18929" s="734">
        <v>136.38446107099404</v>
      </c>
      <c r="E18929" s="733"/>
    </row>
    <row r="18930" spans="2:5">
      <c r="B18930" s="121">
        <v>1576</v>
      </c>
      <c r="C18930" s="121">
        <v>29</v>
      </c>
      <c r="D18930" s="734">
        <v>134.6707439829332</v>
      </c>
      <c r="E18930" s="733"/>
    </row>
    <row r="18931" spans="2:5">
      <c r="B18931" s="121">
        <v>1576</v>
      </c>
      <c r="C18931" s="121">
        <v>30</v>
      </c>
      <c r="D18931" s="734">
        <v>139.62193805681343</v>
      </c>
      <c r="E18931" s="733"/>
    </row>
    <row r="18932" spans="2:5">
      <c r="B18932" s="121">
        <v>1577</v>
      </c>
      <c r="C18932" s="121">
        <v>1</v>
      </c>
      <c r="D18932" s="734">
        <v>5</v>
      </c>
      <c r="E18932" s="733"/>
    </row>
    <row r="18933" spans="2:5">
      <c r="B18933" s="121">
        <v>1577</v>
      </c>
      <c r="C18933" s="121">
        <v>2</v>
      </c>
      <c r="D18933" s="734">
        <v>95.640976448542673</v>
      </c>
      <c r="E18933" s="733"/>
    </row>
    <row r="18934" spans="2:5">
      <c r="B18934" s="121">
        <v>1577</v>
      </c>
      <c r="C18934" s="121">
        <v>3</v>
      </c>
      <c r="D18934" s="734">
        <v>122.11988235213866</v>
      </c>
      <c r="E18934" s="733"/>
    </row>
    <row r="18935" spans="2:5">
      <c r="B18935" s="121">
        <v>1577</v>
      </c>
      <c r="C18935" s="121">
        <v>4</v>
      </c>
      <c r="D18935" s="734">
        <v>136.71372171880526</v>
      </c>
      <c r="E18935" s="733"/>
    </row>
    <row r="18936" spans="2:5">
      <c r="B18936" s="121">
        <v>1577</v>
      </c>
      <c r="C18936" s="121">
        <v>5</v>
      </c>
      <c r="D18936" s="734">
        <v>139.8611551863028</v>
      </c>
      <c r="E18936" s="733"/>
    </row>
    <row r="18937" spans="2:5">
      <c r="B18937" s="121">
        <v>1577</v>
      </c>
      <c r="C18937" s="121">
        <v>6</v>
      </c>
      <c r="D18937" s="734">
        <v>136.86963307885912</v>
      </c>
      <c r="E18937" s="733"/>
    </row>
    <row r="18938" spans="2:5">
      <c r="B18938" s="121">
        <v>1577</v>
      </c>
      <c r="C18938" s="121">
        <v>7</v>
      </c>
      <c r="D18938" s="734">
        <v>144.52869606871943</v>
      </c>
      <c r="E18938" s="733"/>
    </row>
    <row r="18939" spans="2:5">
      <c r="B18939" s="121">
        <v>1577</v>
      </c>
      <c r="C18939" s="121">
        <v>8</v>
      </c>
      <c r="D18939" s="734">
        <v>146.95752368943781</v>
      </c>
      <c r="E18939" s="733"/>
    </row>
    <row r="18940" spans="2:5">
      <c r="B18940" s="121">
        <v>1577</v>
      </c>
      <c r="C18940" s="121">
        <v>9</v>
      </c>
      <c r="D18940" s="734">
        <v>145.71799921290403</v>
      </c>
      <c r="E18940" s="733"/>
    </row>
    <row r="18941" spans="2:5">
      <c r="B18941" s="121">
        <v>1577</v>
      </c>
      <c r="C18941" s="121">
        <v>10</v>
      </c>
      <c r="D18941" s="734">
        <v>138.74293190774401</v>
      </c>
      <c r="E18941" s="733"/>
    </row>
    <row r="18942" spans="2:5">
      <c r="B18942" s="121">
        <v>1577</v>
      </c>
      <c r="C18942" s="121">
        <v>11</v>
      </c>
      <c r="D18942" s="734">
        <v>139.33767498257455</v>
      </c>
      <c r="E18942" s="733"/>
    </row>
    <row r="18943" spans="2:5">
      <c r="B18943" s="121">
        <v>1577</v>
      </c>
      <c r="C18943" s="121">
        <v>12</v>
      </c>
      <c r="D18943" s="734">
        <v>145.41641985698539</v>
      </c>
      <c r="E18943" s="733"/>
    </row>
    <row r="18944" spans="2:5">
      <c r="B18944" s="121">
        <v>1577</v>
      </c>
      <c r="C18944" s="121">
        <v>13</v>
      </c>
      <c r="D18944" s="734">
        <v>133.94696639130049</v>
      </c>
      <c r="E18944" s="733"/>
    </row>
    <row r="18945" spans="2:5">
      <c r="B18945" s="121">
        <v>1577</v>
      </c>
      <c r="C18945" s="121">
        <v>14</v>
      </c>
      <c r="D18945" s="734">
        <v>137.8597232107667</v>
      </c>
      <c r="E18945" s="733"/>
    </row>
    <row r="18946" spans="2:5">
      <c r="B18946" s="121">
        <v>1577</v>
      </c>
      <c r="C18946" s="121">
        <v>15</v>
      </c>
      <c r="D18946" s="734">
        <v>141.87236033722013</v>
      </c>
      <c r="E18946" s="733"/>
    </row>
    <row r="18947" spans="2:5">
      <c r="B18947" s="121">
        <v>1577</v>
      </c>
      <c r="C18947" s="121">
        <v>16</v>
      </c>
      <c r="D18947" s="734">
        <v>144.4804923129187</v>
      </c>
      <c r="E18947" s="733"/>
    </row>
    <row r="18948" spans="2:5">
      <c r="B18948" s="121">
        <v>1577</v>
      </c>
      <c r="C18948" s="121">
        <v>17</v>
      </c>
      <c r="D18948" s="734">
        <v>137.60742300955641</v>
      </c>
      <c r="E18948" s="733"/>
    </row>
    <row r="18949" spans="2:5">
      <c r="B18949" s="121">
        <v>1577</v>
      </c>
      <c r="C18949" s="121">
        <v>18</v>
      </c>
      <c r="D18949" s="734">
        <v>147.08014121882309</v>
      </c>
      <c r="E18949" s="733"/>
    </row>
    <row r="18950" spans="2:5">
      <c r="B18950" s="121">
        <v>1577</v>
      </c>
      <c r="C18950" s="121">
        <v>19</v>
      </c>
      <c r="D18950" s="734">
        <v>137.57771530621423</v>
      </c>
      <c r="E18950" s="733"/>
    </row>
    <row r="18951" spans="2:5">
      <c r="B18951" s="121">
        <v>1577</v>
      </c>
      <c r="C18951" s="121">
        <v>20</v>
      </c>
      <c r="D18951" s="734">
        <v>137.4100046123001</v>
      </c>
      <c r="E18951" s="733"/>
    </row>
    <row r="18952" spans="2:5">
      <c r="B18952" s="121">
        <v>1577</v>
      </c>
      <c r="C18952" s="121">
        <v>21</v>
      </c>
      <c r="D18952" s="734">
        <v>135.697541976167</v>
      </c>
      <c r="E18952" s="733"/>
    </row>
    <row r="18953" spans="2:5">
      <c r="B18953" s="121">
        <v>1577</v>
      </c>
      <c r="C18953" s="121">
        <v>22</v>
      </c>
      <c r="D18953" s="734">
        <v>137.6795099638442</v>
      </c>
      <c r="E18953" s="733"/>
    </row>
    <row r="18954" spans="2:5">
      <c r="B18954" s="121">
        <v>1577</v>
      </c>
      <c r="C18954" s="121">
        <v>23</v>
      </c>
      <c r="D18954" s="734">
        <v>142.94448786937383</v>
      </c>
      <c r="E18954" s="733"/>
    </row>
    <row r="18955" spans="2:5">
      <c r="B18955" s="121">
        <v>1577</v>
      </c>
      <c r="C18955" s="121">
        <v>24</v>
      </c>
      <c r="D18955" s="734">
        <v>139.87096574957764</v>
      </c>
      <c r="E18955" s="733"/>
    </row>
    <row r="18956" spans="2:5">
      <c r="B18956" s="121">
        <v>1577</v>
      </c>
      <c r="C18956" s="121">
        <v>25</v>
      </c>
      <c r="D18956" s="734">
        <v>133.70099695487639</v>
      </c>
      <c r="E18956" s="733"/>
    </row>
    <row r="18957" spans="2:5">
      <c r="B18957" s="121">
        <v>1577</v>
      </c>
      <c r="C18957" s="121">
        <v>26</v>
      </c>
      <c r="D18957" s="734">
        <v>141.46230890434487</v>
      </c>
      <c r="E18957" s="733"/>
    </row>
    <row r="18958" spans="2:5">
      <c r="B18958" s="121">
        <v>1577</v>
      </c>
      <c r="C18958" s="121">
        <v>27</v>
      </c>
      <c r="D18958" s="734">
        <v>137.04297102348093</v>
      </c>
      <c r="E18958" s="733"/>
    </row>
    <row r="18959" spans="2:5">
      <c r="B18959" s="121">
        <v>1577</v>
      </c>
      <c r="C18959" s="121">
        <v>28</v>
      </c>
      <c r="D18959" s="734">
        <v>134.74955126730174</v>
      </c>
      <c r="E18959" s="733"/>
    </row>
    <row r="18960" spans="2:5">
      <c r="B18960" s="121">
        <v>1577</v>
      </c>
      <c r="C18960" s="121">
        <v>29</v>
      </c>
      <c r="D18960" s="734">
        <v>138.33210714488641</v>
      </c>
      <c r="E18960" s="733"/>
    </row>
    <row r="18961" spans="2:5">
      <c r="B18961" s="121">
        <v>1577</v>
      </c>
      <c r="C18961" s="121">
        <v>30</v>
      </c>
      <c r="D18961" s="734">
        <v>135.29451220069373</v>
      </c>
      <c r="E18961" s="733"/>
    </row>
    <row r="18962" spans="2:5">
      <c r="B18962" s="121">
        <v>1577</v>
      </c>
      <c r="C18962" s="121">
        <v>31</v>
      </c>
      <c r="D18962" s="734">
        <v>140.9780429775405</v>
      </c>
      <c r="E18962" s="733"/>
    </row>
    <row r="18963" spans="2:5">
      <c r="B18963" s="121">
        <v>1577</v>
      </c>
      <c r="C18963" s="121">
        <v>32</v>
      </c>
      <c r="D18963" s="734">
        <v>146.72268817972295</v>
      </c>
      <c r="E18963" s="733"/>
    </row>
    <row r="18964" spans="2:5">
      <c r="B18964" s="121">
        <v>1577</v>
      </c>
      <c r="C18964" s="121">
        <v>33</v>
      </c>
      <c r="D18964" s="734">
        <v>146.65375024004834</v>
      </c>
      <c r="E18964" s="733"/>
    </row>
    <row r="18965" spans="2:5">
      <c r="B18965" s="121">
        <v>1577</v>
      </c>
      <c r="C18965" s="121">
        <v>34</v>
      </c>
      <c r="D18965" s="734">
        <v>135.59182691675943</v>
      </c>
      <c r="E18965" s="733"/>
    </row>
    <row r="18966" spans="2:5">
      <c r="B18966" s="121">
        <v>1577</v>
      </c>
      <c r="C18966" s="121">
        <v>35</v>
      </c>
      <c r="D18966" s="734">
        <v>143.54256012869351</v>
      </c>
      <c r="E18966" s="733"/>
    </row>
    <row r="18967" spans="2:5">
      <c r="B18967" s="121">
        <v>1577</v>
      </c>
      <c r="C18967" s="121">
        <v>36</v>
      </c>
      <c r="D18967" s="734">
        <v>142.76595814975985</v>
      </c>
      <c r="E18967" s="733"/>
    </row>
    <row r="18968" spans="2:5">
      <c r="B18968" s="121">
        <v>1578</v>
      </c>
      <c r="C18968" s="121">
        <v>1</v>
      </c>
      <c r="D18968" s="734">
        <v>5</v>
      </c>
      <c r="E18968" s="733"/>
    </row>
    <row r="18969" spans="2:5">
      <c r="B18969" s="121">
        <v>1579</v>
      </c>
      <c r="C18969" s="121">
        <v>1</v>
      </c>
      <c r="D18969" s="734">
        <v>5</v>
      </c>
      <c r="E18969" s="733"/>
    </row>
    <row r="18970" spans="2:5">
      <c r="B18970" s="121">
        <v>1579</v>
      </c>
      <c r="C18970" s="121">
        <v>2</v>
      </c>
      <c r="D18970" s="734">
        <v>97.144932870891893</v>
      </c>
      <c r="E18970" s="733"/>
    </row>
    <row r="18971" spans="2:5">
      <c r="B18971" s="121">
        <v>1579</v>
      </c>
      <c r="C18971" s="121">
        <v>3</v>
      </c>
      <c r="D18971" s="734">
        <v>124.70188525319166</v>
      </c>
      <c r="E18971" s="733"/>
    </row>
    <row r="18972" spans="2:5">
      <c r="B18972" s="121">
        <v>1579</v>
      </c>
      <c r="C18972" s="121">
        <v>4</v>
      </c>
      <c r="D18972" s="734">
        <v>135.18787756237671</v>
      </c>
      <c r="E18972" s="733"/>
    </row>
    <row r="18973" spans="2:5">
      <c r="B18973" s="121">
        <v>1579</v>
      </c>
      <c r="C18973" s="121">
        <v>5</v>
      </c>
      <c r="D18973" s="734">
        <v>146.30488901031106</v>
      </c>
      <c r="E18973" s="733"/>
    </row>
    <row r="18974" spans="2:5">
      <c r="B18974" s="121">
        <v>1579</v>
      </c>
      <c r="C18974" s="121">
        <v>6</v>
      </c>
      <c r="D18974" s="734">
        <v>143.31689892962967</v>
      </c>
      <c r="E18974" s="733"/>
    </row>
    <row r="18975" spans="2:5">
      <c r="B18975" s="121">
        <v>1579</v>
      </c>
      <c r="C18975" s="121">
        <v>7</v>
      </c>
      <c r="D18975" s="734">
        <v>141.68768670734681</v>
      </c>
      <c r="E18975" s="733"/>
    </row>
    <row r="18976" spans="2:5">
      <c r="B18976" s="121">
        <v>1579</v>
      </c>
      <c r="C18976" s="121">
        <v>8</v>
      </c>
      <c r="D18976" s="734">
        <v>138.17828020465814</v>
      </c>
      <c r="E18976" s="733"/>
    </row>
    <row r="18977" spans="2:5">
      <c r="B18977" s="121">
        <v>1579</v>
      </c>
      <c r="C18977" s="121">
        <v>9</v>
      </c>
      <c r="D18977" s="734">
        <v>135.03411382960763</v>
      </c>
      <c r="E18977" s="733"/>
    </row>
    <row r="18978" spans="2:5">
      <c r="B18978" s="121">
        <v>1579</v>
      </c>
      <c r="C18978" s="121">
        <v>10</v>
      </c>
      <c r="D18978" s="734">
        <v>139.78961168130206</v>
      </c>
      <c r="E18978" s="733"/>
    </row>
    <row r="18979" spans="2:5">
      <c r="B18979" s="121">
        <v>1580</v>
      </c>
      <c r="C18979" s="121">
        <v>1</v>
      </c>
      <c r="D18979" s="734">
        <v>5</v>
      </c>
      <c r="E18979" s="733"/>
    </row>
    <row r="18980" spans="2:5">
      <c r="B18980" s="121">
        <v>1581</v>
      </c>
      <c r="C18980" s="121">
        <v>1</v>
      </c>
      <c r="D18980" s="734">
        <v>5</v>
      </c>
      <c r="E18980" s="733"/>
    </row>
    <row r="18981" spans="2:5">
      <c r="B18981" s="121">
        <v>1581</v>
      </c>
      <c r="C18981" s="121">
        <v>2</v>
      </c>
      <c r="D18981" s="734">
        <v>96.042595661524231</v>
      </c>
      <c r="E18981" s="733"/>
    </row>
    <row r="18982" spans="2:5">
      <c r="B18982" s="121">
        <v>1581</v>
      </c>
      <c r="C18982" s="121">
        <v>3</v>
      </c>
      <c r="D18982" s="734">
        <v>117.50660220872579</v>
      </c>
      <c r="E18982" s="733"/>
    </row>
    <row r="18983" spans="2:5">
      <c r="B18983" s="121">
        <v>1581</v>
      </c>
      <c r="C18983" s="121">
        <v>4</v>
      </c>
      <c r="D18983" s="734">
        <v>144.73269639143683</v>
      </c>
      <c r="E18983" s="733"/>
    </row>
    <row r="18984" spans="2:5">
      <c r="B18984" s="121">
        <v>1581</v>
      </c>
      <c r="C18984" s="121">
        <v>5</v>
      </c>
      <c r="D18984" s="734">
        <v>133.6899482570916</v>
      </c>
      <c r="E18984" s="733"/>
    </row>
    <row r="18985" spans="2:5">
      <c r="B18985" s="121">
        <v>1581</v>
      </c>
      <c r="C18985" s="121">
        <v>6</v>
      </c>
      <c r="D18985" s="734">
        <v>143.03108784394203</v>
      </c>
      <c r="E18985" s="733"/>
    </row>
    <row r="18986" spans="2:5">
      <c r="B18986" s="121">
        <v>1581</v>
      </c>
      <c r="C18986" s="121">
        <v>7</v>
      </c>
      <c r="D18986" s="734">
        <v>145.53928658931949</v>
      </c>
      <c r="E18986" s="733"/>
    </row>
    <row r="18987" spans="2:5">
      <c r="B18987" s="121">
        <v>1581</v>
      </c>
      <c r="C18987" s="121">
        <v>8</v>
      </c>
      <c r="D18987" s="734">
        <v>142.59582099409184</v>
      </c>
      <c r="E18987" s="733"/>
    </row>
    <row r="18988" spans="2:5">
      <c r="B18988" s="121">
        <v>1581</v>
      </c>
      <c r="C18988" s="121">
        <v>9</v>
      </c>
      <c r="D18988" s="734">
        <v>138.75892899449525</v>
      </c>
      <c r="E18988" s="733"/>
    </row>
    <row r="18989" spans="2:5">
      <c r="B18989" s="121">
        <v>1581</v>
      </c>
      <c r="C18989" s="121">
        <v>10</v>
      </c>
      <c r="D18989" s="734">
        <v>135.38605956840414</v>
      </c>
      <c r="E18989" s="733"/>
    </row>
    <row r="18990" spans="2:5">
      <c r="B18990" s="121">
        <v>1581</v>
      </c>
      <c r="C18990" s="121">
        <v>11</v>
      </c>
      <c r="D18990" s="734">
        <v>134.06013796131299</v>
      </c>
      <c r="E18990" s="733"/>
    </row>
    <row r="18991" spans="2:5">
      <c r="B18991" s="121">
        <v>1581</v>
      </c>
      <c r="C18991" s="121">
        <v>12</v>
      </c>
      <c r="D18991" s="734">
        <v>145.65599962793505</v>
      </c>
      <c r="E18991" s="733"/>
    </row>
    <row r="18992" spans="2:5">
      <c r="B18992" s="121">
        <v>1581</v>
      </c>
      <c r="C18992" s="121">
        <v>13</v>
      </c>
      <c r="D18992" s="734">
        <v>144.42321406768855</v>
      </c>
      <c r="E18992" s="733"/>
    </row>
    <row r="18993" spans="2:5">
      <c r="B18993" s="121">
        <v>1581</v>
      </c>
      <c r="C18993" s="121">
        <v>14</v>
      </c>
      <c r="D18993" s="734">
        <v>139.31157698649011</v>
      </c>
      <c r="E18993" s="733"/>
    </row>
    <row r="18994" spans="2:5">
      <c r="B18994" s="121">
        <v>1581</v>
      </c>
      <c r="C18994" s="121">
        <v>15</v>
      </c>
      <c r="D18994" s="734">
        <v>137.58030618322127</v>
      </c>
      <c r="E18994" s="733"/>
    </row>
    <row r="18995" spans="2:5">
      <c r="B18995" s="121">
        <v>1581</v>
      </c>
      <c r="C18995" s="121">
        <v>16</v>
      </c>
      <c r="D18995" s="734">
        <v>145.77779356839724</v>
      </c>
      <c r="E18995" s="733"/>
    </row>
    <row r="18996" spans="2:5">
      <c r="B18996" s="121">
        <v>1581</v>
      </c>
      <c r="C18996" s="121">
        <v>17</v>
      </c>
      <c r="D18996" s="734">
        <v>134.56513559244769</v>
      </c>
      <c r="E18996" s="733"/>
    </row>
    <row r="18997" spans="2:5">
      <c r="B18997" s="121">
        <v>1581</v>
      </c>
      <c r="C18997" s="121">
        <v>18</v>
      </c>
      <c r="D18997" s="734">
        <v>141.93955148175095</v>
      </c>
      <c r="E18997" s="733"/>
    </row>
    <row r="18998" spans="2:5">
      <c r="B18998" s="121">
        <v>1582</v>
      </c>
      <c r="C18998" s="121">
        <v>1</v>
      </c>
      <c r="D18998" s="734">
        <v>5</v>
      </c>
      <c r="E18998" s="733"/>
    </row>
    <row r="18999" spans="2:5">
      <c r="B18999" s="121">
        <v>1582</v>
      </c>
      <c r="C18999" s="121">
        <v>2</v>
      </c>
      <c r="D18999" s="734">
        <v>101.10007757965154</v>
      </c>
      <c r="E18999" s="733"/>
    </row>
    <row r="19000" spans="2:5">
      <c r="B19000" s="121">
        <v>1583</v>
      </c>
      <c r="C19000" s="121">
        <v>1</v>
      </c>
      <c r="D19000" s="734">
        <v>5</v>
      </c>
      <c r="E19000" s="733"/>
    </row>
    <row r="19001" spans="2:5">
      <c r="B19001" s="121">
        <v>1584</v>
      </c>
      <c r="C19001" s="121">
        <v>1</v>
      </c>
      <c r="D19001" s="734">
        <v>5</v>
      </c>
      <c r="E19001" s="733"/>
    </row>
    <row r="19002" spans="2:5">
      <c r="B19002" s="121">
        <v>1585</v>
      </c>
      <c r="C19002" s="121">
        <v>1</v>
      </c>
      <c r="D19002" s="734">
        <v>5</v>
      </c>
      <c r="E19002" s="733"/>
    </row>
    <row r="19003" spans="2:5">
      <c r="B19003" s="121">
        <v>1585</v>
      </c>
      <c r="C19003" s="121">
        <v>2</v>
      </c>
      <c r="D19003" s="734">
        <v>95.220609009449902</v>
      </c>
      <c r="E19003" s="733"/>
    </row>
    <row r="19004" spans="2:5">
      <c r="B19004" s="121">
        <v>1585</v>
      </c>
      <c r="C19004" s="121">
        <v>3</v>
      </c>
      <c r="D19004" s="734">
        <v>125.26898131231272</v>
      </c>
      <c r="E19004" s="733"/>
    </row>
    <row r="19005" spans="2:5">
      <c r="B19005" s="121">
        <v>1585</v>
      </c>
      <c r="C19005" s="121">
        <v>4</v>
      </c>
      <c r="D19005" s="734">
        <v>142.36804118199856</v>
      </c>
      <c r="E19005" s="733"/>
    </row>
    <row r="19006" spans="2:5">
      <c r="B19006" s="121">
        <v>1585</v>
      </c>
      <c r="C19006" s="121">
        <v>5</v>
      </c>
      <c r="D19006" s="734">
        <v>136.17758864980561</v>
      </c>
      <c r="E19006" s="733"/>
    </row>
    <row r="19007" spans="2:5">
      <c r="B19007" s="121">
        <v>1586</v>
      </c>
      <c r="C19007" s="121">
        <v>1</v>
      </c>
      <c r="D19007" s="734">
        <v>5</v>
      </c>
      <c r="E19007" s="733"/>
    </row>
    <row r="19008" spans="2:5">
      <c r="B19008" s="121">
        <v>1587</v>
      </c>
      <c r="C19008" s="121">
        <v>1</v>
      </c>
      <c r="D19008" s="734">
        <v>5</v>
      </c>
      <c r="E19008" s="733"/>
    </row>
    <row r="19009" spans="2:5">
      <c r="B19009" s="121">
        <v>1587</v>
      </c>
      <c r="C19009" s="121">
        <v>2</v>
      </c>
      <c r="D19009" s="734">
        <v>100.02145769151069</v>
      </c>
      <c r="E19009" s="733"/>
    </row>
    <row r="19010" spans="2:5">
      <c r="B19010" s="121">
        <v>1587</v>
      </c>
      <c r="C19010" s="121">
        <v>3</v>
      </c>
      <c r="D19010" s="734">
        <v>123.86629950228516</v>
      </c>
      <c r="E19010" s="733"/>
    </row>
    <row r="19011" spans="2:5">
      <c r="B19011" s="121">
        <v>1587</v>
      </c>
      <c r="C19011" s="121">
        <v>4</v>
      </c>
      <c r="D19011" s="734">
        <v>145.79723911473002</v>
      </c>
      <c r="E19011" s="733"/>
    </row>
    <row r="19012" spans="2:5">
      <c r="B19012" s="121">
        <v>1587</v>
      </c>
      <c r="C19012" s="121">
        <v>5</v>
      </c>
      <c r="D19012" s="734">
        <v>141.35208153873432</v>
      </c>
      <c r="E19012" s="733"/>
    </row>
    <row r="19013" spans="2:5">
      <c r="B19013" s="121">
        <v>1587</v>
      </c>
      <c r="C19013" s="121">
        <v>6</v>
      </c>
      <c r="D19013" s="734">
        <v>141.28614861119544</v>
      </c>
      <c r="E19013" s="733"/>
    </row>
    <row r="19014" spans="2:5">
      <c r="B19014" s="121">
        <v>1587</v>
      </c>
      <c r="C19014" s="121">
        <v>7</v>
      </c>
      <c r="D19014" s="734">
        <v>143.42009397034806</v>
      </c>
      <c r="E19014" s="733"/>
    </row>
    <row r="19015" spans="2:5">
      <c r="B19015" s="121">
        <v>1587</v>
      </c>
      <c r="C19015" s="121">
        <v>8</v>
      </c>
      <c r="D19015" s="734">
        <v>139.42285157742185</v>
      </c>
      <c r="E19015" s="733"/>
    </row>
    <row r="19016" spans="2:5">
      <c r="B19016" s="121">
        <v>1587</v>
      </c>
      <c r="C19016" s="121">
        <v>9</v>
      </c>
      <c r="D19016" s="734">
        <v>146.83984340339779</v>
      </c>
      <c r="E19016" s="733"/>
    </row>
    <row r="19017" spans="2:5">
      <c r="B19017" s="121">
        <v>1587</v>
      </c>
      <c r="C19017" s="121">
        <v>10</v>
      </c>
      <c r="D19017" s="734">
        <v>139.3116678584785</v>
      </c>
      <c r="E19017" s="733"/>
    </row>
    <row r="19018" spans="2:5">
      <c r="B19018" s="121">
        <v>1588</v>
      </c>
      <c r="C19018" s="121">
        <v>1</v>
      </c>
      <c r="D19018" s="734">
        <v>5</v>
      </c>
      <c r="E19018" s="733"/>
    </row>
    <row r="19019" spans="2:5">
      <c r="B19019" s="121">
        <v>1588</v>
      </c>
      <c r="C19019" s="121">
        <v>2</v>
      </c>
      <c r="D19019" s="734">
        <v>102.83234702188817</v>
      </c>
      <c r="E19019" s="733"/>
    </row>
    <row r="19020" spans="2:5">
      <c r="B19020" s="121">
        <v>1588</v>
      </c>
      <c r="C19020" s="121">
        <v>3</v>
      </c>
      <c r="D19020" s="734">
        <v>119.9029093803959</v>
      </c>
      <c r="E19020" s="733"/>
    </row>
    <row r="19021" spans="2:5">
      <c r="B19021" s="121">
        <v>1589</v>
      </c>
      <c r="C19021" s="121">
        <v>1</v>
      </c>
      <c r="D19021" s="734">
        <v>5</v>
      </c>
      <c r="E19021" s="733"/>
    </row>
    <row r="19022" spans="2:5">
      <c r="B19022" s="121">
        <v>1589</v>
      </c>
      <c r="C19022" s="121">
        <v>2</v>
      </c>
      <c r="D19022" s="734">
        <v>98.522092875915732</v>
      </c>
      <c r="E19022" s="733"/>
    </row>
    <row r="19023" spans="2:5">
      <c r="B19023" s="121">
        <v>1589</v>
      </c>
      <c r="C19023" s="121">
        <v>3</v>
      </c>
      <c r="D19023" s="734">
        <v>119.70888604284315</v>
      </c>
      <c r="E19023" s="733"/>
    </row>
    <row r="19024" spans="2:5">
      <c r="B19024" s="121">
        <v>1589</v>
      </c>
      <c r="C19024" s="121">
        <v>4</v>
      </c>
      <c r="D19024" s="734">
        <v>136.1900030571573</v>
      </c>
      <c r="E19024" s="733"/>
    </row>
    <row r="19025" spans="2:5">
      <c r="B19025" s="121">
        <v>1589</v>
      </c>
      <c r="C19025" s="121">
        <v>5</v>
      </c>
      <c r="D19025" s="734">
        <v>142.73121968147282</v>
      </c>
      <c r="E19025" s="733"/>
    </row>
    <row r="19026" spans="2:5">
      <c r="B19026" s="121">
        <v>1589</v>
      </c>
      <c r="C19026" s="121">
        <v>6</v>
      </c>
      <c r="D19026" s="734">
        <v>145.67279313323334</v>
      </c>
      <c r="E19026" s="733"/>
    </row>
    <row r="19027" spans="2:5">
      <c r="B19027" s="121">
        <v>1589</v>
      </c>
      <c r="C19027" s="121">
        <v>7</v>
      </c>
      <c r="D19027" s="734">
        <v>135.78445200322565</v>
      </c>
      <c r="E19027" s="733"/>
    </row>
    <row r="19028" spans="2:5">
      <c r="B19028" s="121">
        <v>1589</v>
      </c>
      <c r="C19028" s="121">
        <v>8</v>
      </c>
      <c r="D19028" s="734">
        <v>135.266506298259</v>
      </c>
      <c r="E19028" s="733"/>
    </row>
    <row r="19029" spans="2:5">
      <c r="B19029" s="121">
        <v>1589</v>
      </c>
      <c r="C19029" s="121">
        <v>9</v>
      </c>
      <c r="D19029" s="734">
        <v>134.49956749343244</v>
      </c>
      <c r="E19029" s="733"/>
    </row>
    <row r="19030" spans="2:5">
      <c r="B19030" s="121">
        <v>1589</v>
      </c>
      <c r="C19030" s="121">
        <v>10</v>
      </c>
      <c r="D19030" s="734">
        <v>141.63497087170441</v>
      </c>
      <c r="E19030" s="733"/>
    </row>
    <row r="19031" spans="2:5">
      <c r="B19031" s="121">
        <v>1589</v>
      </c>
      <c r="C19031" s="121">
        <v>11</v>
      </c>
      <c r="D19031" s="734">
        <v>142.7222471724898</v>
      </c>
      <c r="E19031" s="733"/>
    </row>
    <row r="19032" spans="2:5">
      <c r="B19032" s="121">
        <v>1589</v>
      </c>
      <c r="C19032" s="121">
        <v>12</v>
      </c>
      <c r="D19032" s="734">
        <v>139.35596399751566</v>
      </c>
      <c r="E19032" s="733"/>
    </row>
    <row r="19033" spans="2:5">
      <c r="B19033" s="121">
        <v>1589</v>
      </c>
      <c r="C19033" s="121">
        <v>13</v>
      </c>
      <c r="D19033" s="734">
        <v>139.05659541320512</v>
      </c>
      <c r="E19033" s="733"/>
    </row>
    <row r="19034" spans="2:5">
      <c r="B19034" s="121">
        <v>1589</v>
      </c>
      <c r="C19034" s="121">
        <v>14</v>
      </c>
      <c r="D19034" s="734">
        <v>135.66037411942969</v>
      </c>
      <c r="E19034" s="733"/>
    </row>
    <row r="19035" spans="2:5">
      <c r="B19035" s="121">
        <v>1589</v>
      </c>
      <c r="C19035" s="121">
        <v>15</v>
      </c>
      <c r="D19035" s="734">
        <v>139.04606269235484</v>
      </c>
      <c r="E19035" s="733"/>
    </row>
    <row r="19036" spans="2:5">
      <c r="B19036" s="121">
        <v>1589</v>
      </c>
      <c r="C19036" s="121">
        <v>16</v>
      </c>
      <c r="D19036" s="734">
        <v>137.23757765442659</v>
      </c>
      <c r="E19036" s="733"/>
    </row>
    <row r="19037" spans="2:5">
      <c r="B19037" s="121">
        <v>1589</v>
      </c>
      <c r="C19037" s="121">
        <v>17</v>
      </c>
      <c r="D19037" s="734">
        <v>135.58800539121236</v>
      </c>
      <c r="E19037" s="733"/>
    </row>
    <row r="19038" spans="2:5">
      <c r="B19038" s="121">
        <v>1589</v>
      </c>
      <c r="C19038" s="121">
        <v>18</v>
      </c>
      <c r="D19038" s="734">
        <v>135.23249723283564</v>
      </c>
      <c r="E19038" s="733"/>
    </row>
    <row r="19039" spans="2:5">
      <c r="B19039" s="121">
        <v>1590</v>
      </c>
      <c r="C19039" s="121">
        <v>1</v>
      </c>
      <c r="D19039" s="734">
        <v>5</v>
      </c>
      <c r="E19039" s="733"/>
    </row>
    <row r="19040" spans="2:5">
      <c r="B19040" s="121">
        <v>1590</v>
      </c>
      <c r="C19040" s="121">
        <v>2</v>
      </c>
      <c r="D19040" s="734">
        <v>103.12643340353458</v>
      </c>
      <c r="E19040" s="733"/>
    </row>
    <row r="19041" spans="2:5">
      <c r="B19041" s="121">
        <v>1590</v>
      </c>
      <c r="C19041" s="121">
        <v>3</v>
      </c>
      <c r="D19041" s="734">
        <v>123.13075574918733</v>
      </c>
      <c r="E19041" s="733"/>
    </row>
    <row r="19042" spans="2:5">
      <c r="B19042" s="121">
        <v>1590</v>
      </c>
      <c r="C19042" s="121">
        <v>4</v>
      </c>
      <c r="D19042" s="734">
        <v>140.56899060687465</v>
      </c>
      <c r="E19042" s="733"/>
    </row>
    <row r="19043" spans="2:5">
      <c r="B19043" s="121">
        <v>1590</v>
      </c>
      <c r="C19043" s="121">
        <v>5</v>
      </c>
      <c r="D19043" s="734">
        <v>143.69067104696649</v>
      </c>
      <c r="E19043" s="733"/>
    </row>
    <row r="19044" spans="2:5">
      <c r="B19044" s="121">
        <v>1590</v>
      </c>
      <c r="C19044" s="121">
        <v>6</v>
      </c>
      <c r="D19044" s="734">
        <v>139.39815180082482</v>
      </c>
      <c r="E19044" s="733"/>
    </row>
    <row r="19045" spans="2:5">
      <c r="B19045" s="121">
        <v>1590</v>
      </c>
      <c r="C19045" s="121">
        <v>7</v>
      </c>
      <c r="D19045" s="734">
        <v>137.94373675517289</v>
      </c>
      <c r="E19045" s="733"/>
    </row>
    <row r="19046" spans="2:5">
      <c r="B19046" s="121">
        <v>1590</v>
      </c>
      <c r="C19046" s="121">
        <v>8</v>
      </c>
      <c r="D19046" s="734">
        <v>144.9747380144577</v>
      </c>
      <c r="E19046" s="733"/>
    </row>
    <row r="19047" spans="2:5">
      <c r="B19047" s="121">
        <v>1590</v>
      </c>
      <c r="C19047" s="121">
        <v>9</v>
      </c>
      <c r="D19047" s="734">
        <v>144.64304275249833</v>
      </c>
      <c r="E19047" s="733"/>
    </row>
    <row r="19048" spans="2:5">
      <c r="B19048" s="121">
        <v>1590</v>
      </c>
      <c r="C19048" s="121">
        <v>10</v>
      </c>
      <c r="D19048" s="734">
        <v>142.78128170231042</v>
      </c>
      <c r="E19048" s="733"/>
    </row>
    <row r="19049" spans="2:5">
      <c r="B19049" s="121">
        <v>1590</v>
      </c>
      <c r="C19049" s="121">
        <v>11</v>
      </c>
      <c r="D19049" s="734">
        <v>144.07567372258788</v>
      </c>
      <c r="E19049" s="733"/>
    </row>
    <row r="19050" spans="2:5">
      <c r="B19050" s="121">
        <v>1591</v>
      </c>
      <c r="C19050" s="121">
        <v>1</v>
      </c>
      <c r="D19050" s="734">
        <v>5</v>
      </c>
      <c r="E19050" s="733"/>
    </row>
    <row r="19051" spans="2:5">
      <c r="B19051" s="121">
        <v>1591</v>
      </c>
      <c r="C19051" s="121">
        <v>2</v>
      </c>
      <c r="D19051" s="734">
        <v>99.074459815588497</v>
      </c>
      <c r="E19051" s="733"/>
    </row>
    <row r="19052" spans="2:5">
      <c r="B19052" s="121">
        <v>1591</v>
      </c>
      <c r="C19052" s="121">
        <v>3</v>
      </c>
      <c r="D19052" s="734">
        <v>117.88606562008236</v>
      </c>
      <c r="E19052" s="733"/>
    </row>
    <row r="19053" spans="2:5">
      <c r="B19053" s="121">
        <v>1591</v>
      </c>
      <c r="C19053" s="121">
        <v>4</v>
      </c>
      <c r="D19053" s="734">
        <v>137.37825407243821</v>
      </c>
      <c r="E19053" s="733"/>
    </row>
    <row r="19054" spans="2:5">
      <c r="B19054" s="121">
        <v>1591</v>
      </c>
      <c r="C19054" s="121">
        <v>5</v>
      </c>
      <c r="D19054" s="734">
        <v>133.90622404079394</v>
      </c>
      <c r="E19054" s="733"/>
    </row>
    <row r="19055" spans="2:5">
      <c r="B19055" s="121">
        <v>1591</v>
      </c>
      <c r="C19055" s="121">
        <v>6</v>
      </c>
      <c r="D19055" s="734">
        <v>142.67604192111841</v>
      </c>
      <c r="E19055" s="733"/>
    </row>
    <row r="19056" spans="2:5">
      <c r="B19056" s="121">
        <v>1591</v>
      </c>
      <c r="C19056" s="121">
        <v>7</v>
      </c>
      <c r="D19056" s="734">
        <v>144.46604981473288</v>
      </c>
      <c r="E19056" s="733"/>
    </row>
    <row r="19057" spans="2:5">
      <c r="B19057" s="121">
        <v>1591</v>
      </c>
      <c r="C19057" s="121">
        <v>8</v>
      </c>
      <c r="D19057" s="734">
        <v>144.65997239631901</v>
      </c>
      <c r="E19057" s="733"/>
    </row>
    <row r="19058" spans="2:5">
      <c r="B19058" s="121">
        <v>1591</v>
      </c>
      <c r="C19058" s="121">
        <v>9</v>
      </c>
      <c r="D19058" s="734">
        <v>145.7276595911944</v>
      </c>
      <c r="E19058" s="733"/>
    </row>
    <row r="19059" spans="2:5">
      <c r="B19059" s="121">
        <v>1591</v>
      </c>
      <c r="C19059" s="121">
        <v>10</v>
      </c>
      <c r="D19059" s="734">
        <v>134.2371344851031</v>
      </c>
      <c r="E19059" s="733"/>
    </row>
    <row r="19060" spans="2:5">
      <c r="B19060" s="121">
        <v>1591</v>
      </c>
      <c r="C19060" s="121">
        <v>11</v>
      </c>
      <c r="D19060" s="734">
        <v>140.51655645170487</v>
      </c>
      <c r="E19060" s="733"/>
    </row>
    <row r="19061" spans="2:5">
      <c r="B19061" s="121">
        <v>1591</v>
      </c>
      <c r="C19061" s="121">
        <v>12</v>
      </c>
      <c r="D19061" s="734">
        <v>137.68929151532558</v>
      </c>
      <c r="E19061" s="733"/>
    </row>
    <row r="19062" spans="2:5">
      <c r="B19062" s="121">
        <v>1591</v>
      </c>
      <c r="C19062" s="121">
        <v>13</v>
      </c>
      <c r="D19062" s="734">
        <v>139.32394706174153</v>
      </c>
      <c r="E19062" s="733"/>
    </row>
    <row r="19063" spans="2:5">
      <c r="B19063" s="121">
        <v>1591</v>
      </c>
      <c r="C19063" s="121">
        <v>14</v>
      </c>
      <c r="D19063" s="734">
        <v>138.68814878766426</v>
      </c>
      <c r="E19063" s="733"/>
    </row>
    <row r="19064" spans="2:5">
      <c r="B19064" s="121">
        <v>1591</v>
      </c>
      <c r="C19064" s="121">
        <v>15</v>
      </c>
      <c r="D19064" s="734">
        <v>135.57229501459244</v>
      </c>
      <c r="E19064" s="733"/>
    </row>
    <row r="19065" spans="2:5">
      <c r="B19065" s="121">
        <v>1591</v>
      </c>
      <c r="C19065" s="121">
        <v>16</v>
      </c>
      <c r="D19065" s="734">
        <v>137.7848199697909</v>
      </c>
      <c r="E19065" s="733"/>
    </row>
    <row r="19066" spans="2:5">
      <c r="B19066" s="121">
        <v>1591</v>
      </c>
      <c r="C19066" s="121">
        <v>17</v>
      </c>
      <c r="D19066" s="734">
        <v>146.34746232485881</v>
      </c>
      <c r="E19066" s="733"/>
    </row>
    <row r="19067" spans="2:5">
      <c r="B19067" s="121">
        <v>1591</v>
      </c>
      <c r="C19067" s="121">
        <v>18</v>
      </c>
      <c r="D19067" s="734">
        <v>145.68883599483681</v>
      </c>
      <c r="E19067" s="733"/>
    </row>
    <row r="19068" spans="2:5">
      <c r="B19068" s="121">
        <v>1591</v>
      </c>
      <c r="C19068" s="121">
        <v>19</v>
      </c>
      <c r="D19068" s="734">
        <v>135.67446572738044</v>
      </c>
      <c r="E19068" s="733"/>
    </row>
    <row r="19069" spans="2:5">
      <c r="B19069" s="121">
        <v>1592</v>
      </c>
      <c r="C19069" s="121">
        <v>1</v>
      </c>
      <c r="D19069" s="734">
        <v>5</v>
      </c>
      <c r="E19069" s="733"/>
    </row>
    <row r="19070" spans="2:5">
      <c r="B19070" s="121">
        <v>1592</v>
      </c>
      <c r="C19070" s="121">
        <v>2</v>
      </c>
      <c r="D19070" s="734">
        <v>102.46188179797508</v>
      </c>
      <c r="E19070" s="733"/>
    </row>
    <row r="19071" spans="2:5">
      <c r="B19071" s="121">
        <v>1592</v>
      </c>
      <c r="C19071" s="121">
        <v>3</v>
      </c>
      <c r="D19071" s="734">
        <v>119.73500286595687</v>
      </c>
      <c r="E19071" s="733"/>
    </row>
    <row r="19072" spans="2:5">
      <c r="B19072" s="121">
        <v>1592</v>
      </c>
      <c r="C19072" s="121">
        <v>4</v>
      </c>
      <c r="D19072" s="734">
        <v>136.17747780143105</v>
      </c>
      <c r="E19072" s="733"/>
    </row>
    <row r="19073" spans="2:5">
      <c r="B19073" s="121">
        <v>1592</v>
      </c>
      <c r="C19073" s="121">
        <v>5</v>
      </c>
      <c r="D19073" s="734">
        <v>136.75752657425869</v>
      </c>
      <c r="E19073" s="733"/>
    </row>
    <row r="19074" spans="2:5">
      <c r="B19074" s="121">
        <v>1592</v>
      </c>
      <c r="C19074" s="121">
        <v>6</v>
      </c>
      <c r="D19074" s="734">
        <v>136.2604442538219</v>
      </c>
      <c r="E19074" s="733"/>
    </row>
    <row r="19075" spans="2:5">
      <c r="B19075" s="121">
        <v>1592</v>
      </c>
      <c r="C19075" s="121">
        <v>7</v>
      </c>
      <c r="D19075" s="734">
        <v>138.17991069124392</v>
      </c>
      <c r="E19075" s="733"/>
    </row>
    <row r="19076" spans="2:5">
      <c r="B19076" s="121">
        <v>1592</v>
      </c>
      <c r="C19076" s="121">
        <v>8</v>
      </c>
      <c r="D19076" s="734">
        <v>135.88577268481288</v>
      </c>
      <c r="E19076" s="733"/>
    </row>
    <row r="19077" spans="2:5">
      <c r="B19077" s="121">
        <v>1592</v>
      </c>
      <c r="C19077" s="121">
        <v>9</v>
      </c>
      <c r="D19077" s="734">
        <v>135.8681558380282</v>
      </c>
      <c r="E19077" s="733"/>
    </row>
    <row r="19078" spans="2:5">
      <c r="B19078" s="121">
        <v>1592</v>
      </c>
      <c r="C19078" s="121">
        <v>10</v>
      </c>
      <c r="D19078" s="734">
        <v>145.98797214682367</v>
      </c>
      <c r="E19078" s="733"/>
    </row>
    <row r="19079" spans="2:5">
      <c r="B19079" s="121">
        <v>1592</v>
      </c>
      <c r="C19079" s="121">
        <v>11</v>
      </c>
      <c r="D19079" s="734">
        <v>134.05644534836216</v>
      </c>
      <c r="E19079" s="733"/>
    </row>
    <row r="19080" spans="2:5">
      <c r="B19080" s="121">
        <v>1592</v>
      </c>
      <c r="C19080" s="121">
        <v>12</v>
      </c>
      <c r="D19080" s="734">
        <v>147.24545542396973</v>
      </c>
      <c r="E19080" s="733"/>
    </row>
    <row r="19081" spans="2:5">
      <c r="B19081" s="121">
        <v>1592</v>
      </c>
      <c r="C19081" s="121">
        <v>13</v>
      </c>
      <c r="D19081" s="734">
        <v>137.28522853818922</v>
      </c>
      <c r="E19081" s="733"/>
    </row>
    <row r="19082" spans="2:5">
      <c r="B19082" s="121">
        <v>1592</v>
      </c>
      <c r="C19082" s="121">
        <v>14</v>
      </c>
      <c r="D19082" s="734">
        <v>137.32907841248328</v>
      </c>
      <c r="E19082" s="733"/>
    </row>
    <row r="19083" spans="2:5">
      <c r="B19083" s="121">
        <v>1592</v>
      </c>
      <c r="C19083" s="121">
        <v>15</v>
      </c>
      <c r="D19083" s="734">
        <v>138.44013227109332</v>
      </c>
      <c r="E19083" s="733"/>
    </row>
    <row r="19084" spans="2:5">
      <c r="B19084" s="121">
        <v>1592</v>
      </c>
      <c r="C19084" s="121">
        <v>16</v>
      </c>
      <c r="D19084" s="734">
        <v>134.61802381684439</v>
      </c>
      <c r="E19084" s="733"/>
    </row>
    <row r="19085" spans="2:5">
      <c r="B19085" s="121">
        <v>1592</v>
      </c>
      <c r="C19085" s="121">
        <v>17</v>
      </c>
      <c r="D19085" s="734">
        <v>140.27897431591688</v>
      </c>
      <c r="E19085" s="733"/>
    </row>
    <row r="19086" spans="2:5">
      <c r="B19086" s="121">
        <v>1592</v>
      </c>
      <c r="C19086" s="121">
        <v>18</v>
      </c>
      <c r="D19086" s="734">
        <v>135.27149722196413</v>
      </c>
      <c r="E19086" s="733"/>
    </row>
    <row r="19087" spans="2:5">
      <c r="B19087" s="121">
        <v>1592</v>
      </c>
      <c r="C19087" s="121">
        <v>19</v>
      </c>
      <c r="D19087" s="734">
        <v>144.87613683795621</v>
      </c>
      <c r="E19087" s="733"/>
    </row>
    <row r="19088" spans="2:5">
      <c r="B19088" s="121">
        <v>1592</v>
      </c>
      <c r="C19088" s="121">
        <v>20</v>
      </c>
      <c r="D19088" s="734">
        <v>139.9360606419859</v>
      </c>
      <c r="E19088" s="733"/>
    </row>
    <row r="19089" spans="2:5">
      <c r="B19089" s="121">
        <v>1593</v>
      </c>
      <c r="C19089" s="121">
        <v>1</v>
      </c>
      <c r="D19089" s="734">
        <v>5</v>
      </c>
      <c r="E19089" s="733"/>
    </row>
    <row r="19090" spans="2:5">
      <c r="B19090" s="121">
        <v>1594</v>
      </c>
      <c r="C19090" s="121">
        <v>1</v>
      </c>
      <c r="D19090" s="734">
        <v>5</v>
      </c>
      <c r="E19090" s="733"/>
    </row>
    <row r="19091" spans="2:5">
      <c r="B19091" s="121">
        <v>1594</v>
      </c>
      <c r="C19091" s="121">
        <v>2</v>
      </c>
      <c r="D19091" s="734">
        <v>96.401484804487254</v>
      </c>
      <c r="E19091" s="733"/>
    </row>
    <row r="19092" spans="2:5">
      <c r="B19092" s="121">
        <v>1594</v>
      </c>
      <c r="C19092" s="121">
        <v>3</v>
      </c>
      <c r="D19092" s="734">
        <v>122.98529418753579</v>
      </c>
      <c r="E19092" s="733"/>
    </row>
    <row r="19093" spans="2:5">
      <c r="B19093" s="121">
        <v>1594</v>
      </c>
      <c r="C19093" s="121">
        <v>4</v>
      </c>
      <c r="D19093" s="734">
        <v>144.74061717009164</v>
      </c>
      <c r="E19093" s="733"/>
    </row>
    <row r="19094" spans="2:5">
      <c r="B19094" s="121">
        <v>1594</v>
      </c>
      <c r="C19094" s="121">
        <v>5</v>
      </c>
      <c r="D19094" s="734">
        <v>139.22649543883955</v>
      </c>
      <c r="E19094" s="733"/>
    </row>
    <row r="19095" spans="2:5">
      <c r="B19095" s="121">
        <v>1594</v>
      </c>
      <c r="C19095" s="121">
        <v>6</v>
      </c>
      <c r="D19095" s="734">
        <v>146.35490548856271</v>
      </c>
      <c r="E19095" s="733"/>
    </row>
    <row r="19096" spans="2:5">
      <c r="B19096" s="121">
        <v>1594</v>
      </c>
      <c r="C19096" s="121">
        <v>7</v>
      </c>
      <c r="D19096" s="734">
        <v>137.34496074540951</v>
      </c>
      <c r="E19096" s="733"/>
    </row>
    <row r="19097" spans="2:5">
      <c r="B19097" s="121">
        <v>1594</v>
      </c>
      <c r="C19097" s="121">
        <v>8</v>
      </c>
      <c r="D19097" s="734">
        <v>137.32036330569028</v>
      </c>
      <c r="E19097" s="733"/>
    </row>
    <row r="19098" spans="2:5">
      <c r="B19098" s="121">
        <v>1594</v>
      </c>
      <c r="C19098" s="121">
        <v>9</v>
      </c>
      <c r="D19098" s="734">
        <v>144.7663469012133</v>
      </c>
      <c r="E19098" s="733"/>
    </row>
    <row r="19099" spans="2:5">
      <c r="B19099" s="121">
        <v>1594</v>
      </c>
      <c r="C19099" s="121">
        <v>10</v>
      </c>
      <c r="D19099" s="734">
        <v>134.28570987312759</v>
      </c>
      <c r="E19099" s="733"/>
    </row>
    <row r="19100" spans="2:5">
      <c r="B19100" s="121">
        <v>1594</v>
      </c>
      <c r="C19100" s="121">
        <v>11</v>
      </c>
      <c r="D19100" s="734">
        <v>134.82203296064023</v>
      </c>
      <c r="E19100" s="733"/>
    </row>
    <row r="19101" spans="2:5">
      <c r="B19101" s="121">
        <v>1594</v>
      </c>
      <c r="C19101" s="121">
        <v>12</v>
      </c>
      <c r="D19101" s="734">
        <v>142.49175393754996</v>
      </c>
      <c r="E19101" s="733"/>
    </row>
    <row r="19102" spans="2:5">
      <c r="B19102" s="121">
        <v>1594</v>
      </c>
      <c r="C19102" s="121">
        <v>13</v>
      </c>
      <c r="D19102" s="734">
        <v>138.64512848494161</v>
      </c>
      <c r="E19102" s="733"/>
    </row>
    <row r="19103" spans="2:5">
      <c r="B19103" s="121">
        <v>1594</v>
      </c>
      <c r="C19103" s="121">
        <v>14</v>
      </c>
      <c r="D19103" s="734">
        <v>135.85661486140563</v>
      </c>
      <c r="E19103" s="733"/>
    </row>
    <row r="19104" spans="2:5">
      <c r="B19104" s="121">
        <v>1594</v>
      </c>
      <c r="C19104" s="121">
        <v>15</v>
      </c>
      <c r="D19104" s="734">
        <v>139.7296650326092</v>
      </c>
      <c r="E19104" s="733"/>
    </row>
    <row r="19105" spans="2:5">
      <c r="B19105" s="121">
        <v>1594</v>
      </c>
      <c r="C19105" s="121">
        <v>16</v>
      </c>
      <c r="D19105" s="734">
        <v>145.68439594454114</v>
      </c>
      <c r="E19105" s="733"/>
    </row>
    <row r="19106" spans="2:5">
      <c r="B19106" s="121">
        <v>1594</v>
      </c>
      <c r="C19106" s="121">
        <v>17</v>
      </c>
      <c r="D19106" s="734">
        <v>144.90273369262596</v>
      </c>
      <c r="E19106" s="733"/>
    </row>
    <row r="19107" spans="2:5">
      <c r="B19107" s="121">
        <v>1594</v>
      </c>
      <c r="C19107" s="121">
        <v>18</v>
      </c>
      <c r="D19107" s="734">
        <v>140.73759874156625</v>
      </c>
      <c r="E19107" s="733"/>
    </row>
    <row r="19108" spans="2:5">
      <c r="B19108" s="121">
        <v>1594</v>
      </c>
      <c r="C19108" s="121">
        <v>19</v>
      </c>
      <c r="D19108" s="734">
        <v>144.86754612663353</v>
      </c>
      <c r="E19108" s="733"/>
    </row>
    <row r="19109" spans="2:5">
      <c r="B19109" s="121">
        <v>1594</v>
      </c>
      <c r="C19109" s="121">
        <v>20</v>
      </c>
      <c r="D19109" s="734">
        <v>135.04408988203596</v>
      </c>
      <c r="E19109" s="733"/>
    </row>
    <row r="19110" spans="2:5">
      <c r="B19110" s="121">
        <v>1594</v>
      </c>
      <c r="C19110" s="121">
        <v>21</v>
      </c>
      <c r="D19110" s="734">
        <v>143.76332802276534</v>
      </c>
      <c r="E19110" s="733"/>
    </row>
    <row r="19111" spans="2:5">
      <c r="B19111" s="121">
        <v>1594</v>
      </c>
      <c r="C19111" s="121">
        <v>22</v>
      </c>
      <c r="D19111" s="734">
        <v>140.98211789464995</v>
      </c>
      <c r="E19111" s="733"/>
    </row>
    <row r="19112" spans="2:5">
      <c r="B19112" s="121">
        <v>1594</v>
      </c>
      <c r="C19112" s="121">
        <v>23</v>
      </c>
      <c r="D19112" s="734">
        <v>144.63009339030089</v>
      </c>
      <c r="E19112" s="733"/>
    </row>
    <row r="19113" spans="2:5">
      <c r="B19113" s="121">
        <v>1594</v>
      </c>
      <c r="C19113" s="121">
        <v>24</v>
      </c>
      <c r="D19113" s="734">
        <v>136.81761887518755</v>
      </c>
      <c r="E19113" s="733"/>
    </row>
    <row r="19114" spans="2:5">
      <c r="B19114" s="121">
        <v>1594</v>
      </c>
      <c r="C19114" s="121">
        <v>25</v>
      </c>
      <c r="D19114" s="734">
        <v>141.37765720694355</v>
      </c>
      <c r="E19114" s="733"/>
    </row>
    <row r="19115" spans="2:5">
      <c r="B19115" s="121">
        <v>1594</v>
      </c>
      <c r="C19115" s="121">
        <v>26</v>
      </c>
      <c r="D19115" s="734">
        <v>143.4003699098505</v>
      </c>
      <c r="E19115" s="733"/>
    </row>
    <row r="19116" spans="2:5">
      <c r="B19116" s="121">
        <v>1594</v>
      </c>
      <c r="C19116" s="121">
        <v>27</v>
      </c>
      <c r="D19116" s="734">
        <v>139.03058484756204</v>
      </c>
      <c r="E19116" s="733"/>
    </row>
    <row r="19117" spans="2:5">
      <c r="B19117" s="121">
        <v>1594</v>
      </c>
      <c r="C19117" s="121">
        <v>28</v>
      </c>
      <c r="D19117" s="734">
        <v>142.64725411977173</v>
      </c>
      <c r="E19117" s="733"/>
    </row>
    <row r="19118" spans="2:5">
      <c r="B19118" s="121">
        <v>1594</v>
      </c>
      <c r="C19118" s="121">
        <v>29</v>
      </c>
      <c r="D19118" s="734">
        <v>143.51793399689615</v>
      </c>
      <c r="E19118" s="733"/>
    </row>
    <row r="19119" spans="2:5">
      <c r="B19119" s="121">
        <v>1594</v>
      </c>
      <c r="C19119" s="121">
        <v>30</v>
      </c>
      <c r="D19119" s="734">
        <v>142.38054219740835</v>
      </c>
      <c r="E19119" s="733"/>
    </row>
    <row r="19120" spans="2:5">
      <c r="B19120" s="121">
        <v>1594</v>
      </c>
      <c r="C19120" s="121">
        <v>31</v>
      </c>
      <c r="D19120" s="734">
        <v>136.62762520646984</v>
      </c>
      <c r="E19120" s="733"/>
    </row>
    <row r="19121" spans="2:5">
      <c r="B19121" s="121">
        <v>1594</v>
      </c>
      <c r="C19121" s="121">
        <v>32</v>
      </c>
      <c r="D19121" s="734">
        <v>135.96644979301024</v>
      </c>
      <c r="E19121" s="733"/>
    </row>
    <row r="19122" spans="2:5">
      <c r="B19122" s="121">
        <v>1594</v>
      </c>
      <c r="C19122" s="121">
        <v>33</v>
      </c>
      <c r="D19122" s="734">
        <v>140.71651790474908</v>
      </c>
      <c r="E19122" s="733"/>
    </row>
    <row r="19123" spans="2:5">
      <c r="B19123" s="121">
        <v>1594</v>
      </c>
      <c r="C19123" s="121">
        <v>34</v>
      </c>
      <c r="D19123" s="734">
        <v>138.60810858990399</v>
      </c>
      <c r="E19123" s="733"/>
    </row>
    <row r="19124" spans="2:5">
      <c r="B19124" s="121">
        <v>1594</v>
      </c>
      <c r="C19124" s="121">
        <v>35</v>
      </c>
      <c r="D19124" s="734">
        <v>139.56023081601927</v>
      </c>
      <c r="E19124" s="733"/>
    </row>
    <row r="19125" spans="2:5">
      <c r="B19125" s="121">
        <v>1594</v>
      </c>
      <c r="C19125" s="121">
        <v>36</v>
      </c>
      <c r="D19125" s="734">
        <v>136.56205194753505</v>
      </c>
      <c r="E19125" s="733"/>
    </row>
    <row r="19126" spans="2:5">
      <c r="B19126" s="121">
        <v>1595</v>
      </c>
      <c r="C19126" s="121">
        <v>1</v>
      </c>
      <c r="D19126" s="734">
        <v>5</v>
      </c>
      <c r="E19126" s="733"/>
    </row>
    <row r="19127" spans="2:5">
      <c r="B19127" s="121">
        <v>1595</v>
      </c>
      <c r="C19127" s="121">
        <v>2</v>
      </c>
      <c r="D19127" s="734">
        <v>99.991984062626599</v>
      </c>
      <c r="E19127" s="733"/>
    </row>
    <row r="19128" spans="2:5">
      <c r="B19128" s="121">
        <v>1595</v>
      </c>
      <c r="C19128" s="121">
        <v>3</v>
      </c>
      <c r="D19128" s="734">
        <v>115.33194673183019</v>
      </c>
      <c r="E19128" s="733"/>
    </row>
    <row r="19129" spans="2:5">
      <c r="B19129" s="121">
        <v>1595</v>
      </c>
      <c r="C19129" s="121">
        <v>4</v>
      </c>
      <c r="D19129" s="734">
        <v>135.01909287034351</v>
      </c>
      <c r="E19129" s="733"/>
    </row>
    <row r="19130" spans="2:5">
      <c r="B19130" s="121">
        <v>1595</v>
      </c>
      <c r="C19130" s="121">
        <v>5</v>
      </c>
      <c r="D19130" s="734">
        <v>146.60744033378697</v>
      </c>
      <c r="E19130" s="733"/>
    </row>
    <row r="19131" spans="2:5">
      <c r="B19131" s="121">
        <v>1595</v>
      </c>
      <c r="C19131" s="121">
        <v>6</v>
      </c>
      <c r="D19131" s="734">
        <v>137.3921619022162</v>
      </c>
      <c r="E19131" s="733"/>
    </row>
    <row r="19132" spans="2:5">
      <c r="B19132" s="121">
        <v>1595</v>
      </c>
      <c r="C19132" s="121">
        <v>7</v>
      </c>
      <c r="D19132" s="734">
        <v>142.70847577083168</v>
      </c>
      <c r="E19132" s="733"/>
    </row>
    <row r="19133" spans="2:5">
      <c r="B19133" s="121">
        <v>1595</v>
      </c>
      <c r="C19133" s="121">
        <v>8</v>
      </c>
      <c r="D19133" s="734">
        <v>139.73359960546568</v>
      </c>
      <c r="E19133" s="733"/>
    </row>
    <row r="19134" spans="2:5">
      <c r="B19134" s="121">
        <v>1595</v>
      </c>
      <c r="C19134" s="121">
        <v>9</v>
      </c>
      <c r="D19134" s="734">
        <v>136.90018997890022</v>
      </c>
      <c r="E19134" s="733"/>
    </row>
    <row r="19135" spans="2:5">
      <c r="B19135" s="121">
        <v>1595</v>
      </c>
      <c r="C19135" s="121">
        <v>10</v>
      </c>
      <c r="D19135" s="734">
        <v>135.84961807092373</v>
      </c>
      <c r="E19135" s="733"/>
    </row>
    <row r="19136" spans="2:5">
      <c r="B19136" s="121">
        <v>1595</v>
      </c>
      <c r="C19136" s="121">
        <v>11</v>
      </c>
      <c r="D19136" s="734">
        <v>138.70872243972829</v>
      </c>
      <c r="E19136" s="733"/>
    </row>
    <row r="19137" spans="2:5">
      <c r="B19137" s="121">
        <v>1595</v>
      </c>
      <c r="C19137" s="121">
        <v>12</v>
      </c>
      <c r="D19137" s="734">
        <v>141.70707166088641</v>
      </c>
      <c r="E19137" s="733"/>
    </row>
    <row r="19138" spans="2:5">
      <c r="B19138" s="121">
        <v>1595</v>
      </c>
      <c r="C19138" s="121">
        <v>13</v>
      </c>
      <c r="D19138" s="734">
        <v>136.37851200783135</v>
      </c>
      <c r="E19138" s="733"/>
    </row>
    <row r="19139" spans="2:5">
      <c r="B19139" s="121">
        <v>1595</v>
      </c>
      <c r="C19139" s="121">
        <v>14</v>
      </c>
      <c r="D19139" s="734">
        <v>142.90353183473536</v>
      </c>
      <c r="E19139" s="733"/>
    </row>
    <row r="19140" spans="2:5">
      <c r="B19140" s="121">
        <v>1595</v>
      </c>
      <c r="C19140" s="121">
        <v>15</v>
      </c>
      <c r="D19140" s="734">
        <v>146.86839535843859</v>
      </c>
      <c r="E19140" s="733"/>
    </row>
    <row r="19141" spans="2:5">
      <c r="B19141" s="121">
        <v>1595</v>
      </c>
      <c r="C19141" s="121">
        <v>16</v>
      </c>
      <c r="D19141" s="734">
        <v>140.51921889585114</v>
      </c>
      <c r="E19141" s="733"/>
    </row>
    <row r="19142" spans="2:5">
      <c r="B19142" s="121">
        <v>1595</v>
      </c>
      <c r="C19142" s="121">
        <v>17</v>
      </c>
      <c r="D19142" s="734">
        <v>138.35445469979123</v>
      </c>
      <c r="E19142" s="733"/>
    </row>
    <row r="19143" spans="2:5">
      <c r="B19143" s="121">
        <v>1595</v>
      </c>
      <c r="C19143" s="121">
        <v>18</v>
      </c>
      <c r="D19143" s="734">
        <v>135.90264104364067</v>
      </c>
      <c r="E19143" s="733"/>
    </row>
    <row r="19144" spans="2:5">
      <c r="B19144" s="121">
        <v>1595</v>
      </c>
      <c r="C19144" s="121">
        <v>19</v>
      </c>
      <c r="D19144" s="734">
        <v>143.63161584560095</v>
      </c>
      <c r="E19144" s="733"/>
    </row>
    <row r="19145" spans="2:5">
      <c r="B19145" s="121">
        <v>1595</v>
      </c>
      <c r="C19145" s="121">
        <v>20</v>
      </c>
      <c r="D19145" s="734">
        <v>137.36033506581862</v>
      </c>
      <c r="E19145" s="733"/>
    </row>
    <row r="19146" spans="2:5">
      <c r="B19146" s="121">
        <v>1595</v>
      </c>
      <c r="C19146" s="121">
        <v>21</v>
      </c>
      <c r="D19146" s="734">
        <v>138.38883157347135</v>
      </c>
      <c r="E19146" s="733"/>
    </row>
    <row r="19147" spans="2:5">
      <c r="B19147" s="121">
        <v>1595</v>
      </c>
      <c r="C19147" s="121">
        <v>22</v>
      </c>
      <c r="D19147" s="734">
        <v>141.45949374059992</v>
      </c>
      <c r="E19147" s="733"/>
    </row>
    <row r="19148" spans="2:5">
      <c r="B19148" s="121">
        <v>1595</v>
      </c>
      <c r="C19148" s="121">
        <v>23</v>
      </c>
      <c r="D19148" s="734">
        <v>139.23186972192505</v>
      </c>
      <c r="E19148" s="733"/>
    </row>
    <row r="19149" spans="2:5">
      <c r="B19149" s="121">
        <v>1595</v>
      </c>
      <c r="C19149" s="121">
        <v>24</v>
      </c>
      <c r="D19149" s="734">
        <v>144.53127730945491</v>
      </c>
      <c r="E19149" s="733"/>
    </row>
    <row r="19150" spans="2:5">
      <c r="B19150" s="121">
        <v>1595</v>
      </c>
      <c r="C19150" s="121">
        <v>25</v>
      </c>
      <c r="D19150" s="734">
        <v>141.44376352284633</v>
      </c>
      <c r="E19150" s="733"/>
    </row>
    <row r="19151" spans="2:5">
      <c r="B19151" s="121">
        <v>1595</v>
      </c>
      <c r="C19151" s="121">
        <v>26</v>
      </c>
      <c r="D19151" s="734">
        <v>136.32221911822529</v>
      </c>
      <c r="E19151" s="733"/>
    </row>
    <row r="19152" spans="2:5">
      <c r="B19152" s="121">
        <v>1595</v>
      </c>
      <c r="C19152" s="121">
        <v>27</v>
      </c>
      <c r="D19152" s="734">
        <v>140.27528006144635</v>
      </c>
      <c r="E19152" s="733"/>
    </row>
    <row r="19153" spans="2:5">
      <c r="B19153" s="121">
        <v>1595</v>
      </c>
      <c r="C19153" s="121">
        <v>28</v>
      </c>
      <c r="D19153" s="734">
        <v>142.30271638394154</v>
      </c>
      <c r="E19153" s="733"/>
    </row>
    <row r="19154" spans="2:5">
      <c r="B19154" s="121">
        <v>1595</v>
      </c>
      <c r="C19154" s="121">
        <v>29</v>
      </c>
      <c r="D19154" s="734">
        <v>134.62837789544798</v>
      </c>
      <c r="E19154" s="733"/>
    </row>
    <row r="19155" spans="2:5">
      <c r="B19155" s="121">
        <v>1595</v>
      </c>
      <c r="C19155" s="121">
        <v>30</v>
      </c>
      <c r="D19155" s="734">
        <v>140.54881552657602</v>
      </c>
      <c r="E19155" s="733"/>
    </row>
    <row r="19156" spans="2:5">
      <c r="B19156" s="121">
        <v>1595</v>
      </c>
      <c r="C19156" s="121">
        <v>31</v>
      </c>
      <c r="D19156" s="734">
        <v>140.8571483782145</v>
      </c>
      <c r="E19156" s="733"/>
    </row>
    <row r="19157" spans="2:5">
      <c r="B19157" s="121">
        <v>1595</v>
      </c>
      <c r="C19157" s="121">
        <v>32</v>
      </c>
      <c r="D19157" s="734">
        <v>141.96578322457273</v>
      </c>
      <c r="E19157" s="733"/>
    </row>
    <row r="19158" spans="2:5">
      <c r="B19158" s="121">
        <v>1595</v>
      </c>
      <c r="C19158" s="121">
        <v>33</v>
      </c>
      <c r="D19158" s="734">
        <v>140.44078823256373</v>
      </c>
      <c r="E19158" s="733"/>
    </row>
    <row r="19159" spans="2:5">
      <c r="B19159" s="121">
        <v>1595</v>
      </c>
      <c r="C19159" s="121">
        <v>34</v>
      </c>
      <c r="D19159" s="734">
        <v>140.55078213887509</v>
      </c>
      <c r="E19159" s="733"/>
    </row>
    <row r="19160" spans="2:5">
      <c r="B19160" s="121">
        <v>1595</v>
      </c>
      <c r="C19160" s="121">
        <v>35</v>
      </c>
      <c r="D19160" s="734">
        <v>147.11334411831027</v>
      </c>
      <c r="E19160" s="733"/>
    </row>
    <row r="19161" spans="2:5">
      <c r="B19161" s="121">
        <v>1595</v>
      </c>
      <c r="C19161" s="121">
        <v>36</v>
      </c>
      <c r="D19161" s="734">
        <v>145.60303696731083</v>
      </c>
      <c r="E19161" s="733"/>
    </row>
    <row r="19162" spans="2:5">
      <c r="B19162" s="121">
        <v>1596</v>
      </c>
      <c r="C19162" s="121">
        <v>1</v>
      </c>
      <c r="D19162" s="734">
        <v>5</v>
      </c>
      <c r="E19162" s="733"/>
    </row>
    <row r="19163" spans="2:5">
      <c r="B19163" s="121">
        <v>1596</v>
      </c>
      <c r="C19163" s="121">
        <v>2</v>
      </c>
      <c r="D19163" s="734">
        <v>102.62292920052647</v>
      </c>
      <c r="E19163" s="733"/>
    </row>
    <row r="19164" spans="2:5">
      <c r="B19164" s="121">
        <v>1596</v>
      </c>
      <c r="C19164" s="121">
        <v>3</v>
      </c>
      <c r="D19164" s="734">
        <v>122.32038138761776</v>
      </c>
      <c r="E19164" s="733"/>
    </row>
    <row r="19165" spans="2:5">
      <c r="B19165" s="121">
        <v>1596</v>
      </c>
      <c r="C19165" s="121">
        <v>4</v>
      </c>
      <c r="D19165" s="734">
        <v>135.88716857435898</v>
      </c>
      <c r="E19165" s="733"/>
    </row>
    <row r="19166" spans="2:5">
      <c r="B19166" s="121">
        <v>1596</v>
      </c>
      <c r="C19166" s="121">
        <v>5</v>
      </c>
      <c r="D19166" s="734">
        <v>135.7024467469316</v>
      </c>
      <c r="E19166" s="733"/>
    </row>
    <row r="19167" spans="2:5">
      <c r="B19167" s="121">
        <v>1596</v>
      </c>
      <c r="C19167" s="121">
        <v>6</v>
      </c>
      <c r="D19167" s="734">
        <v>134.61729176864438</v>
      </c>
      <c r="E19167" s="733"/>
    </row>
    <row r="19168" spans="2:5">
      <c r="B19168" s="121">
        <v>1597</v>
      </c>
      <c r="C19168" s="121">
        <v>1</v>
      </c>
      <c r="D19168" s="734">
        <v>5</v>
      </c>
      <c r="E19168" s="733"/>
    </row>
    <row r="19169" spans="2:5">
      <c r="B19169" s="121">
        <v>1597</v>
      </c>
      <c r="C19169" s="121">
        <v>2</v>
      </c>
      <c r="D19169" s="734">
        <v>102.2779392199381</v>
      </c>
      <c r="E19169" s="733"/>
    </row>
    <row r="19170" spans="2:5">
      <c r="B19170" s="121">
        <v>1597</v>
      </c>
      <c r="C19170" s="121">
        <v>3</v>
      </c>
      <c r="D19170" s="734">
        <v>115.9511542579916</v>
      </c>
      <c r="E19170" s="733"/>
    </row>
    <row r="19171" spans="2:5">
      <c r="B19171" s="121">
        <v>1597</v>
      </c>
      <c r="C19171" s="121">
        <v>4</v>
      </c>
      <c r="D19171" s="734">
        <v>135.80067531424001</v>
      </c>
      <c r="E19171" s="733"/>
    </row>
    <row r="19172" spans="2:5">
      <c r="B19172" s="121">
        <v>1597</v>
      </c>
      <c r="C19172" s="121">
        <v>5</v>
      </c>
      <c r="D19172" s="734">
        <v>140.74445740550328</v>
      </c>
      <c r="E19172" s="733"/>
    </row>
    <row r="19173" spans="2:5">
      <c r="B19173" s="121">
        <v>1597</v>
      </c>
      <c r="C19173" s="121">
        <v>6</v>
      </c>
      <c r="D19173" s="734">
        <v>145.75485729288954</v>
      </c>
      <c r="E19173" s="733"/>
    </row>
    <row r="19174" spans="2:5">
      <c r="B19174" s="121">
        <v>1597</v>
      </c>
      <c r="C19174" s="121">
        <v>7</v>
      </c>
      <c r="D19174" s="734">
        <v>141.91829921319504</v>
      </c>
      <c r="E19174" s="733"/>
    </row>
    <row r="19175" spans="2:5">
      <c r="B19175" s="121">
        <v>1597</v>
      </c>
      <c r="C19175" s="121">
        <v>8</v>
      </c>
      <c r="D19175" s="734">
        <v>140.72895176045785</v>
      </c>
      <c r="E19175" s="733"/>
    </row>
    <row r="19176" spans="2:5">
      <c r="B19176" s="121">
        <v>1597</v>
      </c>
      <c r="C19176" s="121">
        <v>9</v>
      </c>
      <c r="D19176" s="734">
        <v>146.73288886945326</v>
      </c>
      <c r="E19176" s="733"/>
    </row>
    <row r="19177" spans="2:5">
      <c r="B19177" s="121">
        <v>1598</v>
      </c>
      <c r="C19177" s="121">
        <v>1</v>
      </c>
      <c r="D19177" s="734">
        <v>5</v>
      </c>
      <c r="E19177" s="733"/>
    </row>
    <row r="19178" spans="2:5">
      <c r="B19178" s="121">
        <v>1598</v>
      </c>
      <c r="C19178" s="121">
        <v>2</v>
      </c>
      <c r="D19178" s="734">
        <v>101.19998783284964</v>
      </c>
      <c r="E19178" s="733"/>
    </row>
    <row r="19179" spans="2:5">
      <c r="B19179" s="121">
        <v>1598</v>
      </c>
      <c r="C19179" s="121">
        <v>3</v>
      </c>
      <c r="D19179" s="734">
        <v>123.6896425803031</v>
      </c>
      <c r="E19179" s="733"/>
    </row>
    <row r="19180" spans="2:5">
      <c r="B19180" s="121">
        <v>1598</v>
      </c>
      <c r="C19180" s="121">
        <v>4</v>
      </c>
      <c r="D19180" s="734">
        <v>134.68823671881319</v>
      </c>
      <c r="E19180" s="733"/>
    </row>
    <row r="19181" spans="2:5">
      <c r="B19181" s="121">
        <v>1598</v>
      </c>
      <c r="C19181" s="121">
        <v>5</v>
      </c>
      <c r="D19181" s="734">
        <v>138.77880511569992</v>
      </c>
      <c r="E19181" s="733"/>
    </row>
    <row r="19182" spans="2:5">
      <c r="B19182" s="121">
        <v>1598</v>
      </c>
      <c r="C19182" s="121">
        <v>6</v>
      </c>
      <c r="D19182" s="734">
        <v>135.92562017116083</v>
      </c>
      <c r="E19182" s="733"/>
    </row>
    <row r="19183" spans="2:5">
      <c r="B19183" s="121">
        <v>1598</v>
      </c>
      <c r="C19183" s="121">
        <v>7</v>
      </c>
      <c r="D19183" s="734">
        <v>139.7758122179817</v>
      </c>
      <c r="E19183" s="733"/>
    </row>
    <row r="19184" spans="2:5">
      <c r="B19184" s="121">
        <v>1598</v>
      </c>
      <c r="C19184" s="121">
        <v>8</v>
      </c>
      <c r="D19184" s="734">
        <v>134.53809192510766</v>
      </c>
      <c r="E19184" s="733"/>
    </row>
    <row r="19185" spans="2:5">
      <c r="B19185" s="121">
        <v>1598</v>
      </c>
      <c r="C19185" s="121">
        <v>9</v>
      </c>
      <c r="D19185" s="734">
        <v>134.75191383781362</v>
      </c>
      <c r="E19185" s="733"/>
    </row>
    <row r="19186" spans="2:5">
      <c r="B19186" s="121">
        <v>1598</v>
      </c>
      <c r="C19186" s="121">
        <v>10</v>
      </c>
      <c r="D19186" s="734">
        <v>137.63059098498644</v>
      </c>
      <c r="E19186" s="733"/>
    </row>
    <row r="19187" spans="2:5">
      <c r="B19187" s="121">
        <v>1598</v>
      </c>
      <c r="C19187" s="121">
        <v>11</v>
      </c>
      <c r="D19187" s="734">
        <v>138.00435440524615</v>
      </c>
      <c r="E19187" s="733"/>
    </row>
    <row r="19188" spans="2:5">
      <c r="B19188" s="121">
        <v>1598</v>
      </c>
      <c r="C19188" s="121">
        <v>12</v>
      </c>
      <c r="D19188" s="734">
        <v>144.77643409342807</v>
      </c>
      <c r="E19188" s="733"/>
    </row>
    <row r="19189" spans="2:5">
      <c r="B19189" s="121">
        <v>1598</v>
      </c>
      <c r="C19189" s="121">
        <v>13</v>
      </c>
      <c r="D19189" s="734">
        <v>144.89660818509353</v>
      </c>
      <c r="E19189" s="733"/>
    </row>
    <row r="19190" spans="2:5">
      <c r="B19190" s="121">
        <v>1598</v>
      </c>
      <c r="C19190" s="121">
        <v>14</v>
      </c>
      <c r="D19190" s="734">
        <v>136.3231916303653</v>
      </c>
      <c r="E19190" s="733"/>
    </row>
    <row r="19191" spans="2:5">
      <c r="B19191" s="121">
        <v>1598</v>
      </c>
      <c r="C19191" s="121">
        <v>15</v>
      </c>
      <c r="D19191" s="734">
        <v>141.85963169112432</v>
      </c>
      <c r="E19191" s="733"/>
    </row>
    <row r="19192" spans="2:5">
      <c r="B19192" s="121">
        <v>1598</v>
      </c>
      <c r="C19192" s="121">
        <v>16</v>
      </c>
      <c r="D19192" s="734">
        <v>144.95844394922906</v>
      </c>
      <c r="E19192" s="733"/>
    </row>
    <row r="19193" spans="2:5">
      <c r="B19193" s="121">
        <v>1598</v>
      </c>
      <c r="C19193" s="121">
        <v>17</v>
      </c>
      <c r="D19193" s="734">
        <v>136.1842114430427</v>
      </c>
      <c r="E19193" s="733"/>
    </row>
    <row r="19194" spans="2:5">
      <c r="B19194" s="121">
        <v>1598</v>
      </c>
      <c r="C19194" s="121">
        <v>18</v>
      </c>
      <c r="D19194" s="734">
        <v>140.91221257080193</v>
      </c>
      <c r="E19194" s="733"/>
    </row>
    <row r="19195" spans="2:5">
      <c r="B19195" s="121">
        <v>1598</v>
      </c>
      <c r="C19195" s="121">
        <v>19</v>
      </c>
      <c r="D19195" s="734">
        <v>139.94622543617746</v>
      </c>
      <c r="E19195" s="733"/>
    </row>
    <row r="19196" spans="2:5">
      <c r="B19196" s="121">
        <v>1598</v>
      </c>
      <c r="C19196" s="121">
        <v>20</v>
      </c>
      <c r="D19196" s="734">
        <v>146.04899783440126</v>
      </c>
      <c r="E19196" s="733"/>
    </row>
    <row r="19197" spans="2:5">
      <c r="B19197" s="121">
        <v>1598</v>
      </c>
      <c r="C19197" s="121">
        <v>21</v>
      </c>
      <c r="D19197" s="734">
        <v>142.86375810646663</v>
      </c>
      <c r="E19197" s="733"/>
    </row>
    <row r="19198" spans="2:5">
      <c r="B19198" s="121">
        <v>1598</v>
      </c>
      <c r="C19198" s="121">
        <v>22</v>
      </c>
      <c r="D19198" s="734">
        <v>145.69380716505563</v>
      </c>
      <c r="E19198" s="733"/>
    </row>
    <row r="19199" spans="2:5">
      <c r="B19199" s="121">
        <v>1598</v>
      </c>
      <c r="C19199" s="121">
        <v>23</v>
      </c>
      <c r="D19199" s="734">
        <v>141.24031067352931</v>
      </c>
      <c r="E19199" s="733"/>
    </row>
    <row r="19200" spans="2:5">
      <c r="B19200" s="121">
        <v>1598</v>
      </c>
      <c r="C19200" s="121">
        <v>24</v>
      </c>
      <c r="D19200" s="734">
        <v>143.5217355445713</v>
      </c>
      <c r="E19200" s="733"/>
    </row>
    <row r="19201" spans="2:5">
      <c r="B19201" s="121">
        <v>1598</v>
      </c>
      <c r="C19201" s="121">
        <v>25</v>
      </c>
      <c r="D19201" s="734">
        <v>138.72634306648189</v>
      </c>
      <c r="E19201" s="733"/>
    </row>
    <row r="19202" spans="2:5">
      <c r="B19202" s="121">
        <v>1598</v>
      </c>
      <c r="C19202" s="121">
        <v>26</v>
      </c>
      <c r="D19202" s="734">
        <v>139.46124965910136</v>
      </c>
      <c r="E19202" s="733"/>
    </row>
    <row r="19203" spans="2:5">
      <c r="B19203" s="121">
        <v>1598</v>
      </c>
      <c r="C19203" s="121">
        <v>27</v>
      </c>
      <c r="D19203" s="734">
        <v>141.93731561518487</v>
      </c>
      <c r="E19203" s="733"/>
    </row>
    <row r="19204" spans="2:5">
      <c r="B19204" s="121">
        <v>1598</v>
      </c>
      <c r="C19204" s="121">
        <v>28</v>
      </c>
      <c r="D19204" s="734">
        <v>145.57604089237887</v>
      </c>
      <c r="E19204" s="733"/>
    </row>
    <row r="19205" spans="2:5">
      <c r="B19205" s="121">
        <v>1598</v>
      </c>
      <c r="C19205" s="121">
        <v>29</v>
      </c>
      <c r="D19205" s="734">
        <v>137.20377760822976</v>
      </c>
      <c r="E19205" s="733"/>
    </row>
    <row r="19206" spans="2:5">
      <c r="B19206" s="121">
        <v>1598</v>
      </c>
      <c r="C19206" s="121">
        <v>30</v>
      </c>
      <c r="D19206" s="734">
        <v>144.28617329635642</v>
      </c>
      <c r="E19206" s="733"/>
    </row>
    <row r="19207" spans="2:5">
      <c r="B19207" s="121">
        <v>1598</v>
      </c>
      <c r="C19207" s="121">
        <v>31</v>
      </c>
      <c r="D19207" s="734">
        <v>139.24686996899081</v>
      </c>
      <c r="E19207" s="733"/>
    </row>
    <row r="19208" spans="2:5">
      <c r="B19208" s="121">
        <v>1598</v>
      </c>
      <c r="C19208" s="121">
        <v>32</v>
      </c>
      <c r="D19208" s="734">
        <v>139.2241424248308</v>
      </c>
      <c r="E19208" s="733"/>
    </row>
    <row r="19209" spans="2:5">
      <c r="B19209" s="121">
        <v>1598</v>
      </c>
      <c r="C19209" s="121">
        <v>33</v>
      </c>
      <c r="D19209" s="734">
        <v>137.30090371725589</v>
      </c>
      <c r="E19209" s="733"/>
    </row>
    <row r="19210" spans="2:5">
      <c r="B19210" s="121">
        <v>1598</v>
      </c>
      <c r="C19210" s="121">
        <v>34</v>
      </c>
      <c r="D19210" s="734">
        <v>133.75756808423947</v>
      </c>
      <c r="E19210" s="733"/>
    </row>
    <row r="19211" spans="2:5">
      <c r="B19211" s="121">
        <v>1598</v>
      </c>
      <c r="C19211" s="121">
        <v>35</v>
      </c>
      <c r="D19211" s="734">
        <v>144.63911195665244</v>
      </c>
      <c r="E19211" s="733"/>
    </row>
    <row r="19212" spans="2:5">
      <c r="B19212" s="121">
        <v>1599</v>
      </c>
      <c r="C19212" s="121">
        <v>1</v>
      </c>
      <c r="D19212" s="734">
        <v>5</v>
      </c>
      <c r="E19212" s="733"/>
    </row>
    <row r="19213" spans="2:5">
      <c r="B19213" s="121">
        <v>1600</v>
      </c>
      <c r="C19213" s="121">
        <v>1</v>
      </c>
      <c r="D19213" s="734">
        <v>5</v>
      </c>
      <c r="E19213" s="733"/>
    </row>
    <row r="19214" spans="2:5">
      <c r="B19214" s="121">
        <v>1600</v>
      </c>
      <c r="C19214" s="121">
        <v>2</v>
      </c>
      <c r="D19214" s="734">
        <v>96.878626375116212</v>
      </c>
      <c r="E19214" s="733"/>
    </row>
    <row r="19215" spans="2:5">
      <c r="B19215" s="121">
        <v>1600</v>
      </c>
      <c r="C19215" s="121">
        <v>3</v>
      </c>
      <c r="D19215" s="734">
        <v>121.74307224677389</v>
      </c>
      <c r="E19215" s="733"/>
    </row>
    <row r="19216" spans="2:5">
      <c r="B19216" s="121">
        <v>1600</v>
      </c>
      <c r="C19216" s="121">
        <v>4</v>
      </c>
      <c r="D19216" s="734">
        <v>146.64439788194707</v>
      </c>
      <c r="E19216" s="733"/>
    </row>
    <row r="19217" spans="2:5">
      <c r="B19217" s="121">
        <v>1600</v>
      </c>
      <c r="C19217" s="121">
        <v>5</v>
      </c>
      <c r="D19217" s="734">
        <v>136.03466994889723</v>
      </c>
      <c r="E19217" s="733"/>
    </row>
    <row r="19218" spans="2:5">
      <c r="B19218" s="121">
        <v>1600</v>
      </c>
      <c r="C19218" s="121">
        <v>6</v>
      </c>
      <c r="D19218" s="734">
        <v>138.92443650153538</v>
      </c>
      <c r="E19218" s="733"/>
    </row>
    <row r="19219" spans="2:5">
      <c r="B19219" s="121">
        <v>1600</v>
      </c>
      <c r="C19219" s="121">
        <v>7</v>
      </c>
      <c r="D19219" s="734">
        <v>138.60701846367343</v>
      </c>
      <c r="E19219" s="733"/>
    </row>
    <row r="19220" spans="2:5">
      <c r="B19220" s="121">
        <v>1600</v>
      </c>
      <c r="C19220" s="121">
        <v>8</v>
      </c>
      <c r="D19220" s="734">
        <v>139.6925719355232</v>
      </c>
      <c r="E19220" s="733"/>
    </row>
    <row r="19221" spans="2:5">
      <c r="B19221" s="121">
        <v>1600</v>
      </c>
      <c r="C19221" s="121">
        <v>9</v>
      </c>
      <c r="D19221" s="734">
        <v>137.51522381453549</v>
      </c>
      <c r="E19221" s="733"/>
    </row>
    <row r="19222" spans="2:5">
      <c r="B19222" s="121">
        <v>1600</v>
      </c>
      <c r="C19222" s="121">
        <v>10</v>
      </c>
      <c r="D19222" s="734">
        <v>139.58322411296754</v>
      </c>
      <c r="E19222" s="733"/>
    </row>
    <row r="19223" spans="2:5">
      <c r="B19223" s="121">
        <v>1600</v>
      </c>
      <c r="C19223" s="121">
        <v>11</v>
      </c>
      <c r="D19223" s="734">
        <v>133.90763265691936</v>
      </c>
      <c r="E19223" s="733"/>
    </row>
    <row r="19224" spans="2:5">
      <c r="B19224" s="121">
        <v>1600</v>
      </c>
      <c r="C19224" s="121">
        <v>12</v>
      </c>
      <c r="D19224" s="734">
        <v>143.67031541989022</v>
      </c>
      <c r="E19224" s="733"/>
    </row>
    <row r="19225" spans="2:5">
      <c r="B19225" s="121">
        <v>1601</v>
      </c>
      <c r="C19225" s="121">
        <v>1</v>
      </c>
      <c r="D19225" s="734">
        <v>5</v>
      </c>
      <c r="E19225" s="733"/>
    </row>
    <row r="19226" spans="2:5">
      <c r="B19226" s="121">
        <v>1601</v>
      </c>
      <c r="C19226" s="121">
        <v>2</v>
      </c>
      <c r="D19226" s="734">
        <v>98.627618569585323</v>
      </c>
      <c r="E19226" s="733"/>
    </row>
    <row r="19227" spans="2:5">
      <c r="B19227" s="121">
        <v>1601</v>
      </c>
      <c r="C19227" s="121">
        <v>3</v>
      </c>
      <c r="D19227" s="734">
        <v>120.00412609258738</v>
      </c>
      <c r="E19227" s="733"/>
    </row>
    <row r="19228" spans="2:5">
      <c r="B19228" s="121">
        <v>1601</v>
      </c>
      <c r="C19228" s="121">
        <v>4</v>
      </c>
      <c r="D19228" s="734">
        <v>146.90160648844548</v>
      </c>
      <c r="E19228" s="733"/>
    </row>
    <row r="19229" spans="2:5">
      <c r="B19229" s="121">
        <v>1601</v>
      </c>
      <c r="C19229" s="121">
        <v>5</v>
      </c>
      <c r="D19229" s="734">
        <v>142.27470049193863</v>
      </c>
      <c r="E19229" s="733"/>
    </row>
    <row r="19230" spans="2:5">
      <c r="B19230" s="121">
        <v>1601</v>
      </c>
      <c r="C19230" s="121">
        <v>6</v>
      </c>
      <c r="D19230" s="734">
        <v>137.2724600165852</v>
      </c>
      <c r="E19230" s="733"/>
    </row>
    <row r="19231" spans="2:5">
      <c r="B19231" s="121">
        <v>1601</v>
      </c>
      <c r="C19231" s="121">
        <v>7</v>
      </c>
      <c r="D19231" s="734">
        <v>134.55621183863261</v>
      </c>
      <c r="E19231" s="733"/>
    </row>
    <row r="19232" spans="2:5">
      <c r="B19232" s="121">
        <v>1601</v>
      </c>
      <c r="C19232" s="121">
        <v>8</v>
      </c>
      <c r="D19232" s="734">
        <v>145.22005303357676</v>
      </c>
      <c r="E19232" s="733"/>
    </row>
    <row r="19233" spans="2:5">
      <c r="B19233" s="121">
        <v>1601</v>
      </c>
      <c r="C19233" s="121">
        <v>9</v>
      </c>
      <c r="D19233" s="734">
        <v>138.46544216307589</v>
      </c>
      <c r="E19233" s="733"/>
    </row>
    <row r="19234" spans="2:5">
      <c r="B19234" s="121">
        <v>1601</v>
      </c>
      <c r="C19234" s="121">
        <v>10</v>
      </c>
      <c r="D19234" s="734">
        <v>143.8773771314082</v>
      </c>
      <c r="E19234" s="733"/>
    </row>
    <row r="19235" spans="2:5">
      <c r="B19235" s="121">
        <v>1601</v>
      </c>
      <c r="C19235" s="121">
        <v>11</v>
      </c>
      <c r="D19235" s="734">
        <v>138.42224362540927</v>
      </c>
      <c r="E19235" s="733"/>
    </row>
    <row r="19236" spans="2:5">
      <c r="B19236" s="121">
        <v>1601</v>
      </c>
      <c r="C19236" s="121">
        <v>12</v>
      </c>
      <c r="D19236" s="734">
        <v>135.41541028447571</v>
      </c>
      <c r="E19236" s="733"/>
    </row>
    <row r="19237" spans="2:5">
      <c r="B19237" s="121">
        <v>1601</v>
      </c>
      <c r="C19237" s="121">
        <v>13</v>
      </c>
      <c r="D19237" s="734">
        <v>134.64067128099612</v>
      </c>
      <c r="E19237" s="733"/>
    </row>
    <row r="19238" spans="2:5">
      <c r="B19238" s="121">
        <v>1601</v>
      </c>
      <c r="C19238" s="121">
        <v>14</v>
      </c>
      <c r="D19238" s="734">
        <v>136.25462147541378</v>
      </c>
      <c r="E19238" s="733"/>
    </row>
    <row r="19239" spans="2:5">
      <c r="B19239" s="121">
        <v>1601</v>
      </c>
      <c r="C19239" s="121">
        <v>15</v>
      </c>
      <c r="D19239" s="734">
        <v>136.562898214662</v>
      </c>
      <c r="E19239" s="733"/>
    </row>
    <row r="19240" spans="2:5">
      <c r="B19240" s="121">
        <v>1601</v>
      </c>
      <c r="C19240" s="121">
        <v>16</v>
      </c>
      <c r="D19240" s="734">
        <v>144.70218092501963</v>
      </c>
      <c r="E19240" s="733"/>
    </row>
    <row r="19241" spans="2:5">
      <c r="B19241" s="121">
        <v>1601</v>
      </c>
      <c r="C19241" s="121">
        <v>17</v>
      </c>
      <c r="D19241" s="734">
        <v>140.29192596421873</v>
      </c>
      <c r="E19241" s="733"/>
    </row>
    <row r="19242" spans="2:5">
      <c r="B19242" s="121">
        <v>1601</v>
      </c>
      <c r="C19242" s="121">
        <v>18</v>
      </c>
      <c r="D19242" s="734">
        <v>136.03686611833194</v>
      </c>
      <c r="E19242" s="733"/>
    </row>
    <row r="19243" spans="2:5">
      <c r="B19243" s="121">
        <v>1601</v>
      </c>
      <c r="C19243" s="121">
        <v>19</v>
      </c>
      <c r="D19243" s="734">
        <v>136.35090045511916</v>
      </c>
      <c r="E19243" s="733"/>
    </row>
    <row r="19244" spans="2:5">
      <c r="B19244" s="121">
        <v>1601</v>
      </c>
      <c r="C19244" s="121">
        <v>20</v>
      </c>
      <c r="D19244" s="734">
        <v>134.85910747716122</v>
      </c>
      <c r="E19244" s="733"/>
    </row>
    <row r="19245" spans="2:5">
      <c r="B19245" s="121">
        <v>1601</v>
      </c>
      <c r="C19245" s="121">
        <v>21</v>
      </c>
      <c r="D19245" s="734">
        <v>139.44966783602186</v>
      </c>
      <c r="E19245" s="733"/>
    </row>
    <row r="19246" spans="2:5">
      <c r="B19246" s="121">
        <v>1601</v>
      </c>
      <c r="C19246" s="121">
        <v>22</v>
      </c>
      <c r="D19246" s="734">
        <v>139.88894982434562</v>
      </c>
      <c r="E19246" s="733"/>
    </row>
    <row r="19247" spans="2:5">
      <c r="B19247" s="121">
        <v>1601</v>
      </c>
      <c r="C19247" s="121">
        <v>23</v>
      </c>
      <c r="D19247" s="734">
        <v>146.02480026188383</v>
      </c>
      <c r="E19247" s="733"/>
    </row>
    <row r="19248" spans="2:5">
      <c r="B19248" s="121">
        <v>1601</v>
      </c>
      <c r="C19248" s="121">
        <v>24</v>
      </c>
      <c r="D19248" s="734">
        <v>139.7594164533304</v>
      </c>
      <c r="E19248" s="733"/>
    </row>
    <row r="19249" spans="2:5">
      <c r="B19249" s="121">
        <v>1601</v>
      </c>
      <c r="C19249" s="121">
        <v>25</v>
      </c>
      <c r="D19249" s="734">
        <v>137.53505746191814</v>
      </c>
      <c r="E19249" s="733"/>
    </row>
    <row r="19250" spans="2:5">
      <c r="B19250" s="121">
        <v>1601</v>
      </c>
      <c r="C19250" s="121">
        <v>26</v>
      </c>
      <c r="D19250" s="734">
        <v>134.67349905615035</v>
      </c>
      <c r="E19250" s="733"/>
    </row>
    <row r="19251" spans="2:5">
      <c r="B19251" s="121">
        <v>1601</v>
      </c>
      <c r="C19251" s="121">
        <v>27</v>
      </c>
      <c r="D19251" s="734">
        <v>135.54582008372122</v>
      </c>
      <c r="E19251" s="733"/>
    </row>
    <row r="19252" spans="2:5">
      <c r="B19252" s="121">
        <v>1601</v>
      </c>
      <c r="C19252" s="121">
        <v>28</v>
      </c>
      <c r="D19252" s="734">
        <v>139.78100295001346</v>
      </c>
      <c r="E19252" s="733"/>
    </row>
    <row r="19253" spans="2:5">
      <c r="B19253" s="121">
        <v>1601</v>
      </c>
      <c r="C19253" s="121">
        <v>29</v>
      </c>
      <c r="D19253" s="734">
        <v>135.7451591252119</v>
      </c>
      <c r="E19253" s="733"/>
    </row>
    <row r="19254" spans="2:5">
      <c r="B19254" s="121">
        <v>1601</v>
      </c>
      <c r="C19254" s="121">
        <v>30</v>
      </c>
      <c r="D19254" s="734">
        <v>138.90064708866652</v>
      </c>
      <c r="E19254" s="733"/>
    </row>
    <row r="19255" spans="2:5">
      <c r="B19255" s="121">
        <v>1601</v>
      </c>
      <c r="C19255" s="121">
        <v>31</v>
      </c>
      <c r="D19255" s="734">
        <v>145.77741986238874</v>
      </c>
      <c r="E19255" s="733"/>
    </row>
    <row r="19256" spans="2:5">
      <c r="B19256" s="121">
        <v>1601</v>
      </c>
      <c r="C19256" s="121">
        <v>32</v>
      </c>
      <c r="D19256" s="734">
        <v>139.60379946171705</v>
      </c>
      <c r="E19256" s="733"/>
    </row>
    <row r="19257" spans="2:5">
      <c r="B19257" s="121">
        <v>1601</v>
      </c>
      <c r="C19257" s="121">
        <v>33</v>
      </c>
      <c r="D19257" s="734">
        <v>138.86032612059913</v>
      </c>
      <c r="E19257" s="733"/>
    </row>
    <row r="19258" spans="2:5">
      <c r="B19258" s="121">
        <v>1601</v>
      </c>
      <c r="C19258" s="121">
        <v>34</v>
      </c>
      <c r="D19258" s="734">
        <v>141.41768897420735</v>
      </c>
      <c r="E19258" s="733"/>
    </row>
    <row r="19259" spans="2:5">
      <c r="B19259" s="121">
        <v>1601</v>
      </c>
      <c r="C19259" s="121">
        <v>35</v>
      </c>
      <c r="D19259" s="734">
        <v>141.55376446151152</v>
      </c>
      <c r="E19259" s="733"/>
    </row>
    <row r="19260" spans="2:5">
      <c r="B19260" s="121">
        <v>1601</v>
      </c>
      <c r="C19260" s="121">
        <v>36</v>
      </c>
      <c r="D19260" s="734">
        <v>137.0623087190354</v>
      </c>
      <c r="E19260" s="733"/>
    </row>
    <row r="19261" spans="2:5">
      <c r="B19261" s="121">
        <v>1602</v>
      </c>
      <c r="C19261" s="121">
        <v>1</v>
      </c>
      <c r="D19261" s="734">
        <v>5</v>
      </c>
      <c r="E19261" s="733"/>
    </row>
    <row r="19262" spans="2:5">
      <c r="B19262" s="121">
        <v>1602</v>
      </c>
      <c r="C19262" s="121">
        <v>2</v>
      </c>
      <c r="D19262" s="734">
        <v>96.821680268971008</v>
      </c>
      <c r="E19262" s="733"/>
    </row>
    <row r="19263" spans="2:5">
      <c r="B19263" s="121">
        <v>1602</v>
      </c>
      <c r="C19263" s="121">
        <v>3</v>
      </c>
      <c r="D19263" s="734">
        <v>119.08924942909613</v>
      </c>
      <c r="E19263" s="733"/>
    </row>
    <row r="19264" spans="2:5">
      <c r="B19264" s="121">
        <v>1602</v>
      </c>
      <c r="C19264" s="121">
        <v>4</v>
      </c>
      <c r="D19264" s="734">
        <v>138.48825097466593</v>
      </c>
      <c r="E19264" s="733"/>
    </row>
    <row r="19265" spans="2:5">
      <c r="B19265" s="121">
        <v>1602</v>
      </c>
      <c r="C19265" s="121">
        <v>5</v>
      </c>
      <c r="D19265" s="734">
        <v>140.38442592865752</v>
      </c>
      <c r="E19265" s="733"/>
    </row>
    <row r="19266" spans="2:5">
      <c r="B19266" s="121">
        <v>1602</v>
      </c>
      <c r="C19266" s="121">
        <v>6</v>
      </c>
      <c r="D19266" s="734">
        <v>146.30769182554491</v>
      </c>
      <c r="E19266" s="733"/>
    </row>
    <row r="19267" spans="2:5">
      <c r="B19267" s="121">
        <v>1602</v>
      </c>
      <c r="C19267" s="121">
        <v>7</v>
      </c>
      <c r="D19267" s="734">
        <v>141.29678962313093</v>
      </c>
      <c r="E19267" s="733"/>
    </row>
    <row r="19268" spans="2:5">
      <c r="B19268" s="121">
        <v>1602</v>
      </c>
      <c r="C19268" s="121">
        <v>8</v>
      </c>
      <c r="D19268" s="734">
        <v>142.28310623599765</v>
      </c>
      <c r="E19268" s="733"/>
    </row>
    <row r="19269" spans="2:5">
      <c r="B19269" s="121">
        <v>1602</v>
      </c>
      <c r="C19269" s="121">
        <v>9</v>
      </c>
      <c r="D19269" s="734">
        <v>142.82791570622553</v>
      </c>
      <c r="E19269" s="733"/>
    </row>
    <row r="19270" spans="2:5">
      <c r="B19270" s="121">
        <v>1602</v>
      </c>
      <c r="C19270" s="121">
        <v>10</v>
      </c>
      <c r="D19270" s="734">
        <v>146.89535502996645</v>
      </c>
      <c r="E19270" s="733"/>
    </row>
    <row r="19271" spans="2:5">
      <c r="B19271" s="121">
        <v>1602</v>
      </c>
      <c r="C19271" s="121">
        <v>11</v>
      </c>
      <c r="D19271" s="734">
        <v>133.75835557740587</v>
      </c>
      <c r="E19271" s="733"/>
    </row>
    <row r="19272" spans="2:5">
      <c r="B19272" s="121">
        <v>1602</v>
      </c>
      <c r="C19272" s="121">
        <v>12</v>
      </c>
      <c r="D19272" s="734">
        <v>138.48693648829459</v>
      </c>
      <c r="E19272" s="733"/>
    </row>
    <row r="19273" spans="2:5">
      <c r="B19273" s="121">
        <v>1602</v>
      </c>
      <c r="C19273" s="121">
        <v>13</v>
      </c>
      <c r="D19273" s="734">
        <v>140.63929986500673</v>
      </c>
      <c r="E19273" s="733"/>
    </row>
    <row r="19274" spans="2:5">
      <c r="B19274" s="121">
        <v>1602</v>
      </c>
      <c r="C19274" s="121">
        <v>14</v>
      </c>
      <c r="D19274" s="734">
        <v>144.91608761077399</v>
      </c>
      <c r="E19274" s="733"/>
    </row>
    <row r="19275" spans="2:5">
      <c r="B19275" s="121">
        <v>1602</v>
      </c>
      <c r="C19275" s="121">
        <v>15</v>
      </c>
      <c r="D19275" s="734">
        <v>138.18951227013076</v>
      </c>
      <c r="E19275" s="733"/>
    </row>
    <row r="19276" spans="2:5">
      <c r="B19276" s="121">
        <v>1602</v>
      </c>
      <c r="C19276" s="121">
        <v>16</v>
      </c>
      <c r="D19276" s="734">
        <v>140.75379468021211</v>
      </c>
      <c r="E19276" s="733"/>
    </row>
    <row r="19277" spans="2:5">
      <c r="B19277" s="121">
        <v>1602</v>
      </c>
      <c r="C19277" s="121">
        <v>17</v>
      </c>
      <c r="D19277" s="734">
        <v>146.91519144245015</v>
      </c>
      <c r="E19277" s="733"/>
    </row>
    <row r="19278" spans="2:5">
      <c r="B19278" s="121">
        <v>1602</v>
      </c>
      <c r="C19278" s="121">
        <v>18</v>
      </c>
      <c r="D19278" s="734">
        <v>146.34576442032761</v>
      </c>
      <c r="E19278" s="733"/>
    </row>
    <row r="19279" spans="2:5">
      <c r="B19279" s="121">
        <v>1602</v>
      </c>
      <c r="C19279" s="121">
        <v>19</v>
      </c>
      <c r="D19279" s="734">
        <v>140.53777614613767</v>
      </c>
      <c r="E19279" s="733"/>
    </row>
    <row r="19280" spans="2:5">
      <c r="B19280" s="121">
        <v>1602</v>
      </c>
      <c r="C19280" s="121">
        <v>20</v>
      </c>
      <c r="D19280" s="734">
        <v>143.73959079803447</v>
      </c>
      <c r="E19280" s="733"/>
    </row>
    <row r="19281" spans="2:5">
      <c r="B19281" s="121">
        <v>1602</v>
      </c>
      <c r="C19281" s="121">
        <v>21</v>
      </c>
      <c r="D19281" s="734">
        <v>135.51695938832924</v>
      </c>
      <c r="E19281" s="733"/>
    </row>
    <row r="19282" spans="2:5">
      <c r="B19282" s="121">
        <v>1602</v>
      </c>
      <c r="C19282" s="121">
        <v>22</v>
      </c>
      <c r="D19282" s="734">
        <v>143.74155735593337</v>
      </c>
      <c r="E19282" s="733"/>
    </row>
    <row r="19283" spans="2:5">
      <c r="B19283" s="121">
        <v>1602</v>
      </c>
      <c r="C19283" s="121">
        <v>23</v>
      </c>
      <c r="D19283" s="734">
        <v>141.61865232500608</v>
      </c>
      <c r="E19283" s="733"/>
    </row>
    <row r="19284" spans="2:5">
      <c r="B19284" s="121">
        <v>1602</v>
      </c>
      <c r="C19284" s="121">
        <v>24</v>
      </c>
      <c r="D19284" s="734">
        <v>137.66366852116232</v>
      </c>
      <c r="E19284" s="733"/>
    </row>
    <row r="19285" spans="2:5">
      <c r="B19285" s="121">
        <v>1602</v>
      </c>
      <c r="C19285" s="121">
        <v>25</v>
      </c>
      <c r="D19285" s="734">
        <v>138.32008607462856</v>
      </c>
      <c r="E19285" s="733"/>
    </row>
    <row r="19286" spans="2:5">
      <c r="B19286" s="121">
        <v>1602</v>
      </c>
      <c r="C19286" s="121">
        <v>26</v>
      </c>
      <c r="D19286" s="734">
        <v>139.68733800744016</v>
      </c>
      <c r="E19286" s="733"/>
    </row>
    <row r="19287" spans="2:5">
      <c r="B19287" s="121">
        <v>1602</v>
      </c>
      <c r="C19287" s="121">
        <v>27</v>
      </c>
      <c r="D19287" s="734">
        <v>138.4877234701911</v>
      </c>
      <c r="E19287" s="733"/>
    </row>
    <row r="19288" spans="2:5">
      <c r="B19288" s="121">
        <v>1602</v>
      </c>
      <c r="C19288" s="121">
        <v>28</v>
      </c>
      <c r="D19288" s="734">
        <v>138.99551957958758</v>
      </c>
      <c r="E19288" s="733"/>
    </row>
    <row r="19289" spans="2:5">
      <c r="B19289" s="121">
        <v>1602</v>
      </c>
      <c r="C19289" s="121">
        <v>29</v>
      </c>
      <c r="D19289" s="734">
        <v>140.29238046763865</v>
      </c>
      <c r="E19289" s="733"/>
    </row>
    <row r="19290" spans="2:5">
      <c r="B19290" s="121">
        <v>1602</v>
      </c>
      <c r="C19290" s="121">
        <v>30</v>
      </c>
      <c r="D19290" s="734">
        <v>134.96655023822919</v>
      </c>
      <c r="E19290" s="733"/>
    </row>
    <row r="19291" spans="2:5">
      <c r="B19291" s="121">
        <v>1602</v>
      </c>
      <c r="C19291" s="121">
        <v>31</v>
      </c>
      <c r="D19291" s="734">
        <v>135.45137496042716</v>
      </c>
      <c r="E19291" s="733"/>
    </row>
    <row r="19292" spans="2:5">
      <c r="B19292" s="121">
        <v>1602</v>
      </c>
      <c r="C19292" s="121">
        <v>32</v>
      </c>
      <c r="D19292" s="734">
        <v>145.92822100744871</v>
      </c>
      <c r="E19292" s="733"/>
    </row>
    <row r="19293" spans="2:5">
      <c r="B19293" s="121">
        <v>1602</v>
      </c>
      <c r="C19293" s="121">
        <v>33</v>
      </c>
      <c r="D19293" s="734">
        <v>143.78918903745219</v>
      </c>
      <c r="E19293" s="733"/>
    </row>
    <row r="19294" spans="2:5">
      <c r="B19294" s="121">
        <v>1602</v>
      </c>
      <c r="C19294" s="121">
        <v>34</v>
      </c>
      <c r="D19294" s="734">
        <v>137.79752503347694</v>
      </c>
      <c r="E19294" s="733"/>
    </row>
    <row r="19295" spans="2:5">
      <c r="B19295" s="121">
        <v>1602</v>
      </c>
      <c r="C19295" s="121">
        <v>35</v>
      </c>
      <c r="D19295" s="734">
        <v>140.43952423793226</v>
      </c>
      <c r="E19295" s="733"/>
    </row>
    <row r="19296" spans="2:5">
      <c r="B19296" s="121">
        <v>1603</v>
      </c>
      <c r="C19296" s="121">
        <v>1</v>
      </c>
      <c r="D19296" s="734">
        <v>5</v>
      </c>
      <c r="E19296" s="733"/>
    </row>
    <row r="19297" spans="2:5">
      <c r="B19297" s="121">
        <v>1604</v>
      </c>
      <c r="C19297" s="121">
        <v>1</v>
      </c>
      <c r="D19297" s="734">
        <v>5</v>
      </c>
      <c r="E19297" s="733"/>
    </row>
    <row r="19298" spans="2:5">
      <c r="B19298" s="121">
        <v>1604</v>
      </c>
      <c r="C19298" s="121">
        <v>2</v>
      </c>
      <c r="D19298" s="734">
        <v>101.15655601365405</v>
      </c>
      <c r="E19298" s="733"/>
    </row>
    <row r="19299" spans="2:5">
      <c r="B19299" s="121">
        <v>1604</v>
      </c>
      <c r="C19299" s="121">
        <v>3</v>
      </c>
      <c r="D19299" s="734">
        <v>119.28612475025564</v>
      </c>
      <c r="E19299" s="733"/>
    </row>
    <row r="19300" spans="2:5">
      <c r="B19300" s="121">
        <v>1604</v>
      </c>
      <c r="C19300" s="121">
        <v>4</v>
      </c>
      <c r="D19300" s="734">
        <v>145.84451812388144</v>
      </c>
      <c r="E19300" s="733"/>
    </row>
    <row r="19301" spans="2:5">
      <c r="B19301" s="121">
        <v>1604</v>
      </c>
      <c r="C19301" s="121">
        <v>5</v>
      </c>
      <c r="D19301" s="734">
        <v>135.43186619081314</v>
      </c>
      <c r="E19301" s="733"/>
    </row>
    <row r="19302" spans="2:5">
      <c r="B19302" s="121">
        <v>1604</v>
      </c>
      <c r="C19302" s="121">
        <v>6</v>
      </c>
      <c r="D19302" s="734">
        <v>143.74180525411498</v>
      </c>
      <c r="E19302" s="733"/>
    </row>
    <row r="19303" spans="2:5">
      <c r="B19303" s="121">
        <v>1604</v>
      </c>
      <c r="C19303" s="121">
        <v>7</v>
      </c>
      <c r="D19303" s="734">
        <v>140.82266961402365</v>
      </c>
      <c r="E19303" s="733"/>
    </row>
    <row r="19304" spans="2:5">
      <c r="B19304" s="121">
        <v>1604</v>
      </c>
      <c r="C19304" s="121">
        <v>8</v>
      </c>
      <c r="D19304" s="734">
        <v>139.80411989154558</v>
      </c>
      <c r="E19304" s="733"/>
    </row>
    <row r="19305" spans="2:5">
      <c r="B19305" s="121">
        <v>1604</v>
      </c>
      <c r="C19305" s="121">
        <v>9</v>
      </c>
      <c r="D19305" s="734">
        <v>146.05588297203238</v>
      </c>
      <c r="E19305" s="733"/>
    </row>
    <row r="19306" spans="2:5">
      <c r="B19306" s="121">
        <v>1604</v>
      </c>
      <c r="C19306" s="121">
        <v>10</v>
      </c>
      <c r="D19306" s="734">
        <v>145.74234266981722</v>
      </c>
      <c r="E19306" s="733"/>
    </row>
    <row r="19307" spans="2:5">
      <c r="B19307" s="121">
        <v>1604</v>
      </c>
      <c r="C19307" s="121">
        <v>11</v>
      </c>
      <c r="D19307" s="734">
        <v>139.94846929755167</v>
      </c>
      <c r="E19307" s="733"/>
    </row>
    <row r="19308" spans="2:5">
      <c r="B19308" s="121">
        <v>1604</v>
      </c>
      <c r="C19308" s="121">
        <v>12</v>
      </c>
      <c r="D19308" s="734">
        <v>140.77056104818533</v>
      </c>
      <c r="E19308" s="733"/>
    </row>
    <row r="19309" spans="2:5">
      <c r="B19309" s="121">
        <v>1604</v>
      </c>
      <c r="C19309" s="121">
        <v>13</v>
      </c>
      <c r="D19309" s="734">
        <v>139.98229394809871</v>
      </c>
      <c r="E19309" s="733"/>
    </row>
    <row r="19310" spans="2:5">
      <c r="B19310" s="121">
        <v>1604</v>
      </c>
      <c r="C19310" s="121">
        <v>14</v>
      </c>
      <c r="D19310" s="734">
        <v>134.47807831240868</v>
      </c>
      <c r="E19310" s="733"/>
    </row>
    <row r="19311" spans="2:5">
      <c r="B19311" s="121">
        <v>1604</v>
      </c>
      <c r="C19311" s="121">
        <v>15</v>
      </c>
      <c r="D19311" s="734">
        <v>146.80945039887197</v>
      </c>
      <c r="E19311" s="733"/>
    </row>
    <row r="19312" spans="2:5">
      <c r="B19312" s="121">
        <v>1604</v>
      </c>
      <c r="C19312" s="121">
        <v>16</v>
      </c>
      <c r="D19312" s="734">
        <v>143.70157416694641</v>
      </c>
      <c r="E19312" s="733"/>
    </row>
    <row r="19313" spans="2:5">
      <c r="B19313" s="121">
        <v>1604</v>
      </c>
      <c r="C19313" s="121">
        <v>17</v>
      </c>
      <c r="D19313" s="734">
        <v>142.41675266290963</v>
      </c>
      <c r="E19313" s="733"/>
    </row>
    <row r="19314" spans="2:5">
      <c r="B19314" s="121">
        <v>1604</v>
      </c>
      <c r="C19314" s="121">
        <v>18</v>
      </c>
      <c r="D19314" s="734">
        <v>140.80911267376447</v>
      </c>
      <c r="E19314" s="733"/>
    </row>
    <row r="19315" spans="2:5">
      <c r="B19315" s="121">
        <v>1604</v>
      </c>
      <c r="C19315" s="121">
        <v>19</v>
      </c>
      <c r="D19315" s="734">
        <v>135.98848942343906</v>
      </c>
      <c r="E19315" s="733"/>
    </row>
    <row r="19316" spans="2:5">
      <c r="B19316" s="121">
        <v>1604</v>
      </c>
      <c r="C19316" s="121">
        <v>20</v>
      </c>
      <c r="D19316" s="734">
        <v>145.23650143351065</v>
      </c>
      <c r="E19316" s="733"/>
    </row>
    <row r="19317" spans="2:5">
      <c r="B19317" s="121">
        <v>1604</v>
      </c>
      <c r="C19317" s="121">
        <v>21</v>
      </c>
      <c r="D19317" s="734">
        <v>146.56720093846022</v>
      </c>
      <c r="E19317" s="733"/>
    </row>
    <row r="19318" spans="2:5">
      <c r="B19318" s="121">
        <v>1605</v>
      </c>
      <c r="C19318" s="121">
        <v>1</v>
      </c>
      <c r="D19318" s="734">
        <v>5</v>
      </c>
      <c r="E19318" s="733"/>
    </row>
    <row r="19319" spans="2:5">
      <c r="B19319" s="121">
        <v>1605</v>
      </c>
      <c r="C19319" s="121">
        <v>2</v>
      </c>
      <c r="D19319" s="734">
        <v>102.26490167759255</v>
      </c>
      <c r="E19319" s="733"/>
    </row>
    <row r="19320" spans="2:5">
      <c r="B19320" s="121">
        <v>1605</v>
      </c>
      <c r="C19320" s="121">
        <v>3</v>
      </c>
      <c r="D19320" s="734">
        <v>120.07594103244662</v>
      </c>
      <c r="E19320" s="733"/>
    </row>
    <row r="19321" spans="2:5">
      <c r="B19321" s="121">
        <v>1605</v>
      </c>
      <c r="C19321" s="121">
        <v>4</v>
      </c>
      <c r="D19321" s="734">
        <v>145.21596881270287</v>
      </c>
      <c r="E19321" s="733"/>
    </row>
    <row r="19322" spans="2:5">
      <c r="B19322" s="121">
        <v>1605</v>
      </c>
      <c r="C19322" s="121">
        <v>5</v>
      </c>
      <c r="D19322" s="734">
        <v>138.42172519558878</v>
      </c>
      <c r="E19322" s="733"/>
    </row>
    <row r="19323" spans="2:5">
      <c r="B19323" s="121">
        <v>1605</v>
      </c>
      <c r="C19323" s="121">
        <v>6</v>
      </c>
      <c r="D19323" s="734">
        <v>146.8143964159556</v>
      </c>
      <c r="E19323" s="733"/>
    </row>
    <row r="19324" spans="2:5">
      <c r="B19324" s="121">
        <v>1605</v>
      </c>
      <c r="C19324" s="121">
        <v>7</v>
      </c>
      <c r="D19324" s="734">
        <v>144.38323789018236</v>
      </c>
      <c r="E19324" s="733"/>
    </row>
    <row r="19325" spans="2:5">
      <c r="B19325" s="121">
        <v>1606</v>
      </c>
      <c r="C19325" s="121">
        <v>1</v>
      </c>
      <c r="D19325" s="734">
        <v>5</v>
      </c>
      <c r="E19325" s="733"/>
    </row>
    <row r="19326" spans="2:5">
      <c r="B19326" s="121">
        <v>1606</v>
      </c>
      <c r="C19326" s="121">
        <v>2</v>
      </c>
      <c r="D19326" s="734">
        <v>99.626108432741432</v>
      </c>
      <c r="E19326" s="733"/>
    </row>
    <row r="19327" spans="2:5">
      <c r="B19327" s="121">
        <v>1606</v>
      </c>
      <c r="C19327" s="121">
        <v>3</v>
      </c>
      <c r="D19327" s="734">
        <v>119.86038850508389</v>
      </c>
      <c r="E19327" s="733"/>
    </row>
    <row r="19328" spans="2:5">
      <c r="B19328" s="121">
        <v>1606</v>
      </c>
      <c r="C19328" s="121">
        <v>4</v>
      </c>
      <c r="D19328" s="734">
        <v>138.93453047531807</v>
      </c>
      <c r="E19328" s="733"/>
    </row>
    <row r="19329" spans="2:5">
      <c r="B19329" s="121">
        <v>1606</v>
      </c>
      <c r="C19329" s="121">
        <v>5</v>
      </c>
      <c r="D19329" s="734">
        <v>134.39601663470265</v>
      </c>
      <c r="E19329" s="733"/>
    </row>
    <row r="19330" spans="2:5">
      <c r="B19330" s="121">
        <v>1606</v>
      </c>
      <c r="C19330" s="121">
        <v>6</v>
      </c>
      <c r="D19330" s="734">
        <v>146.26182666045383</v>
      </c>
      <c r="E19330" s="733"/>
    </row>
    <row r="19331" spans="2:5">
      <c r="B19331" s="121">
        <v>1606</v>
      </c>
      <c r="C19331" s="121">
        <v>7</v>
      </c>
      <c r="D19331" s="734">
        <v>145.21356664164387</v>
      </c>
      <c r="E19331" s="733"/>
    </row>
    <row r="19332" spans="2:5">
      <c r="B19332" s="121">
        <v>1606</v>
      </c>
      <c r="C19332" s="121">
        <v>8</v>
      </c>
      <c r="D19332" s="734">
        <v>144.40185891284682</v>
      </c>
      <c r="E19332" s="733"/>
    </row>
    <row r="19333" spans="2:5">
      <c r="B19333" s="121">
        <v>1606</v>
      </c>
      <c r="C19333" s="121">
        <v>9</v>
      </c>
      <c r="D19333" s="734">
        <v>144.09900152369957</v>
      </c>
      <c r="E19333" s="733"/>
    </row>
    <row r="19334" spans="2:5">
      <c r="B19334" s="121">
        <v>1606</v>
      </c>
      <c r="C19334" s="121">
        <v>10</v>
      </c>
      <c r="D19334" s="734">
        <v>147.02073517111748</v>
      </c>
      <c r="E19334" s="733"/>
    </row>
    <row r="19335" spans="2:5">
      <c r="B19335" s="121">
        <v>1606</v>
      </c>
      <c r="C19335" s="121">
        <v>11</v>
      </c>
      <c r="D19335" s="734">
        <v>139.74861046125611</v>
      </c>
      <c r="E19335" s="733"/>
    </row>
    <row r="19336" spans="2:5">
      <c r="B19336" s="121">
        <v>1606</v>
      </c>
      <c r="C19336" s="121">
        <v>12</v>
      </c>
      <c r="D19336" s="734">
        <v>142.58284237224649</v>
      </c>
      <c r="E19336" s="733"/>
    </row>
    <row r="19337" spans="2:5">
      <c r="B19337" s="121">
        <v>1607</v>
      </c>
      <c r="C19337" s="121">
        <v>1</v>
      </c>
      <c r="D19337" s="734">
        <v>5</v>
      </c>
      <c r="E19337" s="733"/>
    </row>
    <row r="19338" spans="2:5">
      <c r="B19338" s="121">
        <v>1608</v>
      </c>
      <c r="C19338" s="121">
        <v>1</v>
      </c>
      <c r="D19338" s="734">
        <v>5</v>
      </c>
      <c r="E19338" s="733"/>
    </row>
    <row r="19339" spans="2:5">
      <c r="B19339" s="121">
        <v>1608</v>
      </c>
      <c r="C19339" s="121">
        <v>2</v>
      </c>
      <c r="D19339" s="734">
        <v>100.64281328034306</v>
      </c>
      <c r="E19339" s="733"/>
    </row>
    <row r="19340" spans="2:5">
      <c r="B19340" s="121">
        <v>1608</v>
      </c>
      <c r="C19340" s="121">
        <v>3</v>
      </c>
      <c r="D19340" s="734">
        <v>117.54497392615865</v>
      </c>
      <c r="E19340" s="733"/>
    </row>
    <row r="19341" spans="2:5">
      <c r="B19341" s="121">
        <v>1608</v>
      </c>
      <c r="C19341" s="121">
        <v>4</v>
      </c>
      <c r="D19341" s="734">
        <v>146.59950104629624</v>
      </c>
      <c r="E19341" s="733"/>
    </row>
    <row r="19342" spans="2:5">
      <c r="B19342" s="121">
        <v>1608</v>
      </c>
      <c r="C19342" s="121">
        <v>5</v>
      </c>
      <c r="D19342" s="734">
        <v>138.75348123185128</v>
      </c>
      <c r="E19342" s="733"/>
    </row>
    <row r="19343" spans="2:5">
      <c r="B19343" s="121">
        <v>1608</v>
      </c>
      <c r="C19343" s="121">
        <v>6</v>
      </c>
      <c r="D19343" s="734">
        <v>140.51351954416654</v>
      </c>
      <c r="E19343" s="733"/>
    </row>
    <row r="19344" spans="2:5">
      <c r="B19344" s="121">
        <v>1608</v>
      </c>
      <c r="C19344" s="121">
        <v>7</v>
      </c>
      <c r="D19344" s="734">
        <v>134.8162262920475</v>
      </c>
      <c r="E19344" s="733"/>
    </row>
    <row r="19345" spans="2:5">
      <c r="B19345" s="121">
        <v>1608</v>
      </c>
      <c r="C19345" s="121">
        <v>8</v>
      </c>
      <c r="D19345" s="734">
        <v>134.87427168339713</v>
      </c>
      <c r="E19345" s="733"/>
    </row>
    <row r="19346" spans="2:5">
      <c r="B19346" s="121">
        <v>1608</v>
      </c>
      <c r="C19346" s="121">
        <v>9</v>
      </c>
      <c r="D19346" s="734">
        <v>134.56439393117199</v>
      </c>
      <c r="E19346" s="733"/>
    </row>
    <row r="19347" spans="2:5">
      <c r="B19347" s="121">
        <v>1608</v>
      </c>
      <c r="C19347" s="121">
        <v>10</v>
      </c>
      <c r="D19347" s="734">
        <v>139.83839662439976</v>
      </c>
      <c r="E19347" s="733"/>
    </row>
    <row r="19348" spans="2:5">
      <c r="B19348" s="121">
        <v>1608</v>
      </c>
      <c r="C19348" s="121">
        <v>11</v>
      </c>
      <c r="D19348" s="734">
        <v>142.22521736469</v>
      </c>
      <c r="E19348" s="733"/>
    </row>
    <row r="19349" spans="2:5">
      <c r="B19349" s="121">
        <v>1608</v>
      </c>
      <c r="C19349" s="121">
        <v>12</v>
      </c>
      <c r="D19349" s="734">
        <v>144.46144559129957</v>
      </c>
      <c r="E19349" s="733"/>
    </row>
    <row r="19350" spans="2:5">
      <c r="B19350" s="121">
        <v>1608</v>
      </c>
      <c r="C19350" s="121">
        <v>13</v>
      </c>
      <c r="D19350" s="734">
        <v>138.40525475146106</v>
      </c>
      <c r="E19350" s="733"/>
    </row>
    <row r="19351" spans="2:5">
      <c r="B19351" s="121">
        <v>1608</v>
      </c>
      <c r="C19351" s="121">
        <v>14</v>
      </c>
      <c r="D19351" s="734">
        <v>142.44322310653223</v>
      </c>
      <c r="E19351" s="733"/>
    </row>
    <row r="19352" spans="2:5">
      <c r="B19352" s="121">
        <v>1609</v>
      </c>
      <c r="C19352" s="121">
        <v>1</v>
      </c>
      <c r="D19352" s="734">
        <v>5</v>
      </c>
      <c r="E19352" s="733"/>
    </row>
    <row r="19353" spans="2:5">
      <c r="B19353" s="121">
        <v>1609</v>
      </c>
      <c r="C19353" s="121">
        <v>2</v>
      </c>
      <c r="D19353" s="734">
        <v>103.46438585321877</v>
      </c>
      <c r="E19353" s="733"/>
    </row>
    <row r="19354" spans="2:5">
      <c r="B19354" s="121">
        <v>1609</v>
      </c>
      <c r="C19354" s="121">
        <v>3</v>
      </c>
      <c r="D19354" s="734">
        <v>115.45848646550586</v>
      </c>
      <c r="E19354" s="733"/>
    </row>
    <row r="19355" spans="2:5">
      <c r="B19355" s="121">
        <v>1609</v>
      </c>
      <c r="C19355" s="121">
        <v>4</v>
      </c>
      <c r="D19355" s="734">
        <v>139.02767012127507</v>
      </c>
      <c r="E19355" s="733"/>
    </row>
    <row r="19356" spans="2:5">
      <c r="B19356" s="121">
        <v>1610</v>
      </c>
      <c r="C19356" s="121">
        <v>1</v>
      </c>
      <c r="D19356" s="734">
        <v>5</v>
      </c>
      <c r="E19356" s="733"/>
    </row>
    <row r="19357" spans="2:5">
      <c r="B19357" s="121">
        <v>1611</v>
      </c>
      <c r="C19357" s="121">
        <v>1</v>
      </c>
      <c r="D19357" s="734">
        <v>5</v>
      </c>
      <c r="E19357" s="733"/>
    </row>
    <row r="19358" spans="2:5">
      <c r="B19358" s="121">
        <v>1612</v>
      </c>
      <c r="C19358" s="121">
        <v>1</v>
      </c>
      <c r="D19358" s="734">
        <v>5</v>
      </c>
      <c r="E19358" s="733"/>
    </row>
    <row r="19359" spans="2:5">
      <c r="B19359" s="121">
        <v>1612</v>
      </c>
      <c r="C19359" s="121">
        <v>2</v>
      </c>
      <c r="D19359" s="734">
        <v>132.26054464123763</v>
      </c>
      <c r="E19359" s="733"/>
    </row>
    <row r="19360" spans="2:5">
      <c r="B19360" s="121">
        <v>1612</v>
      </c>
      <c r="C19360" s="121">
        <v>3</v>
      </c>
      <c r="D19360" s="734">
        <v>135.45098332466179</v>
      </c>
      <c r="E19360" s="733"/>
    </row>
    <row r="19361" spans="2:5">
      <c r="B19361" s="121">
        <v>1612</v>
      </c>
      <c r="C19361" s="121">
        <v>4</v>
      </c>
      <c r="D19361" s="734">
        <v>139.65870823417447</v>
      </c>
      <c r="E19361" s="733"/>
    </row>
    <row r="19362" spans="2:5">
      <c r="B19362" s="121">
        <v>1612</v>
      </c>
      <c r="C19362" s="121">
        <v>5</v>
      </c>
      <c r="D19362" s="734">
        <v>144.59812049567921</v>
      </c>
      <c r="E19362" s="733"/>
    </row>
    <row r="19363" spans="2:5">
      <c r="B19363" s="121">
        <v>1612</v>
      </c>
      <c r="C19363" s="121">
        <v>6</v>
      </c>
      <c r="D19363" s="734">
        <v>140.60593938182319</v>
      </c>
      <c r="E19363" s="733"/>
    </row>
    <row r="19364" spans="2:5">
      <c r="B19364" s="121">
        <v>1612</v>
      </c>
      <c r="C19364" s="121">
        <v>7</v>
      </c>
      <c r="D19364" s="734">
        <v>146.32024809419318</v>
      </c>
      <c r="E19364" s="733"/>
    </row>
    <row r="19365" spans="2:5">
      <c r="B19365" s="121">
        <v>1613</v>
      </c>
      <c r="C19365" s="121">
        <v>1</v>
      </c>
      <c r="D19365" s="734">
        <v>5</v>
      </c>
      <c r="E19365" s="733"/>
    </row>
    <row r="19366" spans="2:5">
      <c r="B19366" s="121">
        <v>1613</v>
      </c>
      <c r="C19366" s="121">
        <v>2</v>
      </c>
      <c r="D19366" s="734">
        <v>98.933066210777568</v>
      </c>
      <c r="E19366" s="733"/>
    </row>
    <row r="19367" spans="2:5">
      <c r="B19367" s="121">
        <v>1613</v>
      </c>
      <c r="C19367" s="121">
        <v>3</v>
      </c>
      <c r="D19367" s="734">
        <v>121.28309208367641</v>
      </c>
      <c r="E19367" s="733"/>
    </row>
    <row r="19368" spans="2:5">
      <c r="B19368" s="121">
        <v>1613</v>
      </c>
      <c r="C19368" s="121">
        <v>4</v>
      </c>
      <c r="D19368" s="734">
        <v>139.91375091111871</v>
      </c>
      <c r="E19368" s="733"/>
    </row>
    <row r="19369" spans="2:5">
      <c r="B19369" s="121">
        <v>1613</v>
      </c>
      <c r="C19369" s="121">
        <v>5</v>
      </c>
      <c r="D19369" s="734">
        <v>145.77128381234866</v>
      </c>
      <c r="E19369" s="733"/>
    </row>
    <row r="19370" spans="2:5">
      <c r="B19370" s="121">
        <v>1613</v>
      </c>
      <c r="C19370" s="121">
        <v>6</v>
      </c>
      <c r="D19370" s="734">
        <v>144.42167251118337</v>
      </c>
      <c r="E19370" s="733"/>
    </row>
    <row r="19371" spans="2:5">
      <c r="B19371" s="121">
        <v>1613</v>
      </c>
      <c r="C19371" s="121">
        <v>7</v>
      </c>
      <c r="D19371" s="734">
        <v>144.78296599784329</v>
      </c>
      <c r="E19371" s="733"/>
    </row>
    <row r="19372" spans="2:5">
      <c r="B19372" s="121">
        <v>1613</v>
      </c>
      <c r="C19372" s="121">
        <v>8</v>
      </c>
      <c r="D19372" s="734">
        <v>145.62024049303469</v>
      </c>
      <c r="E19372" s="733"/>
    </row>
    <row r="19373" spans="2:5">
      <c r="B19373" s="121">
        <v>1613</v>
      </c>
      <c r="C19373" s="121">
        <v>9</v>
      </c>
      <c r="D19373" s="734">
        <v>135.64325939139107</v>
      </c>
      <c r="E19373" s="733"/>
    </row>
    <row r="19374" spans="2:5">
      <c r="B19374" s="121">
        <v>1613</v>
      </c>
      <c r="C19374" s="121">
        <v>10</v>
      </c>
      <c r="D19374" s="734">
        <v>136.86061336020774</v>
      </c>
      <c r="E19374" s="733"/>
    </row>
    <row r="19375" spans="2:5">
      <c r="B19375" s="121">
        <v>1613</v>
      </c>
      <c r="C19375" s="121">
        <v>11</v>
      </c>
      <c r="D19375" s="734">
        <v>144.86290935206031</v>
      </c>
      <c r="E19375" s="733"/>
    </row>
    <row r="19376" spans="2:5">
      <c r="B19376" s="121">
        <v>1613</v>
      </c>
      <c r="C19376" s="121">
        <v>12</v>
      </c>
      <c r="D19376" s="734">
        <v>139.49481537775176</v>
      </c>
      <c r="E19376" s="733"/>
    </row>
    <row r="19377" spans="2:5">
      <c r="B19377" s="121">
        <v>1613</v>
      </c>
      <c r="C19377" s="121">
        <v>13</v>
      </c>
      <c r="D19377" s="734">
        <v>140.39170771452356</v>
      </c>
      <c r="E19377" s="733"/>
    </row>
    <row r="19378" spans="2:5">
      <c r="B19378" s="121">
        <v>1613</v>
      </c>
      <c r="C19378" s="121">
        <v>14</v>
      </c>
      <c r="D19378" s="734">
        <v>141.41375613474415</v>
      </c>
      <c r="E19378" s="733"/>
    </row>
    <row r="19379" spans="2:5">
      <c r="B19379" s="121">
        <v>1613</v>
      </c>
      <c r="C19379" s="121">
        <v>15</v>
      </c>
      <c r="D19379" s="734">
        <v>134.17430275510355</v>
      </c>
      <c r="E19379" s="733"/>
    </row>
    <row r="19380" spans="2:5">
      <c r="B19380" s="121">
        <v>1613</v>
      </c>
      <c r="C19380" s="121">
        <v>16</v>
      </c>
      <c r="D19380" s="734">
        <v>143.52377149428148</v>
      </c>
      <c r="E19380" s="733"/>
    </row>
    <row r="19381" spans="2:5">
      <c r="B19381" s="121">
        <v>1613</v>
      </c>
      <c r="C19381" s="121">
        <v>17</v>
      </c>
      <c r="D19381" s="734">
        <v>146.69364197452529</v>
      </c>
      <c r="E19381" s="733"/>
    </row>
    <row r="19382" spans="2:5">
      <c r="B19382" s="121">
        <v>1613</v>
      </c>
      <c r="C19382" s="121">
        <v>18</v>
      </c>
      <c r="D19382" s="734">
        <v>5.0210064564404746</v>
      </c>
      <c r="E19382" s="733"/>
    </row>
    <row r="19383" spans="2:5">
      <c r="B19383" s="121">
        <v>1613</v>
      </c>
      <c r="C19383" s="121">
        <v>19</v>
      </c>
      <c r="D19383" s="734">
        <v>101.41367095391044</v>
      </c>
      <c r="E19383" s="733"/>
    </row>
    <row r="19384" spans="2:5">
      <c r="B19384" s="121">
        <v>1613</v>
      </c>
      <c r="C19384" s="121">
        <v>20</v>
      </c>
      <c r="D19384" s="734">
        <v>118.26382558911659</v>
      </c>
      <c r="E19384" s="733"/>
    </row>
    <row r="19385" spans="2:5">
      <c r="B19385" s="121">
        <v>1613</v>
      </c>
      <c r="C19385" s="121">
        <v>21</v>
      </c>
      <c r="D19385" s="734">
        <v>5.0210064564404746</v>
      </c>
      <c r="E19385" s="733"/>
    </row>
    <row r="19386" spans="2:5">
      <c r="B19386" s="121">
        <v>1613</v>
      </c>
      <c r="C19386" s="121">
        <v>22</v>
      </c>
      <c r="D19386" s="734">
        <v>5.0210064564404746</v>
      </c>
      <c r="E19386" s="733"/>
    </row>
    <row r="19387" spans="2:5">
      <c r="B19387" s="121">
        <v>1613</v>
      </c>
      <c r="C19387" s="121">
        <v>23</v>
      </c>
      <c r="D19387" s="734">
        <v>5.0210064564404746</v>
      </c>
      <c r="E19387" s="733"/>
    </row>
    <row r="19388" spans="2:5">
      <c r="B19388" s="121">
        <v>1614</v>
      </c>
      <c r="C19388" s="121">
        <v>1</v>
      </c>
      <c r="D19388" s="734">
        <v>5</v>
      </c>
      <c r="E19388" s="733"/>
    </row>
    <row r="19389" spans="2:5">
      <c r="B19389" s="121">
        <v>1614</v>
      </c>
      <c r="C19389" s="121">
        <v>2</v>
      </c>
      <c r="D19389" s="734">
        <v>123.9066866985313</v>
      </c>
      <c r="E19389" s="733"/>
    </row>
    <row r="19390" spans="2:5">
      <c r="B19390" s="121">
        <v>1614</v>
      </c>
      <c r="C19390" s="121">
        <v>3</v>
      </c>
      <c r="D19390" s="734">
        <v>144.41197433386986</v>
      </c>
      <c r="E19390" s="733"/>
    </row>
    <row r="19391" spans="2:5">
      <c r="B19391" s="121">
        <v>1614</v>
      </c>
      <c r="C19391" s="121">
        <v>4</v>
      </c>
      <c r="D19391" s="734">
        <v>135.72835094537794</v>
      </c>
      <c r="E19391" s="733"/>
    </row>
    <row r="19392" spans="2:5">
      <c r="B19392" s="121">
        <v>1614</v>
      </c>
      <c r="C19392" s="121">
        <v>5</v>
      </c>
      <c r="D19392" s="734">
        <v>141.66971136321843</v>
      </c>
      <c r="E19392" s="733"/>
    </row>
    <row r="19393" spans="2:5">
      <c r="B19393" s="121">
        <v>1614</v>
      </c>
      <c r="C19393" s="121">
        <v>6</v>
      </c>
      <c r="D19393" s="734">
        <v>141.41688582917806</v>
      </c>
      <c r="E19393" s="733"/>
    </row>
    <row r="19394" spans="2:5">
      <c r="B19394" s="121">
        <v>1614</v>
      </c>
      <c r="C19394" s="121">
        <v>7</v>
      </c>
      <c r="D19394" s="734">
        <v>139.96040867580774</v>
      </c>
      <c r="E19394" s="733"/>
    </row>
    <row r="19395" spans="2:5">
      <c r="B19395" s="121">
        <v>1614</v>
      </c>
      <c r="C19395" s="121">
        <v>8</v>
      </c>
      <c r="D19395" s="734">
        <v>139.72960495153697</v>
      </c>
      <c r="E19395" s="733"/>
    </row>
    <row r="19396" spans="2:5">
      <c r="B19396" s="121">
        <v>1614</v>
      </c>
      <c r="C19396" s="121">
        <v>9</v>
      </c>
      <c r="D19396" s="734">
        <v>137.78825689498521</v>
      </c>
      <c r="E19396" s="733"/>
    </row>
    <row r="19397" spans="2:5">
      <c r="B19397" s="121">
        <v>1614</v>
      </c>
      <c r="C19397" s="121">
        <v>10</v>
      </c>
      <c r="D19397" s="734">
        <v>143.57339102585669</v>
      </c>
      <c r="E19397" s="733"/>
    </row>
    <row r="19398" spans="2:5">
      <c r="B19398" s="121">
        <v>1614</v>
      </c>
      <c r="C19398" s="121">
        <v>11</v>
      </c>
      <c r="D19398" s="734">
        <v>135.55509803433895</v>
      </c>
      <c r="E19398" s="733"/>
    </row>
    <row r="19399" spans="2:5">
      <c r="B19399" s="121">
        <v>1614</v>
      </c>
      <c r="C19399" s="121">
        <v>12</v>
      </c>
      <c r="D19399" s="734">
        <v>135.99020824172607</v>
      </c>
      <c r="E19399" s="733"/>
    </row>
    <row r="19400" spans="2:5">
      <c r="B19400" s="121">
        <v>1614</v>
      </c>
      <c r="C19400" s="121">
        <v>13</v>
      </c>
      <c r="D19400" s="734">
        <v>144.30516659528831</v>
      </c>
      <c r="E19400" s="733"/>
    </row>
    <row r="19401" spans="2:5">
      <c r="B19401" s="121">
        <v>1614</v>
      </c>
      <c r="C19401" s="121">
        <v>14</v>
      </c>
      <c r="D19401" s="734">
        <v>141.62691695743669</v>
      </c>
      <c r="E19401" s="733"/>
    </row>
    <row r="19402" spans="2:5">
      <c r="B19402" s="121">
        <v>1614</v>
      </c>
      <c r="C19402" s="121">
        <v>15</v>
      </c>
      <c r="D19402" s="734">
        <v>134.17904729131828</v>
      </c>
      <c r="E19402" s="733"/>
    </row>
    <row r="19403" spans="2:5">
      <c r="B19403" s="121">
        <v>1614</v>
      </c>
      <c r="C19403" s="121">
        <v>16</v>
      </c>
      <c r="D19403" s="734">
        <v>134.39262883668462</v>
      </c>
      <c r="E19403" s="733"/>
    </row>
    <row r="19404" spans="2:5">
      <c r="B19404" s="121">
        <v>1614</v>
      </c>
      <c r="C19404" s="121">
        <v>17</v>
      </c>
      <c r="D19404" s="734">
        <v>5.0210064564404746</v>
      </c>
      <c r="E19404" s="733"/>
    </row>
    <row r="19405" spans="2:5">
      <c r="B19405" s="121">
        <v>1614</v>
      </c>
      <c r="C19405" s="121">
        <v>18</v>
      </c>
      <c r="D19405" s="734">
        <v>5.0210064564404746</v>
      </c>
      <c r="E19405" s="733"/>
    </row>
    <row r="19406" spans="2:5">
      <c r="B19406" s="121">
        <v>1614</v>
      </c>
      <c r="C19406" s="121">
        <v>19</v>
      </c>
      <c r="D19406" s="734">
        <v>104.57664024441401</v>
      </c>
      <c r="E19406" s="733"/>
    </row>
    <row r="19407" spans="2:5">
      <c r="B19407" s="121">
        <v>1614</v>
      </c>
      <c r="C19407" s="121">
        <v>20</v>
      </c>
      <c r="D19407" s="734">
        <v>123.78314843270695</v>
      </c>
      <c r="E19407" s="733"/>
    </row>
    <row r="19408" spans="2:5">
      <c r="B19408" s="121">
        <v>1614</v>
      </c>
      <c r="C19408" s="121">
        <v>21</v>
      </c>
      <c r="D19408" s="734">
        <v>139.66499546528749</v>
      </c>
      <c r="E19408" s="733"/>
    </row>
    <row r="19409" spans="2:5">
      <c r="B19409" s="121">
        <v>1614</v>
      </c>
      <c r="C19409" s="121">
        <v>22</v>
      </c>
      <c r="D19409" s="734">
        <v>141.8706524907096</v>
      </c>
      <c r="E19409" s="733"/>
    </row>
    <row r="19410" spans="2:5">
      <c r="B19410" s="121">
        <v>1614</v>
      </c>
      <c r="C19410" s="121">
        <v>23</v>
      </c>
      <c r="D19410" s="734">
        <v>141.67647082055501</v>
      </c>
      <c r="E19410" s="733"/>
    </row>
    <row r="19411" spans="2:5">
      <c r="B19411" s="121">
        <v>1614</v>
      </c>
      <c r="C19411" s="121">
        <v>24</v>
      </c>
      <c r="D19411" s="734">
        <v>140.24881513512585</v>
      </c>
      <c r="E19411" s="733"/>
    </row>
    <row r="19412" spans="2:5">
      <c r="B19412" s="121">
        <v>1614</v>
      </c>
      <c r="C19412" s="121">
        <v>25</v>
      </c>
      <c r="D19412" s="734">
        <v>137.3272325796739</v>
      </c>
      <c r="E19412" s="733"/>
    </row>
    <row r="19413" spans="2:5">
      <c r="B19413" s="121">
        <v>1615</v>
      </c>
      <c r="C19413" s="121">
        <v>1</v>
      </c>
      <c r="D19413" s="734">
        <v>5</v>
      </c>
      <c r="E19413" s="733"/>
    </row>
    <row r="19414" spans="2:5">
      <c r="B19414" s="121">
        <v>1615</v>
      </c>
      <c r="C19414" s="121">
        <v>2</v>
      </c>
      <c r="D19414" s="734">
        <v>143.48440925119601</v>
      </c>
      <c r="E19414" s="733"/>
    </row>
    <row r="19415" spans="2:5">
      <c r="B19415" s="121">
        <v>1615</v>
      </c>
      <c r="C19415" s="121">
        <v>3</v>
      </c>
      <c r="D19415" s="734">
        <v>144.91092442517871</v>
      </c>
      <c r="E19415" s="733"/>
    </row>
    <row r="19416" spans="2:5">
      <c r="B19416" s="121">
        <v>1615</v>
      </c>
      <c r="C19416" s="121">
        <v>4</v>
      </c>
      <c r="D19416" s="734">
        <v>143.03266119786301</v>
      </c>
      <c r="E19416" s="733"/>
    </row>
    <row r="19417" spans="2:5">
      <c r="B19417" s="121">
        <v>1615</v>
      </c>
      <c r="C19417" s="121">
        <v>5</v>
      </c>
      <c r="D19417" s="734">
        <v>143.83825201848279</v>
      </c>
      <c r="E19417" s="733"/>
    </row>
    <row r="19418" spans="2:5">
      <c r="B19418" s="121">
        <v>1615</v>
      </c>
      <c r="C19418" s="121">
        <v>6</v>
      </c>
      <c r="D19418" s="734">
        <v>147.01457673410903</v>
      </c>
      <c r="E19418" s="733"/>
    </row>
    <row r="19419" spans="2:5">
      <c r="B19419" s="121">
        <v>1615</v>
      </c>
      <c r="C19419" s="121">
        <v>7</v>
      </c>
      <c r="D19419" s="734">
        <v>137.18299233292669</v>
      </c>
      <c r="E19419" s="733"/>
    </row>
    <row r="19420" spans="2:5">
      <c r="B19420" s="121">
        <v>1615</v>
      </c>
      <c r="C19420" s="121">
        <v>8</v>
      </c>
      <c r="D19420" s="734">
        <v>139.88962261787375</v>
      </c>
      <c r="E19420" s="733"/>
    </row>
    <row r="19421" spans="2:5">
      <c r="B19421" s="121">
        <v>1615</v>
      </c>
      <c r="C19421" s="121">
        <v>9</v>
      </c>
      <c r="D19421" s="734">
        <v>140.40622836582634</v>
      </c>
      <c r="E19421" s="733"/>
    </row>
    <row r="19422" spans="2:5">
      <c r="B19422" s="121">
        <v>1615</v>
      </c>
      <c r="C19422" s="121">
        <v>10</v>
      </c>
      <c r="D19422" s="734">
        <v>136.41783528668759</v>
      </c>
      <c r="E19422" s="733"/>
    </row>
    <row r="19423" spans="2:5">
      <c r="B19423" s="121">
        <v>1615</v>
      </c>
      <c r="C19423" s="121">
        <v>11</v>
      </c>
      <c r="D19423" s="734">
        <v>141.05760267849041</v>
      </c>
      <c r="E19423" s="733"/>
    </row>
    <row r="19424" spans="2:5">
      <c r="B19424" s="121">
        <v>1615</v>
      </c>
      <c r="C19424" s="121">
        <v>12</v>
      </c>
      <c r="D19424" s="734">
        <v>146.6276736765426</v>
      </c>
      <c r="E19424" s="733"/>
    </row>
    <row r="19425" spans="2:5">
      <c r="B19425" s="121">
        <v>1615</v>
      </c>
      <c r="C19425" s="121">
        <v>13</v>
      </c>
      <c r="D19425" s="734">
        <v>138.69725958167228</v>
      </c>
      <c r="E19425" s="733"/>
    </row>
    <row r="19426" spans="2:5">
      <c r="B19426" s="121">
        <v>1615</v>
      </c>
      <c r="C19426" s="121">
        <v>14</v>
      </c>
      <c r="D19426" s="734">
        <v>134.18884728603382</v>
      </c>
      <c r="E19426" s="733"/>
    </row>
    <row r="19427" spans="2:5">
      <c r="B19427" s="121">
        <v>1615</v>
      </c>
      <c r="C19427" s="121">
        <v>15</v>
      </c>
      <c r="D19427" s="734">
        <v>135.17688941519231</v>
      </c>
      <c r="E19427" s="733"/>
    </row>
    <row r="19428" spans="2:5">
      <c r="B19428" s="121">
        <v>1615</v>
      </c>
      <c r="C19428" s="121">
        <v>16</v>
      </c>
      <c r="D19428" s="734">
        <v>141.55284538185242</v>
      </c>
      <c r="E19428" s="733"/>
    </row>
    <row r="19429" spans="2:5">
      <c r="B19429" s="121">
        <v>1616</v>
      </c>
      <c r="C19429" s="121">
        <v>1</v>
      </c>
      <c r="D19429" s="734">
        <v>5</v>
      </c>
      <c r="E19429" s="733"/>
    </row>
    <row r="19430" spans="2:5">
      <c r="B19430" s="121">
        <v>1616</v>
      </c>
      <c r="C19430" s="121">
        <v>2</v>
      </c>
      <c r="D19430" s="734">
        <v>143.79201870128855</v>
      </c>
      <c r="E19430" s="733"/>
    </row>
    <row r="19431" spans="2:5">
      <c r="B19431" s="121">
        <v>1617</v>
      </c>
      <c r="C19431" s="121">
        <v>1</v>
      </c>
      <c r="D19431" s="734">
        <v>5</v>
      </c>
      <c r="E19431" s="733"/>
    </row>
    <row r="19432" spans="2:5">
      <c r="B19432" s="121">
        <v>1617</v>
      </c>
      <c r="C19432" s="121">
        <v>2</v>
      </c>
      <c r="D19432" s="734">
        <v>136.90044192337484</v>
      </c>
      <c r="E19432" s="733"/>
    </row>
    <row r="19433" spans="2:5">
      <c r="B19433" s="121">
        <v>1617</v>
      </c>
      <c r="C19433" s="121">
        <v>3</v>
      </c>
      <c r="D19433" s="734">
        <v>139.69077114323665</v>
      </c>
      <c r="E19433" s="733"/>
    </row>
    <row r="19434" spans="2:5">
      <c r="B19434" s="121">
        <v>1617</v>
      </c>
      <c r="C19434" s="121">
        <v>4</v>
      </c>
      <c r="D19434" s="734">
        <v>142.60998423811941</v>
      </c>
      <c r="E19434" s="733"/>
    </row>
    <row r="19435" spans="2:5">
      <c r="B19435" s="121">
        <v>1617</v>
      </c>
      <c r="C19435" s="121">
        <v>5</v>
      </c>
      <c r="D19435" s="734">
        <v>143.19974624946778</v>
      </c>
      <c r="E19435" s="733"/>
    </row>
    <row r="19436" spans="2:5">
      <c r="B19436" s="121">
        <v>1617</v>
      </c>
      <c r="C19436" s="121">
        <v>6</v>
      </c>
      <c r="D19436" s="734">
        <v>138.83486613878091</v>
      </c>
      <c r="E19436" s="733"/>
    </row>
    <row r="19437" spans="2:5">
      <c r="B19437" s="121">
        <v>1617</v>
      </c>
      <c r="C19437" s="121">
        <v>7</v>
      </c>
      <c r="D19437" s="734">
        <v>135.83287999038853</v>
      </c>
      <c r="E19437" s="733"/>
    </row>
    <row r="19438" spans="2:5">
      <c r="B19438" s="121">
        <v>1618</v>
      </c>
      <c r="C19438" s="121">
        <v>1</v>
      </c>
      <c r="D19438" s="734">
        <v>5</v>
      </c>
      <c r="E19438" s="733"/>
    </row>
    <row r="19439" spans="2:5">
      <c r="B19439" s="121">
        <v>1618</v>
      </c>
      <c r="C19439" s="121">
        <v>2</v>
      </c>
      <c r="D19439" s="734">
        <v>143.42631896081232</v>
      </c>
      <c r="E19439" s="733"/>
    </row>
    <row r="19440" spans="2:5">
      <c r="B19440" s="121">
        <v>1618</v>
      </c>
      <c r="C19440" s="121">
        <v>3</v>
      </c>
      <c r="D19440" s="734">
        <v>146.08845409463424</v>
      </c>
      <c r="E19440" s="733"/>
    </row>
    <row r="19441" spans="2:5">
      <c r="B19441" s="121">
        <v>1618</v>
      </c>
      <c r="C19441" s="121">
        <v>4</v>
      </c>
      <c r="D19441" s="734">
        <v>5.0210064564404746</v>
      </c>
      <c r="E19441" s="733"/>
    </row>
    <row r="19442" spans="2:5">
      <c r="B19442" s="121">
        <v>1618</v>
      </c>
      <c r="C19442" s="121">
        <v>5</v>
      </c>
      <c r="D19442" s="734">
        <v>98.727469451459228</v>
      </c>
      <c r="E19442" s="733"/>
    </row>
    <row r="19443" spans="2:5">
      <c r="B19443" s="121">
        <v>1618</v>
      </c>
      <c r="C19443" s="121">
        <v>6</v>
      </c>
      <c r="D19443" s="734">
        <v>118.80494912220594</v>
      </c>
      <c r="E19443" s="733"/>
    </row>
    <row r="19444" spans="2:5">
      <c r="B19444" s="121">
        <v>1618</v>
      </c>
      <c r="C19444" s="121">
        <v>7</v>
      </c>
      <c r="D19444" s="734">
        <v>139.76815157551238</v>
      </c>
      <c r="E19444" s="733"/>
    </row>
    <row r="19445" spans="2:5">
      <c r="B19445" s="121">
        <v>1618</v>
      </c>
      <c r="C19445" s="121">
        <v>8</v>
      </c>
      <c r="D19445" s="734">
        <v>138.55865219343139</v>
      </c>
      <c r="E19445" s="733"/>
    </row>
    <row r="19446" spans="2:5">
      <c r="B19446" s="121">
        <v>1618</v>
      </c>
      <c r="C19446" s="121">
        <v>9</v>
      </c>
      <c r="D19446" s="734">
        <v>136.7460533749649</v>
      </c>
      <c r="E19446" s="733"/>
    </row>
    <row r="19447" spans="2:5">
      <c r="B19447" s="121">
        <v>1618</v>
      </c>
      <c r="C19447" s="121">
        <v>10</v>
      </c>
      <c r="D19447" s="734">
        <v>143.02884983766521</v>
      </c>
      <c r="E19447" s="733"/>
    </row>
    <row r="19448" spans="2:5">
      <c r="B19448" s="121">
        <v>1618</v>
      </c>
      <c r="C19448" s="121">
        <v>11</v>
      </c>
      <c r="D19448" s="734">
        <v>141.74453984286168</v>
      </c>
      <c r="E19448" s="733"/>
    </row>
    <row r="19449" spans="2:5">
      <c r="B19449" s="121">
        <v>1618</v>
      </c>
      <c r="C19449" s="121">
        <v>12</v>
      </c>
      <c r="D19449" s="734">
        <v>145.74424596201098</v>
      </c>
      <c r="E19449" s="733"/>
    </row>
    <row r="19450" spans="2:5">
      <c r="B19450" s="121">
        <v>1619</v>
      </c>
      <c r="C19450" s="121">
        <v>1</v>
      </c>
      <c r="D19450" s="734">
        <v>5</v>
      </c>
      <c r="E19450" s="733"/>
    </row>
    <row r="19451" spans="2:5">
      <c r="B19451" s="121">
        <v>1619</v>
      </c>
      <c r="C19451" s="121">
        <v>2</v>
      </c>
      <c r="D19451" s="734">
        <v>140.85163575753049</v>
      </c>
      <c r="E19451" s="733"/>
    </row>
    <row r="19452" spans="2:5">
      <c r="B19452" s="121">
        <v>1620</v>
      </c>
      <c r="C19452" s="121">
        <v>1</v>
      </c>
      <c r="D19452" s="734">
        <v>5</v>
      </c>
      <c r="E19452" s="733"/>
    </row>
    <row r="19453" spans="2:5">
      <c r="B19453" s="121">
        <v>1621</v>
      </c>
      <c r="C19453" s="121">
        <v>1</v>
      </c>
      <c r="D19453" s="734">
        <v>5</v>
      </c>
      <c r="E19453" s="733"/>
    </row>
    <row r="19454" spans="2:5">
      <c r="B19454" s="121">
        <v>1621</v>
      </c>
      <c r="C19454" s="121">
        <v>2</v>
      </c>
      <c r="D19454" s="734">
        <v>134.32720946056088</v>
      </c>
      <c r="E19454" s="733"/>
    </row>
    <row r="19455" spans="2:5">
      <c r="B19455" s="121">
        <v>1621</v>
      </c>
      <c r="C19455" s="121">
        <v>3</v>
      </c>
      <c r="D19455" s="734">
        <v>137.53712474502456</v>
      </c>
      <c r="E19455" s="733"/>
    </row>
    <row r="19456" spans="2:5">
      <c r="B19456" s="121">
        <v>1622</v>
      </c>
      <c r="C19456" s="121">
        <v>1</v>
      </c>
      <c r="D19456" s="734">
        <v>5</v>
      </c>
      <c r="E19456" s="733"/>
    </row>
    <row r="19457" spans="2:5">
      <c r="B19457" s="121">
        <v>1622</v>
      </c>
      <c r="C19457" s="121">
        <v>2</v>
      </c>
      <c r="D19457" s="734">
        <v>4.9446202531645573</v>
      </c>
      <c r="E19457" s="733"/>
    </row>
    <row r="19458" spans="2:5">
      <c r="B19458" s="121">
        <v>1622</v>
      </c>
      <c r="C19458" s="121">
        <v>3</v>
      </c>
      <c r="D19458" s="734">
        <v>96.194190002765282</v>
      </c>
      <c r="E19458" s="733"/>
    </row>
    <row r="19459" spans="2:5">
      <c r="B19459" s="121">
        <v>1622</v>
      </c>
      <c r="C19459" s="121">
        <v>4</v>
      </c>
      <c r="D19459" s="734">
        <v>115.30979279620755</v>
      </c>
      <c r="E19459" s="733"/>
    </row>
    <row r="19460" spans="2:5">
      <c r="B19460" s="121">
        <v>1622</v>
      </c>
      <c r="C19460" s="121">
        <v>5</v>
      </c>
      <c r="D19460" s="734">
        <v>138.76806871253663</v>
      </c>
      <c r="E19460" s="733"/>
    </row>
    <row r="19461" spans="2:5">
      <c r="B19461" s="121">
        <v>1622</v>
      </c>
      <c r="C19461" s="121">
        <v>6</v>
      </c>
      <c r="D19461" s="734">
        <v>138.36082427396047</v>
      </c>
      <c r="E19461" s="733"/>
    </row>
    <row r="19462" spans="2:5">
      <c r="B19462" s="121">
        <v>1622</v>
      </c>
      <c r="C19462" s="121">
        <v>7</v>
      </c>
      <c r="D19462" s="734">
        <v>140.90087418602971</v>
      </c>
      <c r="E19462" s="733"/>
    </row>
    <row r="19463" spans="2:5">
      <c r="B19463" s="121">
        <v>1622</v>
      </c>
      <c r="C19463" s="121">
        <v>8</v>
      </c>
      <c r="D19463" s="734">
        <v>144.94186456740388</v>
      </c>
      <c r="E19463" s="733"/>
    </row>
    <row r="19464" spans="2:5">
      <c r="B19464" s="121">
        <v>1622</v>
      </c>
      <c r="C19464" s="121">
        <v>9</v>
      </c>
      <c r="D19464" s="734">
        <v>136.0133009503291</v>
      </c>
      <c r="E19464" s="733"/>
    </row>
    <row r="19465" spans="2:5">
      <c r="B19465" s="121">
        <v>1622</v>
      </c>
      <c r="C19465" s="121">
        <v>10</v>
      </c>
      <c r="D19465" s="734">
        <v>143.03239574474705</v>
      </c>
      <c r="E19465" s="733"/>
    </row>
    <row r="19466" spans="2:5">
      <c r="B19466" s="121">
        <v>1622</v>
      </c>
      <c r="C19466" s="121">
        <v>11</v>
      </c>
      <c r="D19466" s="734">
        <v>146.7773577606838</v>
      </c>
      <c r="E19466" s="733"/>
    </row>
    <row r="19467" spans="2:5">
      <c r="B19467" s="121">
        <v>1622</v>
      </c>
      <c r="C19467" s="121">
        <v>12</v>
      </c>
      <c r="D19467" s="734">
        <v>145.80910589836122</v>
      </c>
      <c r="E19467" s="733"/>
    </row>
    <row r="19468" spans="2:5">
      <c r="B19468" s="121">
        <v>1622</v>
      </c>
      <c r="C19468" s="121">
        <v>13</v>
      </c>
      <c r="D19468" s="734">
        <v>138.35914087140154</v>
      </c>
      <c r="E19468" s="733"/>
    </row>
    <row r="19469" spans="2:5">
      <c r="B19469" s="121">
        <v>1622</v>
      </c>
      <c r="C19469" s="121">
        <v>14</v>
      </c>
      <c r="D19469" s="734">
        <v>146.79724442791775</v>
      </c>
      <c r="E19469" s="733"/>
    </row>
    <row r="19470" spans="2:5">
      <c r="B19470" s="121">
        <v>1622</v>
      </c>
      <c r="C19470" s="121">
        <v>15</v>
      </c>
      <c r="D19470" s="734">
        <v>144.7470130336273</v>
      </c>
      <c r="E19470" s="733"/>
    </row>
    <row r="19471" spans="2:5">
      <c r="B19471" s="121">
        <v>1622</v>
      </c>
      <c r="C19471" s="121">
        <v>16</v>
      </c>
      <c r="D19471" s="734">
        <v>138.06438270461132</v>
      </c>
      <c r="E19471" s="733"/>
    </row>
    <row r="19472" spans="2:5">
      <c r="B19472" s="121">
        <v>1622</v>
      </c>
      <c r="C19472" s="121">
        <v>17</v>
      </c>
      <c r="D19472" s="734">
        <v>134.177486620655</v>
      </c>
      <c r="E19472" s="733"/>
    </row>
    <row r="19473" spans="2:5">
      <c r="B19473" s="121">
        <v>1622</v>
      </c>
      <c r="C19473" s="121">
        <v>18</v>
      </c>
      <c r="D19473" s="734">
        <v>139.30374683803788</v>
      </c>
      <c r="E19473" s="733"/>
    </row>
    <row r="19474" spans="2:5">
      <c r="B19474" s="121">
        <v>1622</v>
      </c>
      <c r="C19474" s="121">
        <v>19</v>
      </c>
      <c r="D19474" s="734">
        <v>138.97780266602928</v>
      </c>
      <c r="E19474" s="733"/>
    </row>
    <row r="19475" spans="2:5">
      <c r="B19475" s="121">
        <v>1622</v>
      </c>
      <c r="C19475" s="121">
        <v>20</v>
      </c>
      <c r="D19475" s="734">
        <v>137.33969927413997</v>
      </c>
      <c r="E19475" s="733"/>
    </row>
    <row r="19476" spans="2:5">
      <c r="B19476" s="121">
        <v>1622</v>
      </c>
      <c r="C19476" s="121">
        <v>21</v>
      </c>
      <c r="D19476" s="734">
        <v>143.76508266805186</v>
      </c>
      <c r="E19476" s="733"/>
    </row>
    <row r="19477" spans="2:5">
      <c r="B19477" s="121">
        <v>1622</v>
      </c>
      <c r="C19477" s="121">
        <v>22</v>
      </c>
      <c r="D19477" s="734">
        <v>144.09430683126268</v>
      </c>
      <c r="E19477" s="733"/>
    </row>
    <row r="19478" spans="2:5">
      <c r="B19478" s="121">
        <v>1622</v>
      </c>
      <c r="C19478" s="121">
        <v>23</v>
      </c>
      <c r="D19478" s="734">
        <v>146.50772364881988</v>
      </c>
      <c r="E19478" s="733"/>
    </row>
    <row r="19479" spans="2:5">
      <c r="B19479" s="121">
        <v>1622</v>
      </c>
      <c r="C19479" s="121">
        <v>24</v>
      </c>
      <c r="D19479" s="734">
        <v>136.45399828052931</v>
      </c>
      <c r="E19479" s="733"/>
    </row>
    <row r="19480" spans="2:5">
      <c r="B19480" s="121">
        <v>1622</v>
      </c>
      <c r="C19480" s="121">
        <v>25</v>
      </c>
      <c r="D19480" s="734">
        <v>137.6668223399881</v>
      </c>
      <c r="E19480" s="733"/>
    </row>
    <row r="19481" spans="2:5">
      <c r="B19481" s="121">
        <v>1622</v>
      </c>
      <c r="C19481" s="121">
        <v>26</v>
      </c>
      <c r="D19481" s="734">
        <v>142.33501742925594</v>
      </c>
      <c r="E19481" s="733"/>
    </row>
    <row r="19482" spans="2:5">
      <c r="B19482" s="121">
        <v>1622</v>
      </c>
      <c r="C19482" s="121">
        <v>27</v>
      </c>
      <c r="D19482" s="734">
        <v>134.70965886616608</v>
      </c>
      <c r="E19482" s="733"/>
    </row>
    <row r="19483" spans="2:5">
      <c r="B19483" s="121">
        <v>1622</v>
      </c>
      <c r="C19483" s="121">
        <v>28</v>
      </c>
      <c r="D19483" s="734">
        <v>138.66184796362646</v>
      </c>
      <c r="E19483" s="733"/>
    </row>
    <row r="19484" spans="2:5">
      <c r="B19484" s="121">
        <v>1622</v>
      </c>
      <c r="C19484" s="121">
        <v>29</v>
      </c>
      <c r="D19484" s="734">
        <v>139.58532488596398</v>
      </c>
      <c r="E19484" s="733"/>
    </row>
    <row r="19485" spans="2:5">
      <c r="B19485" s="121">
        <v>1622</v>
      </c>
      <c r="C19485" s="121">
        <v>30</v>
      </c>
      <c r="D19485" s="734">
        <v>145.37998585641577</v>
      </c>
      <c r="E19485" s="733"/>
    </row>
    <row r="19486" spans="2:5">
      <c r="B19486" s="121">
        <v>1622</v>
      </c>
      <c r="C19486" s="121">
        <v>31</v>
      </c>
      <c r="D19486" s="734">
        <v>135.88249590848059</v>
      </c>
      <c r="E19486" s="733"/>
    </row>
    <row r="19487" spans="2:5">
      <c r="B19487" s="121">
        <v>1622</v>
      </c>
      <c r="C19487" s="121">
        <v>32</v>
      </c>
      <c r="D19487" s="734">
        <v>145.60023215505717</v>
      </c>
      <c r="E19487" s="733"/>
    </row>
    <row r="19488" spans="2:5">
      <c r="B19488" s="121">
        <v>1622</v>
      </c>
      <c r="C19488" s="121">
        <v>33</v>
      </c>
      <c r="D19488" s="734">
        <v>146.03295905667525</v>
      </c>
      <c r="E19488" s="733"/>
    </row>
    <row r="19489" spans="2:5">
      <c r="B19489" s="121">
        <v>1622</v>
      </c>
      <c r="C19489" s="121">
        <v>34</v>
      </c>
      <c r="D19489" s="734">
        <v>139.92056335183423</v>
      </c>
      <c r="E19489" s="733"/>
    </row>
    <row r="19490" spans="2:5">
      <c r="B19490" s="121">
        <v>1622</v>
      </c>
      <c r="C19490" s="121">
        <v>35</v>
      </c>
      <c r="D19490" s="734">
        <v>141.85227672627681</v>
      </c>
      <c r="E19490" s="733"/>
    </row>
    <row r="19491" spans="2:5">
      <c r="B19491" s="121">
        <v>1622</v>
      </c>
      <c r="C19491" s="121">
        <v>36</v>
      </c>
      <c r="D19491" s="734">
        <v>138.75808389776495</v>
      </c>
      <c r="E19491" s="733"/>
    </row>
    <row r="19492" spans="2:5">
      <c r="B19492" s="121">
        <v>1623</v>
      </c>
      <c r="C19492" s="121">
        <v>1</v>
      </c>
      <c r="D19492" s="734">
        <v>5</v>
      </c>
      <c r="E19492" s="733"/>
    </row>
    <row r="19493" spans="2:5">
      <c r="B19493" s="121">
        <v>1624</v>
      </c>
      <c r="C19493" s="121">
        <v>1</v>
      </c>
      <c r="D19493" s="734">
        <v>5</v>
      </c>
      <c r="E19493" s="733"/>
    </row>
    <row r="19494" spans="2:5">
      <c r="B19494" s="121">
        <v>1624</v>
      </c>
      <c r="C19494" s="121">
        <v>2</v>
      </c>
      <c r="D19494" s="734">
        <v>94.805474660611267</v>
      </c>
      <c r="E19494" s="733"/>
    </row>
    <row r="19495" spans="2:5">
      <c r="B19495" s="121">
        <v>1624</v>
      </c>
      <c r="C19495" s="121">
        <v>3</v>
      </c>
      <c r="D19495" s="734">
        <v>4.9928952433761893</v>
      </c>
      <c r="E19495" s="733"/>
    </row>
    <row r="19496" spans="2:5">
      <c r="B19496" s="121">
        <v>1624</v>
      </c>
      <c r="C19496" s="121">
        <v>4</v>
      </c>
      <c r="D19496" s="734">
        <v>100.74186220980654</v>
      </c>
      <c r="E19496" s="733"/>
    </row>
    <row r="19497" spans="2:5">
      <c r="B19497" s="121">
        <v>1624</v>
      </c>
      <c r="C19497" s="121">
        <v>5</v>
      </c>
      <c r="D19497" s="734">
        <v>125.68301779153286</v>
      </c>
      <c r="E19497" s="733"/>
    </row>
    <row r="19498" spans="2:5">
      <c r="B19498" s="121">
        <v>1624</v>
      </c>
      <c r="C19498" s="121">
        <v>6</v>
      </c>
      <c r="D19498" s="734">
        <v>145.68668789834626</v>
      </c>
      <c r="E19498" s="733"/>
    </row>
    <row r="19499" spans="2:5">
      <c r="B19499" s="121">
        <v>1624</v>
      </c>
      <c r="C19499" s="121">
        <v>7</v>
      </c>
      <c r="D19499" s="734">
        <v>5.0210064564404746</v>
      </c>
      <c r="E19499" s="733"/>
    </row>
    <row r="19500" spans="2:5">
      <c r="B19500" s="121">
        <v>1624</v>
      </c>
      <c r="C19500" s="121">
        <v>8</v>
      </c>
      <c r="D19500" s="734">
        <v>5.0210064564404746</v>
      </c>
      <c r="E19500" s="733"/>
    </row>
    <row r="19501" spans="2:5">
      <c r="B19501" s="121">
        <v>1624</v>
      </c>
      <c r="C19501" s="121">
        <v>9</v>
      </c>
      <c r="D19501" s="734">
        <v>103.34113419261628</v>
      </c>
      <c r="E19501" s="733"/>
    </row>
    <row r="19502" spans="2:5">
      <c r="B19502" s="121">
        <v>1624</v>
      </c>
      <c r="C19502" s="121">
        <v>10</v>
      </c>
      <c r="D19502" s="734">
        <v>116.34675939525761</v>
      </c>
      <c r="E19502" s="733"/>
    </row>
    <row r="19503" spans="2:5">
      <c r="B19503" s="121">
        <v>1624</v>
      </c>
      <c r="C19503" s="121">
        <v>11</v>
      </c>
      <c r="D19503" s="734">
        <v>137.58888334537758</v>
      </c>
      <c r="E19503" s="733"/>
    </row>
    <row r="19504" spans="2:5">
      <c r="B19504" s="121">
        <v>1624</v>
      </c>
      <c r="C19504" s="121">
        <v>12</v>
      </c>
      <c r="D19504" s="734">
        <v>138.85415210101934</v>
      </c>
      <c r="E19504" s="733"/>
    </row>
    <row r="19505" spans="2:5">
      <c r="B19505" s="121">
        <v>1624</v>
      </c>
      <c r="C19505" s="121">
        <v>13</v>
      </c>
      <c r="D19505" s="734">
        <v>136.91856245811101</v>
      </c>
      <c r="E19505" s="733"/>
    </row>
    <row r="19506" spans="2:5">
      <c r="B19506" s="121">
        <v>1624</v>
      </c>
      <c r="C19506" s="121">
        <v>14</v>
      </c>
      <c r="D19506" s="734">
        <v>138.6558204829297</v>
      </c>
      <c r="E19506" s="733"/>
    </row>
    <row r="19507" spans="2:5">
      <c r="B19507" s="121">
        <v>1624</v>
      </c>
      <c r="C19507" s="121">
        <v>15</v>
      </c>
      <c r="D19507" s="734">
        <v>135.69639180499209</v>
      </c>
      <c r="E19507" s="733"/>
    </row>
    <row r="19508" spans="2:5">
      <c r="B19508" s="121">
        <v>1624</v>
      </c>
      <c r="C19508" s="121">
        <v>16</v>
      </c>
      <c r="D19508" s="734">
        <v>134.54887145365305</v>
      </c>
      <c r="E19508" s="733"/>
    </row>
    <row r="19509" spans="2:5">
      <c r="B19509" s="121">
        <v>1625</v>
      </c>
      <c r="C19509" s="121">
        <v>1</v>
      </c>
      <c r="D19509" s="734">
        <v>5</v>
      </c>
      <c r="E19509" s="733"/>
    </row>
    <row r="19510" spans="2:5">
      <c r="B19510" s="121">
        <v>1625</v>
      </c>
      <c r="C19510" s="121">
        <v>2</v>
      </c>
      <c r="D19510" s="734">
        <v>142.37730425648499</v>
      </c>
      <c r="E19510" s="733"/>
    </row>
    <row r="19511" spans="2:5">
      <c r="B19511" s="121">
        <v>1625</v>
      </c>
      <c r="C19511" s="121">
        <v>3</v>
      </c>
      <c r="D19511" s="734">
        <v>144.19666147699468</v>
      </c>
      <c r="E19511" s="733"/>
    </row>
    <row r="19512" spans="2:5">
      <c r="B19512" s="121">
        <v>1625</v>
      </c>
      <c r="C19512" s="121">
        <v>4</v>
      </c>
      <c r="D19512" s="734">
        <v>140.08586272051994</v>
      </c>
      <c r="E19512" s="733"/>
    </row>
    <row r="19513" spans="2:5">
      <c r="B19513" s="121">
        <v>1625</v>
      </c>
      <c r="C19513" s="121">
        <v>5</v>
      </c>
      <c r="D19513" s="734">
        <v>145.71025643573759</v>
      </c>
      <c r="E19513" s="733"/>
    </row>
    <row r="19514" spans="2:5">
      <c r="B19514" s="121">
        <v>1625</v>
      </c>
      <c r="C19514" s="121">
        <v>6</v>
      </c>
      <c r="D19514" s="734">
        <v>138.18167689580022</v>
      </c>
      <c r="E19514" s="733"/>
    </row>
    <row r="19515" spans="2:5">
      <c r="B19515" s="121">
        <v>1626</v>
      </c>
      <c r="C19515" s="121">
        <v>1</v>
      </c>
      <c r="D19515" s="734">
        <v>5</v>
      </c>
      <c r="E19515" s="733"/>
    </row>
    <row r="19516" spans="2:5">
      <c r="B19516" s="121">
        <v>1626</v>
      </c>
      <c r="C19516" s="121">
        <v>2</v>
      </c>
      <c r="D19516" s="734">
        <v>142.35576044605517</v>
      </c>
      <c r="E19516" s="733"/>
    </row>
    <row r="19517" spans="2:5">
      <c r="B19517" s="121">
        <v>1626</v>
      </c>
      <c r="C19517" s="121">
        <v>3</v>
      </c>
      <c r="D19517" s="734">
        <v>144.7080387631004</v>
      </c>
      <c r="E19517" s="733"/>
    </row>
    <row r="19518" spans="2:5">
      <c r="B19518" s="121">
        <v>1626</v>
      </c>
      <c r="C19518" s="121">
        <v>4</v>
      </c>
      <c r="D19518" s="734">
        <v>135.36050455288208</v>
      </c>
      <c r="E19518" s="733"/>
    </row>
    <row r="19519" spans="2:5">
      <c r="B19519" s="121">
        <v>1626</v>
      </c>
      <c r="C19519" s="121">
        <v>5</v>
      </c>
      <c r="D19519" s="734">
        <v>141.23787928912776</v>
      </c>
      <c r="E19519" s="733"/>
    </row>
    <row r="19520" spans="2:5">
      <c r="B19520" s="121">
        <v>1626</v>
      </c>
      <c r="C19520" s="121">
        <v>6</v>
      </c>
      <c r="D19520" s="734">
        <v>138.78195434588704</v>
      </c>
      <c r="E19520" s="733"/>
    </row>
    <row r="19521" spans="2:5">
      <c r="B19521" s="121">
        <v>1626</v>
      </c>
      <c r="C19521" s="121">
        <v>7</v>
      </c>
      <c r="D19521" s="734">
        <v>138.54190990602075</v>
      </c>
      <c r="E19521" s="733"/>
    </row>
    <row r="19522" spans="2:5">
      <c r="B19522" s="121">
        <v>1626</v>
      </c>
      <c r="C19522" s="121">
        <v>8</v>
      </c>
      <c r="D19522" s="734">
        <v>139.18607283031335</v>
      </c>
      <c r="E19522" s="733"/>
    </row>
    <row r="19523" spans="2:5">
      <c r="B19523" s="121">
        <v>1626</v>
      </c>
      <c r="C19523" s="121">
        <v>9</v>
      </c>
      <c r="D19523" s="734">
        <v>5.0210064564404746</v>
      </c>
      <c r="E19523" s="733"/>
    </row>
    <row r="19524" spans="2:5">
      <c r="B19524" s="121">
        <v>1627</v>
      </c>
      <c r="C19524" s="121">
        <v>1</v>
      </c>
      <c r="D19524" s="734">
        <v>5</v>
      </c>
      <c r="E19524" s="733"/>
    </row>
    <row r="19525" spans="2:5">
      <c r="B19525" s="121">
        <v>1628</v>
      </c>
      <c r="C19525" s="121">
        <v>1</v>
      </c>
      <c r="D19525" s="734">
        <v>5</v>
      </c>
      <c r="E19525" s="733"/>
    </row>
    <row r="19526" spans="2:5">
      <c r="B19526" s="121">
        <v>1628</v>
      </c>
      <c r="C19526" s="121">
        <v>2</v>
      </c>
      <c r="D19526" s="734">
        <v>132.70564463126033</v>
      </c>
      <c r="E19526" s="733"/>
    </row>
    <row r="19527" spans="2:5">
      <c r="B19527" s="121">
        <v>1628</v>
      </c>
      <c r="C19527" s="121">
        <v>3</v>
      </c>
      <c r="D19527" s="734">
        <v>143.09142419799355</v>
      </c>
      <c r="E19527" s="733"/>
    </row>
    <row r="19528" spans="2:5">
      <c r="B19528" s="121">
        <v>1628</v>
      </c>
      <c r="C19528" s="121">
        <v>4</v>
      </c>
      <c r="D19528" s="734">
        <v>135.19383871848405</v>
      </c>
      <c r="E19528" s="733"/>
    </row>
    <row r="19529" spans="2:5">
      <c r="B19529" s="121">
        <v>1628</v>
      </c>
      <c r="C19529" s="121">
        <v>5</v>
      </c>
      <c r="D19529" s="734">
        <v>141.63063867562497</v>
      </c>
      <c r="E19529" s="733"/>
    </row>
    <row r="19530" spans="2:5">
      <c r="B19530" s="121">
        <v>1628</v>
      </c>
      <c r="C19530" s="121">
        <v>6</v>
      </c>
      <c r="D19530" s="734">
        <v>144.85190782530819</v>
      </c>
      <c r="E19530" s="733"/>
    </row>
    <row r="19531" spans="2:5">
      <c r="B19531" s="121">
        <v>1628</v>
      </c>
      <c r="C19531" s="121">
        <v>7</v>
      </c>
      <c r="D19531" s="734">
        <v>137.99193337261278</v>
      </c>
      <c r="E19531" s="733"/>
    </row>
    <row r="19532" spans="2:5">
      <c r="B19532" s="121">
        <v>1628</v>
      </c>
      <c r="C19532" s="121">
        <v>8</v>
      </c>
      <c r="D19532" s="734">
        <v>134.74748369821529</v>
      </c>
      <c r="E19532" s="733"/>
    </row>
    <row r="19533" spans="2:5">
      <c r="B19533" s="121">
        <v>1628</v>
      </c>
      <c r="C19533" s="121">
        <v>9</v>
      </c>
      <c r="D19533" s="734">
        <v>140.48035804374865</v>
      </c>
      <c r="E19533" s="733"/>
    </row>
    <row r="19534" spans="2:5">
      <c r="B19534" s="121">
        <v>1628</v>
      </c>
      <c r="C19534" s="121">
        <v>10</v>
      </c>
      <c r="D19534" s="734">
        <v>144.93877547275099</v>
      </c>
      <c r="E19534" s="733"/>
    </row>
    <row r="19535" spans="2:5">
      <c r="B19535" s="121">
        <v>1628</v>
      </c>
      <c r="C19535" s="121">
        <v>11</v>
      </c>
      <c r="D19535" s="734">
        <v>138.05036470893657</v>
      </c>
      <c r="E19535" s="733"/>
    </row>
    <row r="19536" spans="2:5">
      <c r="B19536" s="121">
        <v>1628</v>
      </c>
      <c r="C19536" s="121">
        <v>12</v>
      </c>
      <c r="D19536" s="734">
        <v>144.67104780461679</v>
      </c>
      <c r="E19536" s="733"/>
    </row>
    <row r="19537" spans="2:5">
      <c r="B19537" s="121">
        <v>1628</v>
      </c>
      <c r="C19537" s="121">
        <v>13</v>
      </c>
      <c r="D19537" s="734">
        <v>133.7421191689408</v>
      </c>
      <c r="E19537" s="733"/>
    </row>
    <row r="19538" spans="2:5">
      <c r="B19538" s="121">
        <v>1629</v>
      </c>
      <c r="C19538" s="121">
        <v>1</v>
      </c>
      <c r="D19538" s="734">
        <v>5</v>
      </c>
      <c r="E19538" s="733"/>
    </row>
    <row r="19539" spans="2:5">
      <c r="B19539" s="121">
        <v>1629</v>
      </c>
      <c r="C19539" s="121">
        <v>2</v>
      </c>
      <c r="D19539" s="734">
        <v>140.22917347750186</v>
      </c>
      <c r="E19539" s="733"/>
    </row>
    <row r="19540" spans="2:5">
      <c r="B19540" s="121">
        <v>1629</v>
      </c>
      <c r="C19540" s="121">
        <v>3</v>
      </c>
      <c r="D19540" s="734">
        <v>4.9928952433761893</v>
      </c>
      <c r="E19540" s="733"/>
    </row>
    <row r="19541" spans="2:5">
      <c r="B19541" s="121">
        <v>1629</v>
      </c>
      <c r="C19541" s="121">
        <v>4</v>
      </c>
      <c r="D19541" s="734">
        <v>101.11650076579866</v>
      </c>
      <c r="E19541" s="733"/>
    </row>
    <row r="19542" spans="2:5">
      <c r="B19542" s="121">
        <v>1629</v>
      </c>
      <c r="C19542" s="121">
        <v>5</v>
      </c>
      <c r="D19542" s="734">
        <v>119.98023126730773</v>
      </c>
      <c r="E19542" s="733"/>
    </row>
    <row r="19543" spans="2:5">
      <c r="B19543" s="121">
        <v>1629</v>
      </c>
      <c r="C19543" s="121">
        <v>6</v>
      </c>
      <c r="D19543" s="734">
        <v>138.69577223807471</v>
      </c>
      <c r="E19543" s="733"/>
    </row>
    <row r="19544" spans="2:5">
      <c r="B19544" s="121">
        <v>1629</v>
      </c>
      <c r="C19544" s="121">
        <v>7</v>
      </c>
      <c r="D19544" s="734">
        <v>140.44456001082662</v>
      </c>
      <c r="E19544" s="733"/>
    </row>
    <row r="19545" spans="2:5">
      <c r="B19545" s="121">
        <v>1629</v>
      </c>
      <c r="C19545" s="121">
        <v>8</v>
      </c>
      <c r="D19545" s="734">
        <v>144.34367036453045</v>
      </c>
      <c r="E19545" s="733"/>
    </row>
    <row r="19546" spans="2:5">
      <c r="B19546" s="121">
        <v>1629</v>
      </c>
      <c r="C19546" s="121">
        <v>9</v>
      </c>
      <c r="D19546" s="734">
        <v>142.77352077258402</v>
      </c>
      <c r="E19546" s="733"/>
    </row>
    <row r="19547" spans="2:5">
      <c r="B19547" s="121">
        <v>1629</v>
      </c>
      <c r="C19547" s="121">
        <v>10</v>
      </c>
      <c r="D19547" s="734">
        <v>143.97498357145767</v>
      </c>
      <c r="E19547" s="733"/>
    </row>
    <row r="19548" spans="2:5">
      <c r="B19548" s="121">
        <v>1629</v>
      </c>
      <c r="C19548" s="121">
        <v>11</v>
      </c>
      <c r="D19548" s="734">
        <v>138.97453430221142</v>
      </c>
      <c r="E19548" s="733"/>
    </row>
    <row r="19549" spans="2:5">
      <c r="B19549" s="121">
        <v>1629</v>
      </c>
      <c r="C19549" s="121">
        <v>12</v>
      </c>
      <c r="D19549" s="734">
        <v>135.92091175882121</v>
      </c>
      <c r="E19549" s="733"/>
    </row>
    <row r="19550" spans="2:5">
      <c r="B19550" s="121">
        <v>1629</v>
      </c>
      <c r="C19550" s="121">
        <v>13</v>
      </c>
      <c r="D19550" s="734">
        <v>141.22756742964458</v>
      </c>
      <c r="E19550" s="733"/>
    </row>
    <row r="19551" spans="2:5">
      <c r="B19551" s="121">
        <v>1629</v>
      </c>
      <c r="C19551" s="121">
        <v>14</v>
      </c>
      <c r="D19551" s="734">
        <v>139.50051805879241</v>
      </c>
      <c r="E19551" s="733"/>
    </row>
    <row r="19552" spans="2:5">
      <c r="B19552" s="121">
        <v>1629</v>
      </c>
      <c r="C19552" s="121">
        <v>15</v>
      </c>
      <c r="D19552" s="734">
        <v>142.70029814667978</v>
      </c>
      <c r="E19552" s="733"/>
    </row>
    <row r="19553" spans="2:5">
      <c r="B19553" s="121">
        <v>1629</v>
      </c>
      <c r="C19553" s="121">
        <v>16</v>
      </c>
      <c r="D19553" s="734">
        <v>141.7825444329354</v>
      </c>
      <c r="E19553" s="733"/>
    </row>
    <row r="19554" spans="2:5">
      <c r="B19554" s="121">
        <v>1629</v>
      </c>
      <c r="C19554" s="121">
        <v>17</v>
      </c>
      <c r="D19554" s="734">
        <v>138.96147343547861</v>
      </c>
      <c r="E19554" s="733"/>
    </row>
    <row r="19555" spans="2:5">
      <c r="B19555" s="121">
        <v>1629</v>
      </c>
      <c r="C19555" s="121">
        <v>18</v>
      </c>
      <c r="D19555" s="734">
        <v>136.69272671427979</v>
      </c>
      <c r="E19555" s="733"/>
    </row>
    <row r="19556" spans="2:5">
      <c r="B19556" s="121">
        <v>1629</v>
      </c>
      <c r="C19556" s="121">
        <v>19</v>
      </c>
      <c r="D19556" s="734">
        <v>140.22127806343281</v>
      </c>
      <c r="E19556" s="733"/>
    </row>
    <row r="19557" spans="2:5">
      <c r="B19557" s="121">
        <v>1629</v>
      </c>
      <c r="C19557" s="121">
        <v>20</v>
      </c>
      <c r="D19557" s="734">
        <v>144.2039892724159</v>
      </c>
      <c r="E19557" s="733"/>
    </row>
    <row r="19558" spans="2:5">
      <c r="B19558" s="121">
        <v>1629</v>
      </c>
      <c r="C19558" s="121">
        <v>21</v>
      </c>
      <c r="D19558" s="734">
        <v>135.96511706313717</v>
      </c>
      <c r="E19558" s="733"/>
    </row>
    <row r="19559" spans="2:5">
      <c r="B19559" s="121">
        <v>1629</v>
      </c>
      <c r="C19559" s="121">
        <v>22</v>
      </c>
      <c r="D19559" s="734">
        <v>145.10302999548639</v>
      </c>
      <c r="E19559" s="733"/>
    </row>
    <row r="19560" spans="2:5">
      <c r="B19560" s="121">
        <v>1629</v>
      </c>
      <c r="C19560" s="121">
        <v>23</v>
      </c>
      <c r="D19560" s="734">
        <v>140.28390439220257</v>
      </c>
      <c r="E19560" s="733"/>
    </row>
    <row r="19561" spans="2:5">
      <c r="B19561" s="121">
        <v>1629</v>
      </c>
      <c r="C19561" s="121">
        <v>24</v>
      </c>
      <c r="D19561" s="734">
        <v>135.88527385533231</v>
      </c>
      <c r="E19561" s="733"/>
    </row>
    <row r="19562" spans="2:5">
      <c r="B19562" s="121">
        <v>1629</v>
      </c>
      <c r="C19562" s="121">
        <v>25</v>
      </c>
      <c r="D19562" s="734">
        <v>145.831359719495</v>
      </c>
      <c r="E19562" s="733"/>
    </row>
    <row r="19563" spans="2:5">
      <c r="B19563" s="121">
        <v>1629</v>
      </c>
      <c r="C19563" s="121">
        <v>26</v>
      </c>
      <c r="D19563" s="734">
        <v>144.22686579836974</v>
      </c>
      <c r="E19563" s="733"/>
    </row>
    <row r="19564" spans="2:5">
      <c r="B19564" s="121">
        <v>1629</v>
      </c>
      <c r="C19564" s="121">
        <v>27</v>
      </c>
      <c r="D19564" s="734">
        <v>146.643220678928</v>
      </c>
      <c r="E19564" s="733"/>
    </row>
    <row r="19565" spans="2:5">
      <c r="B19565" s="121">
        <v>1629</v>
      </c>
      <c r="C19565" s="121">
        <v>28</v>
      </c>
      <c r="D19565" s="734">
        <v>146.33393947847659</v>
      </c>
      <c r="E19565" s="733"/>
    </row>
    <row r="19566" spans="2:5">
      <c r="B19566" s="121">
        <v>1629</v>
      </c>
      <c r="C19566" s="121">
        <v>29</v>
      </c>
      <c r="D19566" s="734">
        <v>139.22341228031209</v>
      </c>
      <c r="E19566" s="733"/>
    </row>
    <row r="19567" spans="2:5">
      <c r="B19567" s="121">
        <v>1629</v>
      </c>
      <c r="C19567" s="121">
        <v>30</v>
      </c>
      <c r="D19567" s="734">
        <v>144.80402560437986</v>
      </c>
      <c r="E19567" s="733"/>
    </row>
    <row r="19568" spans="2:5">
      <c r="B19568" s="121">
        <v>1629</v>
      </c>
      <c r="C19568" s="121">
        <v>31</v>
      </c>
      <c r="D19568" s="734">
        <v>136.72642429397939</v>
      </c>
      <c r="E19568" s="733"/>
    </row>
    <row r="19569" spans="2:5">
      <c r="B19569" s="121">
        <v>1629</v>
      </c>
      <c r="C19569" s="121">
        <v>32</v>
      </c>
      <c r="D19569" s="734">
        <v>135.56067185996011</v>
      </c>
      <c r="E19569" s="733"/>
    </row>
    <row r="19570" spans="2:5">
      <c r="B19570" s="121">
        <v>1629</v>
      </c>
      <c r="C19570" s="121">
        <v>33</v>
      </c>
      <c r="D19570" s="734">
        <v>137.85330886223966</v>
      </c>
      <c r="E19570" s="733"/>
    </row>
    <row r="19571" spans="2:5">
      <c r="B19571" s="121">
        <v>1629</v>
      </c>
      <c r="C19571" s="121">
        <v>34</v>
      </c>
      <c r="D19571" s="734">
        <v>141.28329339288069</v>
      </c>
      <c r="E19571" s="733"/>
    </row>
    <row r="19572" spans="2:5">
      <c r="B19572" s="121">
        <v>1629</v>
      </c>
      <c r="C19572" s="121">
        <v>35</v>
      </c>
      <c r="D19572" s="734">
        <v>146.44777392063492</v>
      </c>
      <c r="E19572" s="733"/>
    </row>
    <row r="19573" spans="2:5">
      <c r="B19573" s="121">
        <v>1629</v>
      </c>
      <c r="C19573" s="121">
        <v>36</v>
      </c>
      <c r="D19573" s="734">
        <v>142.82204468297644</v>
      </c>
      <c r="E19573" s="733"/>
    </row>
    <row r="19574" spans="2:5">
      <c r="B19574" s="121">
        <v>1630</v>
      </c>
      <c r="C19574" s="121">
        <v>1</v>
      </c>
      <c r="D19574" s="734">
        <v>5</v>
      </c>
      <c r="E19574" s="733"/>
    </row>
    <row r="19575" spans="2:5">
      <c r="B19575" s="121">
        <v>1630</v>
      </c>
      <c r="C19575" s="121">
        <v>2</v>
      </c>
      <c r="D19575" s="734">
        <v>133.22588718762128</v>
      </c>
      <c r="E19575" s="733"/>
    </row>
    <row r="19576" spans="2:5">
      <c r="B19576" s="121">
        <v>1630</v>
      </c>
      <c r="C19576" s="121">
        <v>3</v>
      </c>
      <c r="D19576" s="734">
        <v>4.9928952433761893</v>
      </c>
      <c r="E19576" s="733"/>
    </row>
    <row r="19577" spans="2:5">
      <c r="B19577" s="121">
        <v>1630</v>
      </c>
      <c r="C19577" s="121">
        <v>4</v>
      </c>
      <c r="D19577" s="734">
        <v>5.0210064564404746</v>
      </c>
      <c r="E19577" s="733"/>
    </row>
    <row r="19578" spans="2:5">
      <c r="B19578" s="121">
        <v>1630</v>
      </c>
      <c r="C19578" s="121">
        <v>5</v>
      </c>
      <c r="D19578" s="734">
        <v>5.0210064564404746</v>
      </c>
      <c r="E19578" s="733"/>
    </row>
    <row r="19579" spans="2:5">
      <c r="B19579" s="121">
        <v>1630</v>
      </c>
      <c r="C19579" s="121">
        <v>6</v>
      </c>
      <c r="D19579" s="734">
        <v>96.293263895924539</v>
      </c>
      <c r="E19579" s="733"/>
    </row>
    <row r="19580" spans="2:5">
      <c r="B19580" s="121">
        <v>1630</v>
      </c>
      <c r="C19580" s="121">
        <v>7</v>
      </c>
      <c r="D19580" s="734">
        <v>120.16200988006375</v>
      </c>
      <c r="E19580" s="733"/>
    </row>
    <row r="19581" spans="2:5">
      <c r="B19581" s="121">
        <v>1630</v>
      </c>
      <c r="C19581" s="121">
        <v>8</v>
      </c>
      <c r="D19581" s="734">
        <v>140.97837567154451</v>
      </c>
      <c r="E19581" s="733"/>
    </row>
    <row r="19582" spans="2:5">
      <c r="B19582" s="121">
        <v>1630</v>
      </c>
      <c r="C19582" s="121">
        <v>9</v>
      </c>
      <c r="D19582" s="734">
        <v>139.63862835902219</v>
      </c>
      <c r="E19582" s="733"/>
    </row>
    <row r="19583" spans="2:5">
      <c r="B19583" s="121">
        <v>1630</v>
      </c>
      <c r="C19583" s="121">
        <v>10</v>
      </c>
      <c r="D19583" s="734">
        <v>134.87926849021849</v>
      </c>
      <c r="E19583" s="733"/>
    </row>
    <row r="19584" spans="2:5">
      <c r="B19584" s="121">
        <v>1630</v>
      </c>
      <c r="C19584" s="121">
        <v>11</v>
      </c>
      <c r="D19584" s="734">
        <v>141.06037330684245</v>
      </c>
      <c r="E19584" s="733"/>
    </row>
    <row r="19585" spans="2:5">
      <c r="B19585" s="121">
        <v>1630</v>
      </c>
      <c r="C19585" s="121">
        <v>12</v>
      </c>
      <c r="D19585" s="734">
        <v>143.77630362200458</v>
      </c>
      <c r="E19585" s="733"/>
    </row>
    <row r="19586" spans="2:5">
      <c r="B19586" s="121">
        <v>1630</v>
      </c>
      <c r="C19586" s="121">
        <v>13</v>
      </c>
      <c r="D19586" s="734">
        <v>141.73380934662521</v>
      </c>
      <c r="E19586" s="733"/>
    </row>
    <row r="19587" spans="2:5">
      <c r="B19587" s="121">
        <v>1630</v>
      </c>
      <c r="C19587" s="121">
        <v>14</v>
      </c>
      <c r="D19587" s="734">
        <v>139.42930203377452</v>
      </c>
      <c r="E19587" s="733"/>
    </row>
    <row r="19588" spans="2:5">
      <c r="B19588" s="121">
        <v>1630</v>
      </c>
      <c r="C19588" s="121">
        <v>15</v>
      </c>
      <c r="D19588" s="734">
        <v>143.36685441577259</v>
      </c>
      <c r="E19588" s="733"/>
    </row>
    <row r="19589" spans="2:5">
      <c r="B19589" s="121">
        <v>1630</v>
      </c>
      <c r="C19589" s="121">
        <v>16</v>
      </c>
      <c r="D19589" s="734">
        <v>145.79885540511236</v>
      </c>
      <c r="E19589" s="733"/>
    </row>
    <row r="19590" spans="2:5">
      <c r="B19590" s="121">
        <v>1630</v>
      </c>
      <c r="C19590" s="121">
        <v>17</v>
      </c>
      <c r="D19590" s="734">
        <v>139.72394346552912</v>
      </c>
      <c r="E19590" s="733"/>
    </row>
    <row r="19591" spans="2:5">
      <c r="B19591" s="121">
        <v>1630</v>
      </c>
      <c r="C19591" s="121">
        <v>18</v>
      </c>
      <c r="D19591" s="734">
        <v>138.02949346364954</v>
      </c>
      <c r="E19591" s="733"/>
    </row>
    <row r="19592" spans="2:5">
      <c r="B19592" s="121">
        <v>1630</v>
      </c>
      <c r="C19592" s="121">
        <v>19</v>
      </c>
      <c r="D19592" s="734">
        <v>143.29802359389052</v>
      </c>
      <c r="E19592" s="733"/>
    </row>
    <row r="19593" spans="2:5">
      <c r="B19593" s="121">
        <v>1630</v>
      </c>
      <c r="C19593" s="121">
        <v>20</v>
      </c>
      <c r="D19593" s="734">
        <v>146.71852604315819</v>
      </c>
      <c r="E19593" s="733"/>
    </row>
    <row r="19594" spans="2:5">
      <c r="B19594" s="121">
        <v>1630</v>
      </c>
      <c r="C19594" s="121">
        <v>21</v>
      </c>
      <c r="D19594" s="734">
        <v>143.33005242821355</v>
      </c>
      <c r="E19594" s="733"/>
    </row>
    <row r="19595" spans="2:5">
      <c r="B19595" s="121">
        <v>1630</v>
      </c>
      <c r="C19595" s="121">
        <v>22</v>
      </c>
      <c r="D19595" s="734">
        <v>134.74506390609304</v>
      </c>
      <c r="E19595" s="733"/>
    </row>
    <row r="19596" spans="2:5">
      <c r="B19596" s="121">
        <v>1630</v>
      </c>
      <c r="C19596" s="121">
        <v>23</v>
      </c>
      <c r="D19596" s="734">
        <v>136.06273358771622</v>
      </c>
      <c r="E19596" s="733"/>
    </row>
    <row r="19597" spans="2:5">
      <c r="B19597" s="121">
        <v>1630</v>
      </c>
      <c r="C19597" s="121">
        <v>24</v>
      </c>
      <c r="D19597" s="734">
        <v>140.80484170356559</v>
      </c>
      <c r="E19597" s="733"/>
    </row>
    <row r="19598" spans="2:5">
      <c r="B19598" s="121">
        <v>1630</v>
      </c>
      <c r="C19598" s="121">
        <v>25</v>
      </c>
      <c r="D19598" s="734">
        <v>137.33371833141121</v>
      </c>
      <c r="E19598" s="733"/>
    </row>
    <row r="19599" spans="2:5">
      <c r="B19599" s="121">
        <v>1630</v>
      </c>
      <c r="C19599" s="121">
        <v>26</v>
      </c>
      <c r="D19599" s="734">
        <v>142.78853465463587</v>
      </c>
      <c r="E19599" s="733"/>
    </row>
    <row r="19600" spans="2:5">
      <c r="B19600" s="121">
        <v>1630</v>
      </c>
      <c r="C19600" s="121">
        <v>27</v>
      </c>
      <c r="D19600" s="734">
        <v>138.25689678367411</v>
      </c>
      <c r="E19600" s="733"/>
    </row>
    <row r="19601" spans="2:5">
      <c r="B19601" s="121">
        <v>1630</v>
      </c>
      <c r="C19601" s="121">
        <v>28</v>
      </c>
      <c r="D19601" s="734">
        <v>143.27853628843803</v>
      </c>
      <c r="E19601" s="733"/>
    </row>
    <row r="19602" spans="2:5">
      <c r="B19602" s="121">
        <v>1630</v>
      </c>
      <c r="C19602" s="121">
        <v>29</v>
      </c>
      <c r="D19602" s="734">
        <v>139.56951091216925</v>
      </c>
      <c r="E19602" s="733"/>
    </row>
    <row r="19603" spans="2:5">
      <c r="B19603" s="121">
        <v>1630</v>
      </c>
      <c r="C19603" s="121">
        <v>30</v>
      </c>
      <c r="D19603" s="734">
        <v>138.47979213440189</v>
      </c>
      <c r="E19603" s="733"/>
    </row>
    <row r="19604" spans="2:5">
      <c r="B19604" s="121">
        <v>1630</v>
      </c>
      <c r="C19604" s="121">
        <v>31</v>
      </c>
      <c r="D19604" s="734">
        <v>140.222421502808</v>
      </c>
      <c r="E19604" s="733"/>
    </row>
    <row r="19605" spans="2:5">
      <c r="B19605" s="121">
        <v>1630</v>
      </c>
      <c r="C19605" s="121">
        <v>32</v>
      </c>
      <c r="D19605" s="734">
        <v>134.54245152138651</v>
      </c>
      <c r="E19605" s="733"/>
    </row>
    <row r="19606" spans="2:5">
      <c r="B19606" s="121">
        <v>1630</v>
      </c>
      <c r="C19606" s="121">
        <v>33</v>
      </c>
      <c r="D19606" s="734">
        <v>142.00328084469083</v>
      </c>
      <c r="E19606" s="733"/>
    </row>
    <row r="19607" spans="2:5">
      <c r="B19607" s="121">
        <v>1630</v>
      </c>
      <c r="C19607" s="121">
        <v>34</v>
      </c>
      <c r="D19607" s="734">
        <v>135.61832910022798</v>
      </c>
      <c r="E19607" s="733"/>
    </row>
    <row r="19608" spans="2:5">
      <c r="B19608" s="121">
        <v>1630</v>
      </c>
      <c r="C19608" s="121">
        <v>35</v>
      </c>
      <c r="D19608" s="734">
        <v>135.75217548985455</v>
      </c>
      <c r="E19608" s="733"/>
    </row>
    <row r="19609" spans="2:5">
      <c r="B19609" s="121">
        <v>1630</v>
      </c>
      <c r="C19609" s="121">
        <v>36</v>
      </c>
      <c r="D19609" s="734">
        <v>140.65774456599775</v>
      </c>
      <c r="E19609" s="733"/>
    </row>
    <row r="19610" spans="2:5">
      <c r="B19610" s="121">
        <v>1631</v>
      </c>
      <c r="C19610" s="121">
        <v>1</v>
      </c>
      <c r="D19610" s="734">
        <v>5</v>
      </c>
      <c r="E19610" s="733"/>
    </row>
    <row r="19611" spans="2:5">
      <c r="B19611" s="121">
        <v>1631</v>
      </c>
      <c r="C19611" s="121">
        <v>2</v>
      </c>
      <c r="D19611" s="734">
        <v>144.57090637099611</v>
      </c>
      <c r="E19611" s="733"/>
    </row>
    <row r="19612" spans="2:5">
      <c r="B19612" s="121">
        <v>1631</v>
      </c>
      <c r="C19612" s="121">
        <v>3</v>
      </c>
      <c r="D19612" s="734">
        <v>136.90856430369067</v>
      </c>
      <c r="E19612" s="733"/>
    </row>
    <row r="19613" spans="2:5">
      <c r="B19613" s="121">
        <v>1631</v>
      </c>
      <c r="C19613" s="121">
        <v>4</v>
      </c>
      <c r="D19613" s="734">
        <v>145.21299371664719</v>
      </c>
      <c r="E19613" s="733"/>
    </row>
    <row r="19614" spans="2:5">
      <c r="B19614" s="121">
        <v>1631</v>
      </c>
      <c r="C19614" s="121">
        <v>5</v>
      </c>
      <c r="D19614" s="734">
        <v>5.0210064564404746</v>
      </c>
      <c r="E19614" s="733"/>
    </row>
    <row r="19615" spans="2:5">
      <c r="B19615" s="121">
        <v>1631</v>
      </c>
      <c r="C19615" s="121">
        <v>6</v>
      </c>
      <c r="D19615" s="734">
        <v>99.868588830151495</v>
      </c>
      <c r="E19615" s="733"/>
    </row>
    <row r="19616" spans="2:5">
      <c r="B19616" s="121">
        <v>1631</v>
      </c>
      <c r="C19616" s="121">
        <v>7</v>
      </c>
      <c r="D19616" s="734">
        <v>123.51963789473591</v>
      </c>
      <c r="E19616" s="733"/>
    </row>
    <row r="19617" spans="2:5">
      <c r="B19617" s="121">
        <v>1631</v>
      </c>
      <c r="C19617" s="121">
        <v>8</v>
      </c>
      <c r="D19617" s="734">
        <v>143.75465558118898</v>
      </c>
      <c r="E19617" s="733"/>
    </row>
    <row r="19618" spans="2:5">
      <c r="B19618" s="121">
        <v>1631</v>
      </c>
      <c r="C19618" s="121">
        <v>9</v>
      </c>
      <c r="D19618" s="734">
        <v>140.75529949389261</v>
      </c>
      <c r="E19618" s="733"/>
    </row>
    <row r="19619" spans="2:5">
      <c r="B19619" s="121">
        <v>1631</v>
      </c>
      <c r="C19619" s="121">
        <v>10</v>
      </c>
      <c r="D19619" s="734">
        <v>140.06443246650358</v>
      </c>
      <c r="E19619" s="733"/>
    </row>
    <row r="19620" spans="2:5">
      <c r="B19620" s="121">
        <v>1631</v>
      </c>
      <c r="C19620" s="121">
        <v>11</v>
      </c>
      <c r="D19620" s="734">
        <v>145.72307245425253</v>
      </c>
      <c r="E19620" s="733"/>
    </row>
    <row r="19621" spans="2:5">
      <c r="B19621" s="121">
        <v>1631</v>
      </c>
      <c r="C19621" s="121">
        <v>12</v>
      </c>
      <c r="D19621" s="734">
        <v>143.57124177398629</v>
      </c>
      <c r="E19621" s="733"/>
    </row>
    <row r="19622" spans="2:5">
      <c r="B19622" s="121">
        <v>1631</v>
      </c>
      <c r="C19622" s="121">
        <v>13</v>
      </c>
      <c r="D19622" s="734">
        <v>134.25667852726505</v>
      </c>
      <c r="E19622" s="733"/>
    </row>
    <row r="19623" spans="2:5">
      <c r="B19623" s="121">
        <v>1631</v>
      </c>
      <c r="C19623" s="121">
        <v>14</v>
      </c>
      <c r="D19623" s="734">
        <v>143.6688143127559</v>
      </c>
      <c r="E19623" s="733"/>
    </row>
    <row r="19624" spans="2:5">
      <c r="B19624" s="121">
        <v>1631</v>
      </c>
      <c r="C19624" s="121">
        <v>15</v>
      </c>
      <c r="D19624" s="734">
        <v>146.99632891702674</v>
      </c>
      <c r="E19624" s="733"/>
    </row>
    <row r="19625" spans="2:5">
      <c r="B19625" s="121">
        <v>1631</v>
      </c>
      <c r="C19625" s="121">
        <v>16</v>
      </c>
      <c r="D19625" s="734">
        <v>146.90263963683506</v>
      </c>
      <c r="E19625" s="733"/>
    </row>
    <row r="19626" spans="2:5">
      <c r="B19626" s="121">
        <v>1631</v>
      </c>
      <c r="C19626" s="121">
        <v>17</v>
      </c>
      <c r="D19626" s="734">
        <v>138.85721740269057</v>
      </c>
      <c r="E19626" s="733"/>
    </row>
    <row r="19627" spans="2:5">
      <c r="B19627" s="121">
        <v>1631</v>
      </c>
      <c r="C19627" s="121">
        <v>18</v>
      </c>
      <c r="D19627" s="734">
        <v>138.20170781143077</v>
      </c>
      <c r="E19627" s="733"/>
    </row>
    <row r="19628" spans="2:5">
      <c r="B19628" s="121">
        <v>1631</v>
      </c>
      <c r="C19628" s="121">
        <v>19</v>
      </c>
      <c r="D19628" s="734">
        <v>146.54994899833699</v>
      </c>
      <c r="E19628" s="733"/>
    </row>
    <row r="19629" spans="2:5">
      <c r="B19629" s="121">
        <v>1631</v>
      </c>
      <c r="C19629" s="121">
        <v>20</v>
      </c>
      <c r="D19629" s="734">
        <v>143.04170631259836</v>
      </c>
      <c r="E19629" s="733"/>
    </row>
    <row r="19630" spans="2:5">
      <c r="B19630" s="121">
        <v>1631</v>
      </c>
      <c r="C19630" s="121">
        <v>21</v>
      </c>
      <c r="D19630" s="734">
        <v>142.21415639240467</v>
      </c>
      <c r="E19630" s="733"/>
    </row>
    <row r="19631" spans="2:5">
      <c r="B19631" s="121">
        <v>1631</v>
      </c>
      <c r="C19631" s="121">
        <v>22</v>
      </c>
      <c r="D19631" s="734">
        <v>140.30901729189731</v>
      </c>
      <c r="E19631" s="733"/>
    </row>
    <row r="19632" spans="2:5">
      <c r="B19632" s="121">
        <v>1631</v>
      </c>
      <c r="C19632" s="121">
        <v>23</v>
      </c>
      <c r="D19632" s="734">
        <v>145.56208424960727</v>
      </c>
      <c r="E19632" s="733"/>
    </row>
    <row r="19633" spans="2:5">
      <c r="B19633" s="121">
        <v>1631</v>
      </c>
      <c r="C19633" s="121">
        <v>24</v>
      </c>
      <c r="D19633" s="734">
        <v>136.76303563992704</v>
      </c>
      <c r="E19633" s="733"/>
    </row>
    <row r="19634" spans="2:5">
      <c r="B19634" s="121">
        <v>1631</v>
      </c>
      <c r="C19634" s="121">
        <v>25</v>
      </c>
      <c r="D19634" s="734">
        <v>137.39365663987957</v>
      </c>
      <c r="E19634" s="733"/>
    </row>
    <row r="19635" spans="2:5">
      <c r="B19635" s="121">
        <v>1631</v>
      </c>
      <c r="C19635" s="121">
        <v>26</v>
      </c>
      <c r="D19635" s="734">
        <v>146.4230612121836</v>
      </c>
      <c r="E19635" s="733"/>
    </row>
    <row r="19636" spans="2:5">
      <c r="B19636" s="121">
        <v>1631</v>
      </c>
      <c r="C19636" s="121">
        <v>27</v>
      </c>
      <c r="D19636" s="734">
        <v>144.71582729781383</v>
      </c>
      <c r="E19636" s="733"/>
    </row>
    <row r="19637" spans="2:5">
      <c r="B19637" s="121">
        <v>1631</v>
      </c>
      <c r="C19637" s="121">
        <v>28</v>
      </c>
      <c r="D19637" s="734">
        <v>137.42107517015938</v>
      </c>
      <c r="E19637" s="733"/>
    </row>
    <row r="19638" spans="2:5">
      <c r="B19638" s="121">
        <v>1631</v>
      </c>
      <c r="C19638" s="121">
        <v>29</v>
      </c>
      <c r="D19638" s="734">
        <v>139.51407586445461</v>
      </c>
      <c r="E19638" s="733"/>
    </row>
    <row r="19639" spans="2:5">
      <c r="B19639" s="121">
        <v>1631</v>
      </c>
      <c r="C19639" s="121">
        <v>30</v>
      </c>
      <c r="D19639" s="734">
        <v>146.97450849013384</v>
      </c>
      <c r="E19639" s="733"/>
    </row>
    <row r="19640" spans="2:5">
      <c r="B19640" s="121">
        <v>1631</v>
      </c>
      <c r="C19640" s="121">
        <v>31</v>
      </c>
      <c r="D19640" s="734">
        <v>143.40781444092565</v>
      </c>
      <c r="E19640" s="733"/>
    </row>
    <row r="19641" spans="2:5">
      <c r="B19641" s="121">
        <v>1631</v>
      </c>
      <c r="C19641" s="121">
        <v>32</v>
      </c>
      <c r="D19641" s="734">
        <v>140.43970431574797</v>
      </c>
      <c r="E19641" s="733"/>
    </row>
    <row r="19642" spans="2:5">
      <c r="B19642" s="121">
        <v>1632</v>
      </c>
      <c r="C19642" s="121">
        <v>1</v>
      </c>
      <c r="D19642" s="734">
        <v>5</v>
      </c>
      <c r="E19642" s="733"/>
    </row>
    <row r="19643" spans="2:5">
      <c r="B19643" s="121">
        <v>1632</v>
      </c>
      <c r="C19643" s="121">
        <v>2</v>
      </c>
      <c r="D19643" s="734">
        <v>132.25197397052725</v>
      </c>
      <c r="E19643" s="733"/>
    </row>
    <row r="19644" spans="2:5">
      <c r="B19644" s="121">
        <v>1633</v>
      </c>
      <c r="C19644" s="121">
        <v>1</v>
      </c>
      <c r="D19644" s="734">
        <v>5</v>
      </c>
      <c r="E19644" s="733"/>
    </row>
    <row r="19645" spans="2:5">
      <c r="B19645" s="121">
        <v>1633</v>
      </c>
      <c r="C19645" s="121">
        <v>2</v>
      </c>
      <c r="D19645" s="734">
        <v>98.031638865934724</v>
      </c>
      <c r="E19645" s="733"/>
    </row>
    <row r="19646" spans="2:5">
      <c r="B19646" s="121">
        <v>1633</v>
      </c>
      <c r="C19646" s="121">
        <v>3</v>
      </c>
      <c r="D19646" s="734">
        <v>124.30361535004771</v>
      </c>
      <c r="E19646" s="733"/>
    </row>
    <row r="19647" spans="2:5">
      <c r="B19647" s="121">
        <v>1633</v>
      </c>
      <c r="C19647" s="121">
        <v>4</v>
      </c>
      <c r="D19647" s="734">
        <v>139.77863083048712</v>
      </c>
      <c r="E19647" s="733"/>
    </row>
    <row r="19648" spans="2:5">
      <c r="B19648" s="121">
        <v>1633</v>
      </c>
      <c r="C19648" s="121">
        <v>5</v>
      </c>
      <c r="D19648" s="734">
        <v>138.031501760281</v>
      </c>
      <c r="E19648" s="733"/>
    </row>
    <row r="19649" spans="2:5">
      <c r="B19649" s="121">
        <v>1633</v>
      </c>
      <c r="C19649" s="121">
        <v>6</v>
      </c>
      <c r="D19649" s="734">
        <v>145.35594855387745</v>
      </c>
      <c r="E19649" s="733"/>
    </row>
    <row r="19650" spans="2:5">
      <c r="B19650" s="121">
        <v>1633</v>
      </c>
      <c r="C19650" s="121">
        <v>7</v>
      </c>
      <c r="D19650" s="734">
        <v>141.53009022015974</v>
      </c>
      <c r="E19650" s="733"/>
    </row>
    <row r="19651" spans="2:5">
      <c r="B19651" s="121">
        <v>1633</v>
      </c>
      <c r="C19651" s="121">
        <v>8</v>
      </c>
      <c r="D19651" s="734">
        <v>138.6689359738979</v>
      </c>
      <c r="E19651" s="733"/>
    </row>
    <row r="19652" spans="2:5">
      <c r="B19652" s="121">
        <v>1633</v>
      </c>
      <c r="C19652" s="121">
        <v>9</v>
      </c>
      <c r="D19652" s="734">
        <v>144.71629946167153</v>
      </c>
      <c r="E19652" s="733"/>
    </row>
    <row r="19653" spans="2:5">
      <c r="B19653" s="121">
        <v>1633</v>
      </c>
      <c r="C19653" s="121">
        <v>10</v>
      </c>
      <c r="D19653" s="734">
        <v>143.93664277850516</v>
      </c>
      <c r="E19653" s="733"/>
    </row>
    <row r="19654" spans="2:5">
      <c r="B19654" s="121">
        <v>1633</v>
      </c>
      <c r="C19654" s="121">
        <v>11</v>
      </c>
      <c r="D19654" s="734">
        <v>146.94938750318204</v>
      </c>
      <c r="E19654" s="733"/>
    </row>
    <row r="19655" spans="2:5">
      <c r="B19655" s="121">
        <v>1633</v>
      </c>
      <c r="C19655" s="121">
        <v>12</v>
      </c>
      <c r="D19655" s="734">
        <v>141.64134304201363</v>
      </c>
      <c r="E19655" s="733"/>
    </row>
    <row r="19656" spans="2:5">
      <c r="B19656" s="121">
        <v>1633</v>
      </c>
      <c r="C19656" s="121">
        <v>13</v>
      </c>
      <c r="D19656" s="734">
        <v>134.28713146916996</v>
      </c>
      <c r="E19656" s="733"/>
    </row>
    <row r="19657" spans="2:5">
      <c r="B19657" s="121">
        <v>1633</v>
      </c>
      <c r="C19657" s="121">
        <v>14</v>
      </c>
      <c r="D19657" s="734">
        <v>135.32110818837577</v>
      </c>
      <c r="E19657" s="733"/>
    </row>
    <row r="19658" spans="2:5">
      <c r="B19658" s="121">
        <v>1633</v>
      </c>
      <c r="C19658" s="121">
        <v>15</v>
      </c>
      <c r="D19658" s="734">
        <v>140.06188024748653</v>
      </c>
      <c r="E19658" s="733"/>
    </row>
    <row r="19659" spans="2:5">
      <c r="B19659" s="121">
        <v>1633</v>
      </c>
      <c r="C19659" s="121">
        <v>16</v>
      </c>
      <c r="D19659" s="734">
        <v>136.70651589217221</v>
      </c>
      <c r="E19659" s="733"/>
    </row>
    <row r="19660" spans="2:5">
      <c r="B19660" s="121">
        <v>1633</v>
      </c>
      <c r="C19660" s="121">
        <v>17</v>
      </c>
      <c r="D19660" s="734">
        <v>147.28226738538382</v>
      </c>
      <c r="E19660" s="733"/>
    </row>
    <row r="19661" spans="2:5">
      <c r="B19661" s="121">
        <v>1633</v>
      </c>
      <c r="C19661" s="121">
        <v>18</v>
      </c>
      <c r="D19661" s="734">
        <v>134.53576274343325</v>
      </c>
      <c r="E19661" s="733"/>
    </row>
    <row r="19662" spans="2:5">
      <c r="B19662" s="121">
        <v>1633</v>
      </c>
      <c r="C19662" s="121">
        <v>19</v>
      </c>
      <c r="D19662" s="734">
        <v>139.90368754157313</v>
      </c>
      <c r="E19662" s="733"/>
    </row>
    <row r="19663" spans="2:5">
      <c r="B19663" s="121">
        <v>1633</v>
      </c>
      <c r="C19663" s="121">
        <v>20</v>
      </c>
      <c r="D19663" s="734">
        <v>137.67564982536177</v>
      </c>
      <c r="E19663" s="733"/>
    </row>
    <row r="19664" spans="2:5">
      <c r="B19664" s="121">
        <v>1633</v>
      </c>
      <c r="C19664" s="121">
        <v>21</v>
      </c>
      <c r="D19664" s="734">
        <v>140.34841282125115</v>
      </c>
      <c r="E19664" s="733"/>
    </row>
    <row r="19665" spans="2:5">
      <c r="B19665" s="121">
        <v>1633</v>
      </c>
      <c r="C19665" s="121">
        <v>22</v>
      </c>
      <c r="D19665" s="734">
        <v>145.78774401763363</v>
      </c>
      <c r="E19665" s="733"/>
    </row>
    <row r="19666" spans="2:5">
      <c r="B19666" s="121">
        <v>1633</v>
      </c>
      <c r="C19666" s="121">
        <v>23</v>
      </c>
      <c r="D19666" s="734">
        <v>137.97433064480705</v>
      </c>
      <c r="E19666" s="733"/>
    </row>
    <row r="19667" spans="2:5">
      <c r="B19667" s="121">
        <v>1633</v>
      </c>
      <c r="C19667" s="121">
        <v>24</v>
      </c>
      <c r="D19667" s="734">
        <v>141.33212520838225</v>
      </c>
      <c r="E19667" s="733"/>
    </row>
    <row r="19668" spans="2:5">
      <c r="B19668" s="121">
        <v>1633</v>
      </c>
      <c r="C19668" s="121">
        <v>25</v>
      </c>
      <c r="D19668" s="734">
        <v>5.0210064564404746</v>
      </c>
      <c r="E19668" s="733"/>
    </row>
    <row r="19669" spans="2:5">
      <c r="B19669" s="121">
        <v>1633</v>
      </c>
      <c r="C19669" s="121">
        <v>26</v>
      </c>
      <c r="D19669" s="734">
        <v>96.202622249119813</v>
      </c>
      <c r="E19669" s="733"/>
    </row>
    <row r="19670" spans="2:5">
      <c r="B19670" s="121">
        <v>1633</v>
      </c>
      <c r="C19670" s="121">
        <v>27</v>
      </c>
      <c r="D19670" s="734">
        <v>5.0210064564404746</v>
      </c>
      <c r="E19670" s="733"/>
    </row>
    <row r="19671" spans="2:5">
      <c r="B19671" s="121">
        <v>1633</v>
      </c>
      <c r="C19671" s="121">
        <v>28</v>
      </c>
      <c r="D19671" s="734">
        <v>5.0210064564404746</v>
      </c>
      <c r="E19671" s="733"/>
    </row>
    <row r="19672" spans="2:5">
      <c r="B19672" s="121">
        <v>1633</v>
      </c>
      <c r="C19672" s="121">
        <v>29</v>
      </c>
      <c r="D19672" s="734">
        <v>104.8298499679756</v>
      </c>
      <c r="E19672" s="733"/>
    </row>
    <row r="19673" spans="2:5">
      <c r="B19673" s="121">
        <v>1633</v>
      </c>
      <c r="C19673" s="121">
        <v>30</v>
      </c>
      <c r="D19673" s="734">
        <v>119.42901590488223</v>
      </c>
      <c r="E19673" s="733"/>
    </row>
    <row r="19674" spans="2:5">
      <c r="B19674" s="121">
        <v>1633</v>
      </c>
      <c r="C19674" s="121">
        <v>31</v>
      </c>
      <c r="D19674" s="734">
        <v>137.70563776142828</v>
      </c>
      <c r="E19674" s="733"/>
    </row>
    <row r="19675" spans="2:5">
      <c r="B19675" s="121">
        <v>1633</v>
      </c>
      <c r="C19675" s="121">
        <v>32</v>
      </c>
      <c r="D19675" s="734">
        <v>146.33253398745856</v>
      </c>
      <c r="E19675" s="733"/>
    </row>
    <row r="19676" spans="2:5">
      <c r="B19676" s="121">
        <v>1634</v>
      </c>
      <c r="C19676" s="121">
        <v>1</v>
      </c>
      <c r="D19676" s="734">
        <v>5</v>
      </c>
      <c r="E19676" s="733"/>
    </row>
    <row r="19677" spans="2:5">
      <c r="B19677" s="121">
        <v>1634</v>
      </c>
      <c r="C19677" s="121">
        <v>2</v>
      </c>
      <c r="D19677" s="734">
        <v>143.11973255355613</v>
      </c>
      <c r="E19677" s="733"/>
    </row>
    <row r="19678" spans="2:5">
      <c r="B19678" s="121">
        <v>1634</v>
      </c>
      <c r="C19678" s="121">
        <v>3</v>
      </c>
      <c r="D19678" s="734">
        <v>141.80192283713836</v>
      </c>
      <c r="E19678" s="733"/>
    </row>
    <row r="19679" spans="2:5">
      <c r="B19679" s="121">
        <v>1634</v>
      </c>
      <c r="C19679" s="121">
        <v>4</v>
      </c>
      <c r="D19679" s="734">
        <v>137.73972656490199</v>
      </c>
      <c r="E19679" s="733"/>
    </row>
    <row r="19680" spans="2:5">
      <c r="B19680" s="121">
        <v>1634</v>
      </c>
      <c r="C19680" s="121">
        <v>5</v>
      </c>
      <c r="D19680" s="734">
        <v>134.7558178391769</v>
      </c>
      <c r="E19680" s="733"/>
    </row>
    <row r="19681" spans="2:5">
      <c r="B19681" s="121">
        <v>1634</v>
      </c>
      <c r="C19681" s="121">
        <v>6</v>
      </c>
      <c r="D19681" s="734">
        <v>134.33244723606694</v>
      </c>
      <c r="E19681" s="733"/>
    </row>
    <row r="19682" spans="2:5">
      <c r="B19682" s="121">
        <v>1634</v>
      </c>
      <c r="C19682" s="121">
        <v>7</v>
      </c>
      <c r="D19682" s="734">
        <v>136.67936899082275</v>
      </c>
      <c r="E19682" s="733"/>
    </row>
    <row r="19683" spans="2:5">
      <c r="B19683" s="121">
        <v>1634</v>
      </c>
      <c r="C19683" s="121">
        <v>8</v>
      </c>
      <c r="D19683" s="734">
        <v>146.83177619707183</v>
      </c>
      <c r="E19683" s="733"/>
    </row>
    <row r="19684" spans="2:5">
      <c r="B19684" s="121">
        <v>1634</v>
      </c>
      <c r="C19684" s="121">
        <v>9</v>
      </c>
      <c r="D19684" s="734">
        <v>135.51825764823971</v>
      </c>
      <c r="E19684" s="733"/>
    </row>
    <row r="19685" spans="2:5">
      <c r="B19685" s="121">
        <v>1635</v>
      </c>
      <c r="C19685" s="121">
        <v>1</v>
      </c>
      <c r="D19685" s="734">
        <v>5</v>
      </c>
      <c r="E19685" s="733"/>
    </row>
    <row r="19686" spans="2:5">
      <c r="B19686" s="121">
        <v>1635</v>
      </c>
      <c r="C19686" s="121">
        <v>2</v>
      </c>
      <c r="D19686" s="734">
        <v>132.61679340402688</v>
      </c>
      <c r="E19686" s="733"/>
    </row>
    <row r="19687" spans="2:5">
      <c r="B19687" s="121">
        <v>1635</v>
      </c>
      <c r="C19687" s="121">
        <v>3</v>
      </c>
      <c r="D19687" s="734">
        <v>142.49721330173605</v>
      </c>
      <c r="E19687" s="733"/>
    </row>
    <row r="19688" spans="2:5">
      <c r="B19688" s="121">
        <v>1635</v>
      </c>
      <c r="C19688" s="121">
        <v>4</v>
      </c>
      <c r="D19688" s="734">
        <v>141.42416728518506</v>
      </c>
      <c r="E19688" s="733"/>
    </row>
    <row r="19689" spans="2:5">
      <c r="B19689" s="121">
        <v>1635</v>
      </c>
      <c r="C19689" s="121">
        <v>5</v>
      </c>
      <c r="D19689" s="734">
        <v>137.26009411128149</v>
      </c>
      <c r="E19689" s="733"/>
    </row>
    <row r="19690" spans="2:5">
      <c r="B19690" s="121">
        <v>1635</v>
      </c>
      <c r="C19690" s="121">
        <v>6</v>
      </c>
      <c r="D19690" s="734">
        <v>141.72631186950707</v>
      </c>
      <c r="E19690" s="733"/>
    </row>
    <row r="19691" spans="2:5">
      <c r="B19691" s="121">
        <v>1635</v>
      </c>
      <c r="C19691" s="121">
        <v>7</v>
      </c>
      <c r="D19691" s="734">
        <v>140.9046430031816</v>
      </c>
      <c r="E19691" s="733"/>
    </row>
    <row r="19692" spans="2:5">
      <c r="B19692" s="121">
        <v>1635</v>
      </c>
      <c r="C19692" s="121">
        <v>8</v>
      </c>
      <c r="D19692" s="734">
        <v>135.69481580328662</v>
      </c>
      <c r="E19692" s="733"/>
    </row>
    <row r="19693" spans="2:5">
      <c r="B19693" s="121">
        <v>1635</v>
      </c>
      <c r="C19693" s="121">
        <v>9</v>
      </c>
      <c r="D19693" s="734">
        <v>141.24923767165586</v>
      </c>
      <c r="E19693" s="733"/>
    </row>
    <row r="19694" spans="2:5">
      <c r="B19694" s="121">
        <v>1635</v>
      </c>
      <c r="C19694" s="121">
        <v>10</v>
      </c>
      <c r="D19694" s="734">
        <v>141.4254225163445</v>
      </c>
      <c r="E19694" s="733"/>
    </row>
    <row r="19695" spans="2:5">
      <c r="B19695" s="121">
        <v>1635</v>
      </c>
      <c r="C19695" s="121">
        <v>11</v>
      </c>
      <c r="D19695" s="734">
        <v>146.71486284377411</v>
      </c>
      <c r="E19695" s="733"/>
    </row>
    <row r="19696" spans="2:5">
      <c r="B19696" s="121">
        <v>1635</v>
      </c>
      <c r="C19696" s="121">
        <v>12</v>
      </c>
      <c r="D19696" s="734">
        <v>136.76760683540425</v>
      </c>
      <c r="E19696" s="733"/>
    </row>
    <row r="19697" spans="2:5">
      <c r="B19697" s="121">
        <v>1635</v>
      </c>
      <c r="C19697" s="121">
        <v>13</v>
      </c>
      <c r="D19697" s="734">
        <v>135.87260079229767</v>
      </c>
      <c r="E19697" s="733"/>
    </row>
    <row r="19698" spans="2:5">
      <c r="B19698" s="121">
        <v>1635</v>
      </c>
      <c r="C19698" s="121">
        <v>14</v>
      </c>
      <c r="D19698" s="734">
        <v>134.73189506988894</v>
      </c>
      <c r="E19698" s="733"/>
    </row>
    <row r="19699" spans="2:5">
      <c r="B19699" s="121">
        <v>1635</v>
      </c>
      <c r="C19699" s="121">
        <v>15</v>
      </c>
      <c r="D19699" s="734">
        <v>133.95630823090485</v>
      </c>
      <c r="E19699" s="733"/>
    </row>
    <row r="19700" spans="2:5">
      <c r="B19700" s="121">
        <v>1635</v>
      </c>
      <c r="C19700" s="121">
        <v>16</v>
      </c>
      <c r="D19700" s="734">
        <v>146.67934230891117</v>
      </c>
      <c r="E19700" s="733"/>
    </row>
    <row r="19701" spans="2:5">
      <c r="B19701" s="121">
        <v>1635</v>
      </c>
      <c r="C19701" s="121">
        <v>17</v>
      </c>
      <c r="D19701" s="734">
        <v>140.084549223381</v>
      </c>
      <c r="E19701" s="733"/>
    </row>
    <row r="19702" spans="2:5">
      <c r="B19702" s="121">
        <v>1636</v>
      </c>
      <c r="C19702" s="121">
        <v>1</v>
      </c>
      <c r="D19702" s="734">
        <v>5</v>
      </c>
      <c r="E19702" s="733"/>
    </row>
    <row r="19703" spans="2:5">
      <c r="B19703" s="121">
        <v>1637</v>
      </c>
      <c r="C19703" s="121">
        <v>1</v>
      </c>
      <c r="D19703" s="734">
        <v>5</v>
      </c>
      <c r="E19703" s="733"/>
    </row>
    <row r="19704" spans="2:5">
      <c r="B19704" s="121">
        <v>1637</v>
      </c>
      <c r="C19704" s="121">
        <v>2</v>
      </c>
      <c r="D19704" s="734">
        <v>143.50912189235891</v>
      </c>
      <c r="E19704" s="733"/>
    </row>
    <row r="19705" spans="2:5">
      <c r="B19705" s="121">
        <v>1637</v>
      </c>
      <c r="C19705" s="121">
        <v>3</v>
      </c>
      <c r="D19705" s="734">
        <v>133.72025224309166</v>
      </c>
      <c r="E19705" s="733"/>
    </row>
    <row r="19706" spans="2:5">
      <c r="B19706" s="121">
        <v>1637</v>
      </c>
      <c r="C19706" s="121">
        <v>4</v>
      </c>
      <c r="D19706" s="734">
        <v>134.90996680049361</v>
      </c>
      <c r="E19706" s="733"/>
    </row>
    <row r="19707" spans="2:5">
      <c r="B19707" s="121">
        <v>1637</v>
      </c>
      <c r="C19707" s="121">
        <v>5</v>
      </c>
      <c r="D19707" s="734">
        <v>5.0210064564404746</v>
      </c>
      <c r="E19707" s="733"/>
    </row>
    <row r="19708" spans="2:5">
      <c r="B19708" s="121">
        <v>1637</v>
      </c>
      <c r="C19708" s="121">
        <v>6</v>
      </c>
      <c r="D19708" s="734">
        <v>5.0210064564404746</v>
      </c>
      <c r="E19708" s="733"/>
    </row>
    <row r="19709" spans="2:5">
      <c r="B19709" s="121">
        <v>1637</v>
      </c>
      <c r="C19709" s="121">
        <v>7</v>
      </c>
      <c r="D19709" s="734">
        <v>96.191266552805672</v>
      </c>
      <c r="E19709" s="733"/>
    </row>
    <row r="19710" spans="2:5">
      <c r="B19710" s="121">
        <v>1637</v>
      </c>
      <c r="C19710" s="121">
        <v>8</v>
      </c>
      <c r="D19710" s="734">
        <v>119.62599557512848</v>
      </c>
      <c r="E19710" s="733"/>
    </row>
    <row r="19711" spans="2:5">
      <c r="B19711" s="121">
        <v>1637</v>
      </c>
      <c r="C19711" s="121">
        <v>9</v>
      </c>
      <c r="D19711" s="734">
        <v>145.59289654015728</v>
      </c>
      <c r="E19711" s="733"/>
    </row>
    <row r="19712" spans="2:5">
      <c r="B19712" s="121">
        <v>1637</v>
      </c>
      <c r="C19712" s="121">
        <v>10</v>
      </c>
      <c r="D19712" s="734">
        <v>143.65045678033169</v>
      </c>
      <c r="E19712" s="733"/>
    </row>
    <row r="19713" spans="2:5">
      <c r="B19713" s="121">
        <v>1637</v>
      </c>
      <c r="C19713" s="121">
        <v>11</v>
      </c>
      <c r="D19713" s="734">
        <v>141.74258150896028</v>
      </c>
      <c r="E19713" s="733"/>
    </row>
    <row r="19714" spans="2:5">
      <c r="B19714" s="121">
        <v>1637</v>
      </c>
      <c r="C19714" s="121">
        <v>12</v>
      </c>
      <c r="D19714" s="734">
        <v>143.58662113061672</v>
      </c>
      <c r="E19714" s="733"/>
    </row>
    <row r="19715" spans="2:5">
      <c r="B19715" s="121">
        <v>1637</v>
      </c>
      <c r="C19715" s="121">
        <v>13</v>
      </c>
      <c r="D19715" s="734">
        <v>143.5414795688082</v>
      </c>
      <c r="E19715" s="733"/>
    </row>
    <row r="19716" spans="2:5">
      <c r="B19716" s="121">
        <v>1637</v>
      </c>
      <c r="C19716" s="121">
        <v>14</v>
      </c>
      <c r="D19716" s="734">
        <v>141.68450723687423</v>
      </c>
      <c r="E19716" s="733"/>
    </row>
    <row r="19717" spans="2:5">
      <c r="B19717" s="121">
        <v>1637</v>
      </c>
      <c r="C19717" s="121">
        <v>15</v>
      </c>
      <c r="D19717" s="734">
        <v>146.59346897625099</v>
      </c>
      <c r="E19717" s="733"/>
    </row>
    <row r="19718" spans="2:5">
      <c r="B19718" s="121">
        <v>1637</v>
      </c>
      <c r="C19718" s="121">
        <v>16</v>
      </c>
      <c r="D19718" s="734">
        <v>134.90509756071901</v>
      </c>
      <c r="E19718" s="733"/>
    </row>
    <row r="19719" spans="2:5">
      <c r="B19719" s="121">
        <v>1638</v>
      </c>
      <c r="C19719" s="121">
        <v>1</v>
      </c>
      <c r="D19719" s="734">
        <v>5</v>
      </c>
      <c r="E19719" s="733"/>
    </row>
    <row r="19720" spans="2:5">
      <c r="B19720" s="121">
        <v>1638</v>
      </c>
      <c r="C19720" s="121">
        <v>2</v>
      </c>
      <c r="D19720" s="734">
        <v>137.44783475896321</v>
      </c>
      <c r="E19720" s="733"/>
    </row>
    <row r="19721" spans="2:5">
      <c r="B19721" s="121">
        <v>1638</v>
      </c>
      <c r="C19721" s="121">
        <v>3</v>
      </c>
      <c r="D19721" s="734">
        <v>137.03621099716705</v>
      </c>
      <c r="E19721" s="733"/>
    </row>
    <row r="19722" spans="2:5">
      <c r="B19722" s="121">
        <v>1638</v>
      </c>
      <c r="C19722" s="121">
        <v>4</v>
      </c>
      <c r="D19722" s="734">
        <v>144.23024187167769</v>
      </c>
      <c r="E19722" s="733"/>
    </row>
    <row r="19723" spans="2:5">
      <c r="B19723" s="121">
        <v>1638</v>
      </c>
      <c r="C19723" s="121">
        <v>5</v>
      </c>
      <c r="D19723" s="734">
        <v>146.53341973417989</v>
      </c>
      <c r="E19723" s="733"/>
    </row>
    <row r="19724" spans="2:5">
      <c r="B19724" s="121">
        <v>1638</v>
      </c>
      <c r="C19724" s="121">
        <v>6</v>
      </c>
      <c r="D19724" s="734">
        <v>136.76209644155077</v>
      </c>
      <c r="E19724" s="733"/>
    </row>
    <row r="19725" spans="2:5">
      <c r="B19725" s="121">
        <v>1638</v>
      </c>
      <c r="C19725" s="121">
        <v>7</v>
      </c>
      <c r="D19725" s="734">
        <v>140.77245769698143</v>
      </c>
      <c r="E19725" s="733"/>
    </row>
    <row r="19726" spans="2:5">
      <c r="B19726" s="121">
        <v>1638</v>
      </c>
      <c r="C19726" s="121">
        <v>8</v>
      </c>
      <c r="D19726" s="734">
        <v>139.47087078680727</v>
      </c>
      <c r="E19726" s="733"/>
    </row>
    <row r="19727" spans="2:5">
      <c r="B19727" s="121">
        <v>1638</v>
      </c>
      <c r="C19727" s="121">
        <v>9</v>
      </c>
      <c r="D19727" s="734">
        <v>144.22403129887181</v>
      </c>
      <c r="E19727" s="733"/>
    </row>
    <row r="19728" spans="2:5">
      <c r="B19728" s="121">
        <v>1638</v>
      </c>
      <c r="C19728" s="121">
        <v>10</v>
      </c>
      <c r="D19728" s="734">
        <v>139.70273101705837</v>
      </c>
      <c r="E19728" s="733"/>
    </row>
    <row r="19729" spans="2:5">
      <c r="B19729" s="121">
        <v>1638</v>
      </c>
      <c r="C19729" s="121">
        <v>11</v>
      </c>
      <c r="D19729" s="734">
        <v>144.87729856040855</v>
      </c>
      <c r="E19729" s="733"/>
    </row>
    <row r="19730" spans="2:5">
      <c r="B19730" s="121">
        <v>1638</v>
      </c>
      <c r="C19730" s="121">
        <v>12</v>
      </c>
      <c r="D19730" s="734">
        <v>136.73571540184187</v>
      </c>
      <c r="E19730" s="733"/>
    </row>
    <row r="19731" spans="2:5">
      <c r="B19731" s="121">
        <v>1638</v>
      </c>
      <c r="C19731" s="121">
        <v>13</v>
      </c>
      <c r="D19731" s="734">
        <v>139.53897455401759</v>
      </c>
      <c r="E19731" s="733"/>
    </row>
    <row r="19732" spans="2:5">
      <c r="B19732" s="121">
        <v>1638</v>
      </c>
      <c r="C19732" s="121">
        <v>14</v>
      </c>
      <c r="D19732" s="734">
        <v>143.77991357809645</v>
      </c>
      <c r="E19732" s="733"/>
    </row>
    <row r="19733" spans="2:5">
      <c r="B19733" s="121">
        <v>1638</v>
      </c>
      <c r="C19733" s="121">
        <v>15</v>
      </c>
      <c r="D19733" s="734">
        <v>140.91701243663192</v>
      </c>
      <c r="E19733" s="733"/>
    </row>
    <row r="19734" spans="2:5">
      <c r="B19734" s="121">
        <v>1638</v>
      </c>
      <c r="C19734" s="121">
        <v>16</v>
      </c>
      <c r="D19734" s="734">
        <v>143.07360384901162</v>
      </c>
      <c r="E19734" s="733"/>
    </row>
    <row r="19735" spans="2:5">
      <c r="B19735" s="121">
        <v>1638</v>
      </c>
      <c r="C19735" s="121">
        <v>17</v>
      </c>
      <c r="D19735" s="734">
        <v>135.83278086114012</v>
      </c>
      <c r="E19735" s="733"/>
    </row>
    <row r="19736" spans="2:5">
      <c r="B19736" s="121">
        <v>1638</v>
      </c>
      <c r="C19736" s="121">
        <v>18</v>
      </c>
      <c r="D19736" s="734">
        <v>5.0210064564404746</v>
      </c>
      <c r="E19736" s="733"/>
    </row>
    <row r="19737" spans="2:5">
      <c r="B19737" s="121">
        <v>1638</v>
      </c>
      <c r="C19737" s="121">
        <v>19</v>
      </c>
      <c r="D19737" s="734">
        <v>5.0210064564404746</v>
      </c>
      <c r="E19737" s="733"/>
    </row>
    <row r="19738" spans="2:5">
      <c r="B19738" s="121">
        <v>1638</v>
      </c>
      <c r="C19738" s="121">
        <v>20</v>
      </c>
      <c r="D19738" s="734">
        <v>98.20512557150299</v>
      </c>
      <c r="E19738" s="733"/>
    </row>
    <row r="19739" spans="2:5">
      <c r="B19739" s="121">
        <v>1638</v>
      </c>
      <c r="C19739" s="121">
        <v>21</v>
      </c>
      <c r="D19739" s="734">
        <v>5.0210064564404746</v>
      </c>
      <c r="E19739" s="733"/>
    </row>
    <row r="19740" spans="2:5">
      <c r="B19740" s="121">
        <v>1638</v>
      </c>
      <c r="C19740" s="121">
        <v>22</v>
      </c>
      <c r="D19740" s="734">
        <v>101.33564924941625</v>
      </c>
      <c r="E19740" s="733"/>
    </row>
    <row r="19741" spans="2:5">
      <c r="B19741" s="121">
        <v>1638</v>
      </c>
      <c r="C19741" s="121">
        <v>23</v>
      </c>
      <c r="D19741" s="734">
        <v>126.22679958716819</v>
      </c>
      <c r="E19741" s="733"/>
    </row>
    <row r="19742" spans="2:5">
      <c r="B19742" s="121">
        <v>1638</v>
      </c>
      <c r="C19742" s="121">
        <v>24</v>
      </c>
      <c r="D19742" s="734">
        <v>141.56120134963606</v>
      </c>
      <c r="E19742" s="733"/>
    </row>
    <row r="19743" spans="2:5">
      <c r="B19743" s="121">
        <v>1638</v>
      </c>
      <c r="C19743" s="121">
        <v>25</v>
      </c>
      <c r="D19743" s="734">
        <v>139.44663337593988</v>
      </c>
      <c r="E19743" s="733"/>
    </row>
    <row r="19744" spans="2:5">
      <c r="B19744" s="121">
        <v>1638</v>
      </c>
      <c r="C19744" s="121">
        <v>26</v>
      </c>
      <c r="D19744" s="734">
        <v>136.38645453928203</v>
      </c>
      <c r="E19744" s="733"/>
    </row>
    <row r="19745" spans="2:5">
      <c r="B19745" s="121">
        <v>1638</v>
      </c>
      <c r="C19745" s="121">
        <v>27</v>
      </c>
      <c r="D19745" s="734">
        <v>140.06029380988471</v>
      </c>
      <c r="E19745" s="733"/>
    </row>
    <row r="19746" spans="2:5">
      <c r="B19746" s="121">
        <v>1638</v>
      </c>
      <c r="C19746" s="121">
        <v>28</v>
      </c>
      <c r="D19746" s="734">
        <v>5.0210064564404746</v>
      </c>
      <c r="E19746" s="733"/>
    </row>
    <row r="19747" spans="2:5">
      <c r="B19747" s="121">
        <v>1638</v>
      </c>
      <c r="C19747" s="121">
        <v>29</v>
      </c>
      <c r="D19747" s="734">
        <v>96.192054706232881</v>
      </c>
      <c r="E19747" s="733"/>
    </row>
    <row r="19748" spans="2:5">
      <c r="B19748" s="121">
        <v>1639</v>
      </c>
      <c r="C19748" s="121">
        <v>1</v>
      </c>
      <c r="D19748" s="734">
        <v>5</v>
      </c>
      <c r="E19748" s="733"/>
    </row>
    <row r="19749" spans="2:5">
      <c r="B19749" s="121">
        <v>1640</v>
      </c>
      <c r="C19749" s="121">
        <v>1</v>
      </c>
      <c r="D19749" s="734">
        <v>5</v>
      </c>
      <c r="E19749" s="733"/>
    </row>
    <row r="19750" spans="2:5">
      <c r="B19750" s="121">
        <v>1640</v>
      </c>
      <c r="C19750" s="121">
        <v>2</v>
      </c>
      <c r="D19750" s="734">
        <v>4.9446202531645573</v>
      </c>
      <c r="E19750" s="733"/>
    </row>
    <row r="19751" spans="2:5">
      <c r="B19751" s="121">
        <v>1640</v>
      </c>
      <c r="C19751" s="121">
        <v>3</v>
      </c>
      <c r="D19751" s="734">
        <v>95.003700603406202</v>
      </c>
      <c r="E19751" s="733"/>
    </row>
    <row r="19752" spans="2:5">
      <c r="B19752" s="121">
        <v>1640</v>
      </c>
      <c r="C19752" s="121">
        <v>4</v>
      </c>
      <c r="D19752" s="734">
        <v>121.36267531634573</v>
      </c>
      <c r="E19752" s="733"/>
    </row>
    <row r="19753" spans="2:5">
      <c r="B19753" s="121">
        <v>1640</v>
      </c>
      <c r="C19753" s="121">
        <v>5</v>
      </c>
      <c r="D19753" s="734">
        <v>135.25189337251774</v>
      </c>
      <c r="E19753" s="733"/>
    </row>
    <row r="19754" spans="2:5">
      <c r="B19754" s="121">
        <v>1640</v>
      </c>
      <c r="C19754" s="121">
        <v>6</v>
      </c>
      <c r="D19754" s="734">
        <v>134.81667887946276</v>
      </c>
      <c r="E19754" s="733"/>
    </row>
    <row r="19755" spans="2:5">
      <c r="B19755" s="121">
        <v>1640</v>
      </c>
      <c r="C19755" s="121">
        <v>7</v>
      </c>
      <c r="D19755" s="734">
        <v>137.53014953242456</v>
      </c>
      <c r="E19755" s="733"/>
    </row>
    <row r="19756" spans="2:5">
      <c r="B19756" s="121">
        <v>1640</v>
      </c>
      <c r="C19756" s="121">
        <v>8</v>
      </c>
      <c r="D19756" s="734">
        <v>134.85110513636658</v>
      </c>
      <c r="E19756" s="733"/>
    </row>
    <row r="19757" spans="2:5">
      <c r="B19757" s="121">
        <v>1640</v>
      </c>
      <c r="C19757" s="121">
        <v>9</v>
      </c>
      <c r="D19757" s="734">
        <v>146.82983820476537</v>
      </c>
      <c r="E19757" s="733"/>
    </row>
    <row r="19758" spans="2:5">
      <c r="B19758" s="121">
        <v>1640</v>
      </c>
      <c r="C19758" s="121">
        <v>10</v>
      </c>
      <c r="D19758" s="734">
        <v>145.6626001912756</v>
      </c>
      <c r="E19758" s="733"/>
    </row>
    <row r="19759" spans="2:5">
      <c r="B19759" s="121">
        <v>1640</v>
      </c>
      <c r="C19759" s="121">
        <v>11</v>
      </c>
      <c r="D19759" s="734">
        <v>142.51711479890696</v>
      </c>
      <c r="E19759" s="733"/>
    </row>
    <row r="19760" spans="2:5">
      <c r="B19760" s="121">
        <v>1640</v>
      </c>
      <c r="C19760" s="121">
        <v>12</v>
      </c>
      <c r="D19760" s="734">
        <v>147.28072017519307</v>
      </c>
      <c r="E19760" s="733"/>
    </row>
    <row r="19761" spans="2:5">
      <c r="B19761" s="121">
        <v>1640</v>
      </c>
      <c r="C19761" s="121">
        <v>13</v>
      </c>
      <c r="D19761" s="734">
        <v>139.77792329599276</v>
      </c>
      <c r="E19761" s="733"/>
    </row>
    <row r="19762" spans="2:5">
      <c r="B19762" s="121">
        <v>1640</v>
      </c>
      <c r="C19762" s="121">
        <v>14</v>
      </c>
      <c r="D19762" s="734">
        <v>134.50319004866128</v>
      </c>
      <c r="E19762" s="733"/>
    </row>
    <row r="19763" spans="2:5">
      <c r="B19763" s="121">
        <v>1640</v>
      </c>
      <c r="C19763" s="121">
        <v>15</v>
      </c>
      <c r="D19763" s="734">
        <v>146.65225712472653</v>
      </c>
      <c r="E19763" s="733"/>
    </row>
    <row r="19764" spans="2:5">
      <c r="B19764" s="121">
        <v>1640</v>
      </c>
      <c r="C19764" s="121">
        <v>16</v>
      </c>
      <c r="D19764" s="734">
        <v>139.83152441047733</v>
      </c>
      <c r="E19764" s="733"/>
    </row>
    <row r="19765" spans="2:5">
      <c r="B19765" s="121">
        <v>1640</v>
      </c>
      <c r="C19765" s="121">
        <v>17</v>
      </c>
      <c r="D19765" s="734">
        <v>5.0210064564404746</v>
      </c>
      <c r="E19765" s="733"/>
    </row>
    <row r="19766" spans="2:5">
      <c r="B19766" s="121">
        <v>1640</v>
      </c>
      <c r="C19766" s="121">
        <v>18</v>
      </c>
      <c r="D19766" s="734">
        <v>5.0210064564404746</v>
      </c>
      <c r="E19766" s="733"/>
    </row>
    <row r="19767" spans="2:5">
      <c r="B19767" s="121">
        <v>1640</v>
      </c>
      <c r="C19767" s="121">
        <v>19</v>
      </c>
      <c r="D19767" s="734">
        <v>98.562668572255689</v>
      </c>
      <c r="E19767" s="733"/>
    </row>
    <row r="19768" spans="2:5">
      <c r="B19768" s="121">
        <v>1640</v>
      </c>
      <c r="C19768" s="121">
        <v>20</v>
      </c>
      <c r="D19768" s="734">
        <v>121.98605294068011</v>
      </c>
      <c r="E19768" s="733"/>
    </row>
    <row r="19769" spans="2:5">
      <c r="B19769" s="121">
        <v>1640</v>
      </c>
      <c r="C19769" s="121">
        <v>21</v>
      </c>
      <c r="D19769" s="734">
        <v>139.95643733153824</v>
      </c>
      <c r="E19769" s="733"/>
    </row>
    <row r="19770" spans="2:5">
      <c r="B19770" s="121">
        <v>1640</v>
      </c>
      <c r="C19770" s="121">
        <v>22</v>
      </c>
      <c r="D19770" s="734">
        <v>133.72876050193483</v>
      </c>
      <c r="E19770" s="733"/>
    </row>
    <row r="19771" spans="2:5">
      <c r="B19771" s="121">
        <v>1640</v>
      </c>
      <c r="C19771" s="121">
        <v>23</v>
      </c>
      <c r="D19771" s="734">
        <v>140.8067053190149</v>
      </c>
      <c r="E19771" s="733"/>
    </row>
    <row r="19772" spans="2:5">
      <c r="B19772" s="121">
        <v>1640</v>
      </c>
      <c r="C19772" s="121">
        <v>24</v>
      </c>
      <c r="D19772" s="734">
        <v>138.46375827945309</v>
      </c>
      <c r="E19772" s="733"/>
    </row>
    <row r="19773" spans="2:5">
      <c r="B19773" s="121">
        <v>1640</v>
      </c>
      <c r="C19773" s="121">
        <v>25</v>
      </c>
      <c r="D19773" s="734">
        <v>146.07556164197314</v>
      </c>
      <c r="E19773" s="733"/>
    </row>
    <row r="19774" spans="2:5">
      <c r="B19774" s="121">
        <v>1640</v>
      </c>
      <c r="C19774" s="121">
        <v>26</v>
      </c>
      <c r="D19774" s="734">
        <v>138.79929553893183</v>
      </c>
      <c r="E19774" s="733"/>
    </row>
    <row r="19775" spans="2:5">
      <c r="B19775" s="121">
        <v>1640</v>
      </c>
      <c r="C19775" s="121">
        <v>27</v>
      </c>
      <c r="D19775" s="734">
        <v>137.01688854708496</v>
      </c>
      <c r="E19775" s="733"/>
    </row>
    <row r="19776" spans="2:5">
      <c r="B19776" s="121">
        <v>1640</v>
      </c>
      <c r="C19776" s="121">
        <v>28</v>
      </c>
      <c r="D19776" s="734">
        <v>135.91508448848921</v>
      </c>
      <c r="E19776" s="733"/>
    </row>
    <row r="19777" spans="2:5">
      <c r="B19777" s="121">
        <v>1640</v>
      </c>
      <c r="C19777" s="121">
        <v>29</v>
      </c>
      <c r="D19777" s="734">
        <v>142.41687618076219</v>
      </c>
      <c r="E19777" s="733"/>
    </row>
    <row r="19778" spans="2:5">
      <c r="B19778" s="121">
        <v>1640</v>
      </c>
      <c r="C19778" s="121">
        <v>30</v>
      </c>
      <c r="D19778" s="734">
        <v>135.47591939739209</v>
      </c>
      <c r="E19778" s="733"/>
    </row>
    <row r="19779" spans="2:5">
      <c r="B19779" s="121">
        <v>1640</v>
      </c>
      <c r="C19779" s="121">
        <v>31</v>
      </c>
      <c r="D19779" s="734">
        <v>146.59254280009444</v>
      </c>
      <c r="E19779" s="733"/>
    </row>
    <row r="19780" spans="2:5">
      <c r="B19780" s="121">
        <v>1640</v>
      </c>
      <c r="C19780" s="121">
        <v>32</v>
      </c>
      <c r="D19780" s="734">
        <v>136.8009220221509</v>
      </c>
      <c r="E19780" s="733"/>
    </row>
    <row r="19781" spans="2:5">
      <c r="B19781" s="121">
        <v>1640</v>
      </c>
      <c r="C19781" s="121">
        <v>33</v>
      </c>
      <c r="D19781" s="734">
        <v>135.28334577224385</v>
      </c>
      <c r="E19781" s="733"/>
    </row>
    <row r="19782" spans="2:5">
      <c r="B19782" s="121">
        <v>1640</v>
      </c>
      <c r="C19782" s="121">
        <v>34</v>
      </c>
      <c r="D19782" s="734">
        <v>137.62634338414392</v>
      </c>
      <c r="E19782" s="733"/>
    </row>
    <row r="19783" spans="2:5">
      <c r="B19783" s="121">
        <v>1640</v>
      </c>
      <c r="C19783" s="121">
        <v>35</v>
      </c>
      <c r="D19783" s="734">
        <v>135.01865425104958</v>
      </c>
      <c r="E19783" s="733"/>
    </row>
    <row r="19784" spans="2:5">
      <c r="B19784" s="121">
        <v>1640</v>
      </c>
      <c r="C19784" s="121">
        <v>36</v>
      </c>
      <c r="D19784" s="734">
        <v>145.21655721913285</v>
      </c>
      <c r="E19784" s="733"/>
    </row>
    <row r="19785" spans="2:5">
      <c r="B19785" s="121">
        <v>1641</v>
      </c>
      <c r="C19785" s="121">
        <v>1</v>
      </c>
      <c r="D19785" s="734">
        <v>5</v>
      </c>
      <c r="E19785" s="733"/>
    </row>
    <row r="19786" spans="2:5">
      <c r="B19786" s="121">
        <v>1641</v>
      </c>
      <c r="C19786" s="121">
        <v>2</v>
      </c>
      <c r="D19786" s="734">
        <v>136.83098318328655</v>
      </c>
      <c r="E19786" s="733"/>
    </row>
    <row r="19787" spans="2:5">
      <c r="B19787" s="121">
        <v>1641</v>
      </c>
      <c r="C19787" s="121">
        <v>3</v>
      </c>
      <c r="D19787" s="734">
        <v>138.16718271270378</v>
      </c>
      <c r="E19787" s="733"/>
    </row>
    <row r="19788" spans="2:5">
      <c r="B19788" s="121">
        <v>1641</v>
      </c>
      <c r="C19788" s="121">
        <v>4</v>
      </c>
      <c r="D19788" s="734">
        <v>142.02005840474226</v>
      </c>
      <c r="E19788" s="733"/>
    </row>
    <row r="19789" spans="2:5">
      <c r="B19789" s="121">
        <v>1642</v>
      </c>
      <c r="C19789" s="121">
        <v>1</v>
      </c>
      <c r="D19789" s="734">
        <v>5</v>
      </c>
      <c r="E19789" s="733"/>
    </row>
    <row r="19790" spans="2:5">
      <c r="B19790" s="121">
        <v>1642</v>
      </c>
      <c r="C19790" s="121">
        <v>2</v>
      </c>
      <c r="D19790" s="734">
        <v>102.90976525782769</v>
      </c>
      <c r="E19790" s="733"/>
    </row>
    <row r="19791" spans="2:5">
      <c r="B19791" s="121">
        <v>1642</v>
      </c>
      <c r="C19791" s="121">
        <v>3</v>
      </c>
      <c r="D19791" s="734">
        <v>123.79941147708311</v>
      </c>
      <c r="E19791" s="733"/>
    </row>
    <row r="19792" spans="2:5">
      <c r="B19792" s="121">
        <v>1642</v>
      </c>
      <c r="C19792" s="121">
        <v>4</v>
      </c>
      <c r="D19792" s="734">
        <v>144.81583283521428</v>
      </c>
      <c r="E19792" s="733"/>
    </row>
    <row r="19793" spans="2:5">
      <c r="B19793" s="121">
        <v>1642</v>
      </c>
      <c r="C19793" s="121">
        <v>5</v>
      </c>
      <c r="D19793" s="734">
        <v>136.9665768735567</v>
      </c>
      <c r="E19793" s="733"/>
    </row>
    <row r="19794" spans="2:5">
      <c r="B19794" s="121">
        <v>1642</v>
      </c>
      <c r="C19794" s="121">
        <v>6</v>
      </c>
      <c r="D19794" s="734">
        <v>135.9056480834646</v>
      </c>
      <c r="E19794" s="733"/>
    </row>
    <row r="19795" spans="2:5">
      <c r="B19795" s="121">
        <v>1642</v>
      </c>
      <c r="C19795" s="121">
        <v>7</v>
      </c>
      <c r="D19795" s="734">
        <v>144.01760212710823</v>
      </c>
      <c r="E19795" s="733"/>
    </row>
    <row r="19796" spans="2:5">
      <c r="B19796" s="121">
        <v>1642</v>
      </c>
      <c r="C19796" s="121">
        <v>8</v>
      </c>
      <c r="D19796" s="734">
        <v>137.78542902821053</v>
      </c>
      <c r="E19796" s="733"/>
    </row>
    <row r="19797" spans="2:5">
      <c r="B19797" s="121">
        <v>1642</v>
      </c>
      <c r="C19797" s="121">
        <v>9</v>
      </c>
      <c r="D19797" s="734">
        <v>143.21656785744929</v>
      </c>
      <c r="E19797" s="733"/>
    </row>
    <row r="19798" spans="2:5">
      <c r="B19798" s="121">
        <v>1642</v>
      </c>
      <c r="C19798" s="121">
        <v>10</v>
      </c>
      <c r="D19798" s="734">
        <v>138.22245497433366</v>
      </c>
      <c r="E19798" s="733"/>
    </row>
    <row r="19799" spans="2:5">
      <c r="B19799" s="121">
        <v>1642</v>
      </c>
      <c r="C19799" s="121">
        <v>11</v>
      </c>
      <c r="D19799" s="734">
        <v>143.70015734058205</v>
      </c>
      <c r="E19799" s="733"/>
    </row>
    <row r="19800" spans="2:5">
      <c r="B19800" s="121">
        <v>1643</v>
      </c>
      <c r="C19800" s="121">
        <v>1</v>
      </c>
      <c r="D19800" s="734">
        <v>5</v>
      </c>
      <c r="E19800" s="733"/>
    </row>
    <row r="19801" spans="2:5">
      <c r="B19801" s="121">
        <v>1643</v>
      </c>
      <c r="C19801" s="121">
        <v>2</v>
      </c>
      <c r="D19801" s="734">
        <v>4.9446202531645573</v>
      </c>
      <c r="E19801" s="733"/>
    </row>
    <row r="19802" spans="2:5">
      <c r="B19802" s="121">
        <v>1643</v>
      </c>
      <c r="C19802" s="121">
        <v>3</v>
      </c>
      <c r="D19802" s="734">
        <v>101.98768868698973</v>
      </c>
      <c r="E19802" s="733"/>
    </row>
    <row r="19803" spans="2:5">
      <c r="B19803" s="121">
        <v>1643</v>
      </c>
      <c r="C19803" s="121">
        <v>4</v>
      </c>
      <c r="D19803" s="734">
        <v>121.76824492188203</v>
      </c>
      <c r="E19803" s="733"/>
    </row>
    <row r="19804" spans="2:5">
      <c r="B19804" s="121">
        <v>1643</v>
      </c>
      <c r="C19804" s="121">
        <v>5</v>
      </c>
      <c r="D19804" s="734">
        <v>146.44728547909372</v>
      </c>
      <c r="E19804" s="733"/>
    </row>
    <row r="19805" spans="2:5">
      <c r="B19805" s="121">
        <v>1643</v>
      </c>
      <c r="C19805" s="121">
        <v>6</v>
      </c>
      <c r="D19805" s="734">
        <v>140.66495298350389</v>
      </c>
      <c r="E19805" s="733"/>
    </row>
    <row r="19806" spans="2:5">
      <c r="B19806" s="121">
        <v>1643</v>
      </c>
      <c r="C19806" s="121">
        <v>7</v>
      </c>
      <c r="D19806" s="734">
        <v>143.5982586007467</v>
      </c>
      <c r="E19806" s="733"/>
    </row>
    <row r="19807" spans="2:5">
      <c r="B19807" s="121">
        <v>1643</v>
      </c>
      <c r="C19807" s="121">
        <v>8</v>
      </c>
      <c r="D19807" s="734">
        <v>136.62871661743819</v>
      </c>
      <c r="E19807" s="733"/>
    </row>
    <row r="19808" spans="2:5">
      <c r="B19808" s="121">
        <v>1643</v>
      </c>
      <c r="C19808" s="121">
        <v>9</v>
      </c>
      <c r="D19808" s="734">
        <v>139.4528654986963</v>
      </c>
      <c r="E19808" s="733"/>
    </row>
    <row r="19809" spans="2:5">
      <c r="B19809" s="121">
        <v>1643</v>
      </c>
      <c r="C19809" s="121">
        <v>10</v>
      </c>
      <c r="D19809" s="734">
        <v>145.26497193457732</v>
      </c>
      <c r="E19809" s="733"/>
    </row>
    <row r="19810" spans="2:5">
      <c r="B19810" s="121">
        <v>1643</v>
      </c>
      <c r="C19810" s="121">
        <v>11</v>
      </c>
      <c r="D19810" s="734">
        <v>143.70492920177077</v>
      </c>
      <c r="E19810" s="733"/>
    </row>
    <row r="19811" spans="2:5">
      <c r="B19811" s="121">
        <v>1643</v>
      </c>
      <c r="C19811" s="121">
        <v>12</v>
      </c>
      <c r="D19811" s="734">
        <v>133.97592054934233</v>
      </c>
      <c r="E19811" s="733"/>
    </row>
    <row r="19812" spans="2:5">
      <c r="B19812" s="121">
        <v>1643</v>
      </c>
      <c r="C19812" s="121">
        <v>13</v>
      </c>
      <c r="D19812" s="734">
        <v>140.63028416640213</v>
      </c>
      <c r="E19812" s="733"/>
    </row>
    <row r="19813" spans="2:5">
      <c r="B19813" s="121">
        <v>1643</v>
      </c>
      <c r="C19813" s="121">
        <v>14</v>
      </c>
      <c r="D19813" s="734">
        <v>144.00377532518684</v>
      </c>
      <c r="E19813" s="733"/>
    </row>
    <row r="19814" spans="2:5">
      <c r="B19814" s="121">
        <v>1643</v>
      </c>
      <c r="C19814" s="121">
        <v>15</v>
      </c>
      <c r="D19814" s="734">
        <v>134.86441007529544</v>
      </c>
      <c r="E19814" s="733"/>
    </row>
    <row r="19815" spans="2:5">
      <c r="B19815" s="121">
        <v>1643</v>
      </c>
      <c r="C19815" s="121">
        <v>16</v>
      </c>
      <c r="D19815" s="734">
        <v>146.88220172762189</v>
      </c>
      <c r="E19815" s="733"/>
    </row>
    <row r="19816" spans="2:5">
      <c r="B19816" s="121">
        <v>1643</v>
      </c>
      <c r="C19816" s="121">
        <v>17</v>
      </c>
      <c r="D19816" s="734">
        <v>136.53716115809721</v>
      </c>
      <c r="E19816" s="733"/>
    </row>
    <row r="19817" spans="2:5">
      <c r="B19817" s="121">
        <v>1643</v>
      </c>
      <c r="C19817" s="121">
        <v>18</v>
      </c>
      <c r="D19817" s="734">
        <v>142.66511171935582</v>
      </c>
      <c r="E19817" s="733"/>
    </row>
    <row r="19818" spans="2:5">
      <c r="B19818" s="121">
        <v>1643</v>
      </c>
      <c r="C19818" s="121">
        <v>19</v>
      </c>
      <c r="D19818" s="734">
        <v>5.0210064564404746</v>
      </c>
      <c r="E19818" s="733"/>
    </row>
    <row r="19819" spans="2:5">
      <c r="B19819" s="121">
        <v>1643</v>
      </c>
      <c r="C19819" s="121">
        <v>20</v>
      </c>
      <c r="D19819" s="734">
        <v>96.0033826521517</v>
      </c>
      <c r="E19819" s="733"/>
    </row>
    <row r="19820" spans="2:5">
      <c r="B19820" s="121">
        <v>1643</v>
      </c>
      <c r="C19820" s="121">
        <v>21</v>
      </c>
      <c r="D19820" s="734">
        <v>116.36036660806803</v>
      </c>
      <c r="E19820" s="733"/>
    </row>
    <row r="19821" spans="2:5">
      <c r="B19821" s="121">
        <v>1643</v>
      </c>
      <c r="C19821" s="121">
        <v>22</v>
      </c>
      <c r="D19821" s="734">
        <v>146.92688133168303</v>
      </c>
      <c r="E19821" s="733"/>
    </row>
    <row r="19822" spans="2:5">
      <c r="B19822" s="121">
        <v>1643</v>
      </c>
      <c r="C19822" s="121">
        <v>23</v>
      </c>
      <c r="D19822" s="734">
        <v>138.99462329397957</v>
      </c>
      <c r="E19822" s="733"/>
    </row>
    <row r="19823" spans="2:5">
      <c r="B19823" s="121">
        <v>1643</v>
      </c>
      <c r="C19823" s="121">
        <v>24</v>
      </c>
      <c r="D19823" s="734">
        <v>146.41345146293833</v>
      </c>
      <c r="E19823" s="733"/>
    </row>
    <row r="19824" spans="2:5">
      <c r="B19824" s="121">
        <v>1643</v>
      </c>
      <c r="C19824" s="121">
        <v>25</v>
      </c>
      <c r="D19824" s="734">
        <v>137.39687235242388</v>
      </c>
      <c r="E19824" s="733"/>
    </row>
    <row r="19825" spans="2:5">
      <c r="B19825" s="121">
        <v>1643</v>
      </c>
      <c r="C19825" s="121">
        <v>26</v>
      </c>
      <c r="D19825" s="734">
        <v>144.69575277375534</v>
      </c>
      <c r="E19825" s="733"/>
    </row>
    <row r="19826" spans="2:5">
      <c r="B19826" s="121">
        <v>1643</v>
      </c>
      <c r="C19826" s="121">
        <v>27</v>
      </c>
      <c r="D19826" s="734">
        <v>135.80386339777215</v>
      </c>
      <c r="E19826" s="733"/>
    </row>
    <row r="19827" spans="2:5">
      <c r="B19827" s="121">
        <v>1643</v>
      </c>
      <c r="C19827" s="121">
        <v>28</v>
      </c>
      <c r="D19827" s="734">
        <v>140.06409193789955</v>
      </c>
      <c r="E19827" s="733"/>
    </row>
    <row r="19828" spans="2:5">
      <c r="B19828" s="121">
        <v>1643</v>
      </c>
      <c r="C19828" s="121">
        <v>29</v>
      </c>
      <c r="D19828" s="734">
        <v>138.70545010803156</v>
      </c>
      <c r="E19828" s="733"/>
    </row>
    <row r="19829" spans="2:5">
      <c r="B19829" s="121">
        <v>1644</v>
      </c>
      <c r="C19829" s="121">
        <v>1</v>
      </c>
      <c r="D19829" s="734">
        <v>5</v>
      </c>
      <c r="E19829" s="733"/>
    </row>
    <row r="19830" spans="2:5">
      <c r="B19830" s="121">
        <v>1645</v>
      </c>
      <c r="C19830" s="121">
        <v>1</v>
      </c>
      <c r="D19830" s="734">
        <v>5</v>
      </c>
      <c r="E19830" s="733"/>
    </row>
    <row r="19831" spans="2:5">
      <c r="B19831" s="121">
        <v>1645</v>
      </c>
      <c r="C19831" s="121">
        <v>2</v>
      </c>
      <c r="D19831" s="734">
        <v>141.10276959463278</v>
      </c>
      <c r="E19831" s="733"/>
    </row>
    <row r="19832" spans="2:5">
      <c r="B19832" s="121">
        <v>1645</v>
      </c>
      <c r="C19832" s="121">
        <v>3</v>
      </c>
      <c r="D19832" s="734">
        <v>141.93423541694702</v>
      </c>
      <c r="E19832" s="733"/>
    </row>
    <row r="19833" spans="2:5">
      <c r="B19833" s="121">
        <v>1645</v>
      </c>
      <c r="C19833" s="121">
        <v>4</v>
      </c>
      <c r="D19833" s="734">
        <v>145.80622145113207</v>
      </c>
      <c r="E19833" s="733"/>
    </row>
    <row r="19834" spans="2:5">
      <c r="B19834" s="121">
        <v>1645</v>
      </c>
      <c r="C19834" s="121">
        <v>5</v>
      </c>
      <c r="D19834" s="734">
        <v>137.27653825972266</v>
      </c>
      <c r="E19834" s="733"/>
    </row>
    <row r="19835" spans="2:5">
      <c r="B19835" s="121">
        <v>1645</v>
      </c>
      <c r="C19835" s="121">
        <v>6</v>
      </c>
      <c r="D19835" s="734">
        <v>136.33015642586602</v>
      </c>
      <c r="E19835" s="733"/>
    </row>
    <row r="19836" spans="2:5">
      <c r="B19836" s="121">
        <v>1645</v>
      </c>
      <c r="C19836" s="121">
        <v>7</v>
      </c>
      <c r="D19836" s="734">
        <v>138.37372360434509</v>
      </c>
      <c r="E19836" s="733"/>
    </row>
    <row r="19837" spans="2:5">
      <c r="B19837" s="121">
        <v>1645</v>
      </c>
      <c r="C19837" s="121">
        <v>8</v>
      </c>
      <c r="D19837" s="734">
        <v>144.62278809541789</v>
      </c>
      <c r="E19837" s="733"/>
    </row>
    <row r="19838" spans="2:5">
      <c r="B19838" s="121">
        <v>1645</v>
      </c>
      <c r="C19838" s="121">
        <v>9</v>
      </c>
      <c r="D19838" s="734">
        <v>141.98108726540462</v>
      </c>
      <c r="E19838" s="733"/>
    </row>
    <row r="19839" spans="2:5">
      <c r="B19839" s="121">
        <v>1645</v>
      </c>
      <c r="C19839" s="121">
        <v>10</v>
      </c>
      <c r="D19839" s="734">
        <v>145.22882191765186</v>
      </c>
      <c r="E19839" s="733"/>
    </row>
    <row r="19840" spans="2:5">
      <c r="B19840" s="121">
        <v>1645</v>
      </c>
      <c r="C19840" s="121">
        <v>11</v>
      </c>
      <c r="D19840" s="734">
        <v>137.49309311615923</v>
      </c>
      <c r="E19840" s="733"/>
    </row>
    <row r="19841" spans="2:5">
      <c r="B19841" s="121">
        <v>1645</v>
      </c>
      <c r="C19841" s="121">
        <v>12</v>
      </c>
      <c r="D19841" s="734">
        <v>139.95493609529876</v>
      </c>
      <c r="E19841" s="733"/>
    </row>
    <row r="19842" spans="2:5">
      <c r="B19842" s="121">
        <v>1645</v>
      </c>
      <c r="C19842" s="121">
        <v>13</v>
      </c>
      <c r="D19842" s="734">
        <v>144.48547638886944</v>
      </c>
      <c r="E19842" s="733"/>
    </row>
    <row r="19843" spans="2:5">
      <c r="B19843" s="121">
        <v>1645</v>
      </c>
      <c r="C19843" s="121">
        <v>14</v>
      </c>
      <c r="D19843" s="734">
        <v>146.7878355803519</v>
      </c>
      <c r="E19843" s="733"/>
    </row>
    <row r="19844" spans="2:5">
      <c r="B19844" s="121">
        <v>1645</v>
      </c>
      <c r="C19844" s="121">
        <v>15</v>
      </c>
      <c r="D19844" s="734">
        <v>137.04101638763106</v>
      </c>
      <c r="E19844" s="733"/>
    </row>
    <row r="19845" spans="2:5">
      <c r="B19845" s="121">
        <v>1645</v>
      </c>
      <c r="C19845" s="121">
        <v>16</v>
      </c>
      <c r="D19845" s="734">
        <v>147.04244000601159</v>
      </c>
      <c r="E19845" s="733"/>
    </row>
    <row r="19846" spans="2:5">
      <c r="B19846" s="121">
        <v>1645</v>
      </c>
      <c r="C19846" s="121">
        <v>17</v>
      </c>
      <c r="D19846" s="734">
        <v>138.26274285133468</v>
      </c>
      <c r="E19846" s="733"/>
    </row>
    <row r="19847" spans="2:5">
      <c r="B19847" s="121">
        <v>1645</v>
      </c>
      <c r="C19847" s="121">
        <v>18</v>
      </c>
      <c r="D19847" s="734">
        <v>136.19237686677766</v>
      </c>
      <c r="E19847" s="733"/>
    </row>
    <row r="19848" spans="2:5">
      <c r="B19848" s="121">
        <v>1645</v>
      </c>
      <c r="C19848" s="121">
        <v>19</v>
      </c>
      <c r="D19848" s="734">
        <v>143.25931393620209</v>
      </c>
      <c r="E19848" s="733"/>
    </row>
    <row r="19849" spans="2:5">
      <c r="B19849" s="121">
        <v>1645</v>
      </c>
      <c r="C19849" s="121">
        <v>20</v>
      </c>
      <c r="D19849" s="734">
        <v>134.75747770849287</v>
      </c>
      <c r="E19849" s="733"/>
    </row>
    <row r="19850" spans="2:5">
      <c r="B19850" s="121">
        <v>1645</v>
      </c>
      <c r="C19850" s="121">
        <v>21</v>
      </c>
      <c r="D19850" s="734">
        <v>141.53218825220173</v>
      </c>
      <c r="E19850" s="733"/>
    </row>
    <row r="19851" spans="2:5">
      <c r="B19851" s="121">
        <v>1646</v>
      </c>
      <c r="C19851" s="121">
        <v>1</v>
      </c>
      <c r="D19851" s="734">
        <v>5</v>
      </c>
      <c r="E19851" s="733"/>
    </row>
    <row r="19852" spans="2:5">
      <c r="B19852" s="121">
        <v>1647</v>
      </c>
      <c r="C19852" s="121">
        <v>1</v>
      </c>
      <c r="D19852" s="734">
        <v>5</v>
      </c>
      <c r="E19852" s="733"/>
    </row>
    <row r="19853" spans="2:5">
      <c r="B19853" s="121">
        <v>1648</v>
      </c>
      <c r="C19853" s="121">
        <v>1</v>
      </c>
      <c r="D19853" s="734">
        <v>5</v>
      </c>
      <c r="E19853" s="733"/>
    </row>
    <row r="19854" spans="2:5">
      <c r="B19854" s="121">
        <v>1649</v>
      </c>
      <c r="C19854" s="121">
        <v>1</v>
      </c>
      <c r="D19854" s="734">
        <v>5</v>
      </c>
      <c r="E19854" s="733"/>
    </row>
    <row r="19855" spans="2:5">
      <c r="B19855" s="121">
        <v>1649</v>
      </c>
      <c r="C19855" s="121">
        <v>2</v>
      </c>
      <c r="D19855" s="734">
        <v>100.51957333743474</v>
      </c>
      <c r="E19855" s="733"/>
    </row>
    <row r="19856" spans="2:5">
      <c r="B19856" s="121">
        <v>1649</v>
      </c>
      <c r="C19856" s="121">
        <v>3</v>
      </c>
      <c r="D19856" s="734">
        <v>125.3111253702837</v>
      </c>
      <c r="E19856" s="733"/>
    </row>
    <row r="19857" spans="2:5">
      <c r="B19857" s="121">
        <v>1649</v>
      </c>
      <c r="C19857" s="121">
        <v>4</v>
      </c>
      <c r="D19857" s="734">
        <v>134.58967408201858</v>
      </c>
      <c r="E19857" s="733"/>
    </row>
    <row r="19858" spans="2:5">
      <c r="B19858" s="121">
        <v>1649</v>
      </c>
      <c r="C19858" s="121">
        <v>5</v>
      </c>
      <c r="D19858" s="734">
        <v>140.81419089481506</v>
      </c>
      <c r="E19858" s="733"/>
    </row>
    <row r="19859" spans="2:5">
      <c r="B19859" s="121">
        <v>1649</v>
      </c>
      <c r="C19859" s="121">
        <v>6</v>
      </c>
      <c r="D19859" s="734">
        <v>143.73027353570086</v>
      </c>
      <c r="E19859" s="733"/>
    </row>
    <row r="19860" spans="2:5">
      <c r="B19860" s="121">
        <v>1650</v>
      </c>
      <c r="C19860" s="121">
        <v>1</v>
      </c>
      <c r="D19860" s="734">
        <v>5</v>
      </c>
      <c r="E19860" s="733"/>
    </row>
    <row r="19861" spans="2:5">
      <c r="B19861" s="121">
        <v>1650</v>
      </c>
      <c r="C19861" s="121">
        <v>2</v>
      </c>
      <c r="D19861" s="734">
        <v>136.81015978617904</v>
      </c>
      <c r="E19861" s="733"/>
    </row>
    <row r="19862" spans="2:5">
      <c r="B19862" s="121">
        <v>1650</v>
      </c>
      <c r="C19862" s="121">
        <v>3</v>
      </c>
      <c r="D19862" s="734">
        <v>146.08771293292801</v>
      </c>
      <c r="E19862" s="733"/>
    </row>
    <row r="19863" spans="2:5">
      <c r="B19863" s="121">
        <v>1650</v>
      </c>
      <c r="C19863" s="121">
        <v>4</v>
      </c>
      <c r="D19863" s="734">
        <v>134.17388216517361</v>
      </c>
      <c r="E19863" s="733"/>
    </row>
    <row r="19864" spans="2:5">
      <c r="B19864" s="121">
        <v>1650</v>
      </c>
      <c r="C19864" s="121">
        <v>5</v>
      </c>
      <c r="D19864" s="734">
        <v>145.37180553482099</v>
      </c>
      <c r="E19864" s="733"/>
    </row>
    <row r="19865" spans="2:5">
      <c r="B19865" s="121">
        <v>1650</v>
      </c>
      <c r="C19865" s="121">
        <v>6</v>
      </c>
      <c r="D19865" s="734">
        <v>136.41081934740308</v>
      </c>
      <c r="E19865" s="733"/>
    </row>
    <row r="19866" spans="2:5">
      <c r="B19866" s="121">
        <v>1650</v>
      </c>
      <c r="C19866" s="121">
        <v>7</v>
      </c>
      <c r="D19866" s="734">
        <v>139.45218660445403</v>
      </c>
      <c r="E19866" s="733"/>
    </row>
    <row r="19867" spans="2:5">
      <c r="B19867" s="121">
        <v>1650</v>
      </c>
      <c r="C19867" s="121">
        <v>8</v>
      </c>
      <c r="D19867" s="734">
        <v>140.67395271451397</v>
      </c>
      <c r="E19867" s="733"/>
    </row>
    <row r="19868" spans="2:5">
      <c r="B19868" s="121">
        <v>1650</v>
      </c>
      <c r="C19868" s="121">
        <v>9</v>
      </c>
      <c r="D19868" s="734">
        <v>138.61316471171781</v>
      </c>
      <c r="E19868" s="733"/>
    </row>
    <row r="19869" spans="2:5">
      <c r="B19869" s="121">
        <v>1650</v>
      </c>
      <c r="C19869" s="121">
        <v>10</v>
      </c>
      <c r="D19869" s="734">
        <v>145.86832343299204</v>
      </c>
      <c r="E19869" s="733"/>
    </row>
    <row r="19870" spans="2:5">
      <c r="B19870" s="121">
        <v>1650</v>
      </c>
      <c r="C19870" s="121">
        <v>11</v>
      </c>
      <c r="D19870" s="734">
        <v>139.45263236150248</v>
      </c>
      <c r="E19870" s="733"/>
    </row>
    <row r="19871" spans="2:5">
      <c r="B19871" s="121">
        <v>1650</v>
      </c>
      <c r="C19871" s="121">
        <v>12</v>
      </c>
      <c r="D19871" s="734">
        <v>139.44989567820511</v>
      </c>
      <c r="E19871" s="733"/>
    </row>
    <row r="19872" spans="2:5">
      <c r="B19872" s="121">
        <v>1650</v>
      </c>
      <c r="C19872" s="121">
        <v>13</v>
      </c>
      <c r="D19872" s="734">
        <v>145.73181497966351</v>
      </c>
      <c r="E19872" s="733"/>
    </row>
    <row r="19873" spans="2:5">
      <c r="B19873" s="121">
        <v>1650</v>
      </c>
      <c r="C19873" s="121">
        <v>14</v>
      </c>
      <c r="D19873" s="734">
        <v>137.89937098665882</v>
      </c>
      <c r="E19873" s="733"/>
    </row>
    <row r="19874" spans="2:5">
      <c r="B19874" s="121">
        <v>1650</v>
      </c>
      <c r="C19874" s="121">
        <v>15</v>
      </c>
      <c r="D19874" s="734">
        <v>146.2771866256557</v>
      </c>
      <c r="E19874" s="733"/>
    </row>
    <row r="19875" spans="2:5">
      <c r="B19875" s="121">
        <v>1650</v>
      </c>
      <c r="C19875" s="121">
        <v>16</v>
      </c>
      <c r="D19875" s="734">
        <v>5.0210064564404746</v>
      </c>
      <c r="E19875" s="733"/>
    </row>
    <row r="19876" spans="2:5">
      <c r="B19876" s="121">
        <v>1650</v>
      </c>
      <c r="C19876" s="121">
        <v>17</v>
      </c>
      <c r="D19876" s="734">
        <v>102.08695337939706</v>
      </c>
      <c r="E19876" s="733"/>
    </row>
    <row r="19877" spans="2:5">
      <c r="B19877" s="121">
        <v>1651</v>
      </c>
      <c r="C19877" s="121">
        <v>1</v>
      </c>
      <c r="D19877" s="734">
        <v>5</v>
      </c>
      <c r="E19877" s="733"/>
    </row>
    <row r="19878" spans="2:5">
      <c r="B19878" s="121">
        <v>1651</v>
      </c>
      <c r="C19878" s="121">
        <v>2</v>
      </c>
      <c r="D19878" s="734">
        <v>143.83390246905873</v>
      </c>
      <c r="E19878" s="733"/>
    </row>
    <row r="19879" spans="2:5">
      <c r="B19879" s="121">
        <v>1651</v>
      </c>
      <c r="C19879" s="121">
        <v>3</v>
      </c>
      <c r="D19879" s="734">
        <v>134.59690325060572</v>
      </c>
      <c r="E19879" s="733"/>
    </row>
    <row r="19880" spans="2:5">
      <c r="B19880" s="121">
        <v>1651</v>
      </c>
      <c r="C19880" s="121">
        <v>4</v>
      </c>
      <c r="D19880" s="734">
        <v>140.71729436313814</v>
      </c>
      <c r="E19880" s="733"/>
    </row>
    <row r="19881" spans="2:5">
      <c r="B19881" s="121">
        <v>1651</v>
      </c>
      <c r="C19881" s="121">
        <v>5</v>
      </c>
      <c r="D19881" s="734">
        <v>136.37564172303442</v>
      </c>
      <c r="E19881" s="733"/>
    </row>
    <row r="19882" spans="2:5">
      <c r="B19882" s="121">
        <v>1651</v>
      </c>
      <c r="C19882" s="121">
        <v>6</v>
      </c>
      <c r="D19882" s="734">
        <v>144.77525764300404</v>
      </c>
      <c r="E19882" s="733"/>
    </row>
    <row r="19883" spans="2:5">
      <c r="B19883" s="121">
        <v>1651</v>
      </c>
      <c r="C19883" s="121">
        <v>7</v>
      </c>
      <c r="D19883" s="734">
        <v>137.0294684114578</v>
      </c>
      <c r="E19883" s="733"/>
    </row>
    <row r="19884" spans="2:5">
      <c r="B19884" s="121">
        <v>1651</v>
      </c>
      <c r="C19884" s="121">
        <v>8</v>
      </c>
      <c r="D19884" s="734">
        <v>140.26904573770088</v>
      </c>
      <c r="E19884" s="733"/>
    </row>
    <row r="19885" spans="2:5">
      <c r="B19885" s="121">
        <v>1651</v>
      </c>
      <c r="C19885" s="121">
        <v>9</v>
      </c>
      <c r="D19885" s="734">
        <v>145.23697066976425</v>
      </c>
      <c r="E19885" s="733"/>
    </row>
    <row r="19886" spans="2:5">
      <c r="B19886" s="121">
        <v>1651</v>
      </c>
      <c r="C19886" s="121">
        <v>10</v>
      </c>
      <c r="D19886" s="734">
        <v>146.10185092889188</v>
      </c>
      <c r="E19886" s="733"/>
    </row>
    <row r="19887" spans="2:5">
      <c r="B19887" s="121">
        <v>1651</v>
      </c>
      <c r="C19887" s="121">
        <v>11</v>
      </c>
      <c r="D19887" s="734">
        <v>143.79758656818922</v>
      </c>
      <c r="E19887" s="733"/>
    </row>
    <row r="19888" spans="2:5">
      <c r="B19888" s="121">
        <v>1651</v>
      </c>
      <c r="C19888" s="121">
        <v>12</v>
      </c>
      <c r="D19888" s="734">
        <v>135.69500934362006</v>
      </c>
      <c r="E19888" s="733"/>
    </row>
    <row r="19889" spans="2:5">
      <c r="B19889" s="121">
        <v>1651</v>
      </c>
      <c r="C19889" s="121">
        <v>13</v>
      </c>
      <c r="D19889" s="734">
        <v>142.66416265708264</v>
      </c>
      <c r="E19889" s="733"/>
    </row>
    <row r="19890" spans="2:5">
      <c r="B19890" s="121">
        <v>1651</v>
      </c>
      <c r="C19890" s="121">
        <v>14</v>
      </c>
      <c r="D19890" s="734">
        <v>138.00078149134154</v>
      </c>
      <c r="E19890" s="733"/>
    </row>
    <row r="19891" spans="2:5">
      <c r="B19891" s="121">
        <v>1651</v>
      </c>
      <c r="C19891" s="121">
        <v>15</v>
      </c>
      <c r="D19891" s="734">
        <v>146.62305908365775</v>
      </c>
      <c r="E19891" s="733"/>
    </row>
    <row r="19892" spans="2:5">
      <c r="B19892" s="121">
        <v>1651</v>
      </c>
      <c r="C19892" s="121">
        <v>16</v>
      </c>
      <c r="D19892" s="734">
        <v>138.37468090751776</v>
      </c>
      <c r="E19892" s="733"/>
    </row>
    <row r="19893" spans="2:5">
      <c r="B19893" s="121">
        <v>1651</v>
      </c>
      <c r="C19893" s="121">
        <v>17</v>
      </c>
      <c r="D19893" s="734">
        <v>145.35814540648715</v>
      </c>
      <c r="E19893" s="733"/>
    </row>
    <row r="19894" spans="2:5">
      <c r="B19894" s="121">
        <v>1651</v>
      </c>
      <c r="C19894" s="121">
        <v>18</v>
      </c>
      <c r="D19894" s="734">
        <v>136.0449004819298</v>
      </c>
      <c r="E19894" s="733"/>
    </row>
    <row r="19895" spans="2:5">
      <c r="B19895" s="121">
        <v>1651</v>
      </c>
      <c r="C19895" s="121">
        <v>19</v>
      </c>
      <c r="D19895" s="734">
        <v>143.01299922447271</v>
      </c>
      <c r="E19895" s="733"/>
    </row>
    <row r="19896" spans="2:5">
      <c r="B19896" s="121">
        <v>1651</v>
      </c>
      <c r="C19896" s="121">
        <v>20</v>
      </c>
      <c r="D19896" s="734">
        <v>142.3517276228512</v>
      </c>
      <c r="E19896" s="733"/>
    </row>
    <row r="19897" spans="2:5">
      <c r="B19897" s="121">
        <v>1651</v>
      </c>
      <c r="C19897" s="121">
        <v>21</v>
      </c>
      <c r="D19897" s="734">
        <v>140.61812302632188</v>
      </c>
      <c r="E19897" s="733"/>
    </row>
    <row r="19898" spans="2:5">
      <c r="B19898" s="121">
        <v>1651</v>
      </c>
      <c r="C19898" s="121">
        <v>22</v>
      </c>
      <c r="D19898" s="734">
        <v>145.45487364455727</v>
      </c>
      <c r="E19898" s="733"/>
    </row>
    <row r="19899" spans="2:5">
      <c r="B19899" s="121">
        <v>1651</v>
      </c>
      <c r="C19899" s="121">
        <v>23</v>
      </c>
      <c r="D19899" s="734">
        <v>144.36540851510441</v>
      </c>
      <c r="E19899" s="733"/>
    </row>
    <row r="19900" spans="2:5">
      <c r="B19900" s="121">
        <v>1651</v>
      </c>
      <c r="C19900" s="121">
        <v>24</v>
      </c>
      <c r="D19900" s="734">
        <v>140.57266656416374</v>
      </c>
      <c r="E19900" s="733"/>
    </row>
    <row r="19901" spans="2:5">
      <c r="B19901" s="121">
        <v>1651</v>
      </c>
      <c r="C19901" s="121">
        <v>25</v>
      </c>
      <c r="D19901" s="734">
        <v>5.0210064564404746</v>
      </c>
      <c r="E19901" s="733"/>
    </row>
    <row r="19902" spans="2:5">
      <c r="B19902" s="121">
        <v>1651</v>
      </c>
      <c r="C19902" s="121">
        <v>26</v>
      </c>
      <c r="D19902" s="734">
        <v>97.106726703250729</v>
      </c>
      <c r="E19902" s="733"/>
    </row>
    <row r="19903" spans="2:5">
      <c r="B19903" s="121">
        <v>1651</v>
      </c>
      <c r="C19903" s="121">
        <v>27</v>
      </c>
      <c r="D19903" s="734">
        <v>123.82091634363377</v>
      </c>
      <c r="E19903" s="733"/>
    </row>
    <row r="19904" spans="2:5">
      <c r="B19904" s="121">
        <v>1651</v>
      </c>
      <c r="C19904" s="121">
        <v>28</v>
      </c>
      <c r="D19904" s="734">
        <v>146.04442799222969</v>
      </c>
      <c r="E19904" s="733"/>
    </row>
    <row r="19905" spans="2:5">
      <c r="B19905" s="121">
        <v>1651</v>
      </c>
      <c r="C19905" s="121">
        <v>29</v>
      </c>
      <c r="D19905" s="734">
        <v>144.5757119061652</v>
      </c>
      <c r="E19905" s="733"/>
    </row>
    <row r="19906" spans="2:5">
      <c r="B19906" s="121">
        <v>1651</v>
      </c>
      <c r="C19906" s="121">
        <v>30</v>
      </c>
      <c r="D19906" s="734">
        <v>141.59370652431457</v>
      </c>
      <c r="E19906" s="733"/>
    </row>
    <row r="19907" spans="2:5">
      <c r="B19907" s="121">
        <v>1651</v>
      </c>
      <c r="C19907" s="121">
        <v>31</v>
      </c>
      <c r="D19907" s="734">
        <v>141.81141896845355</v>
      </c>
      <c r="E19907" s="733"/>
    </row>
    <row r="19908" spans="2:5">
      <c r="B19908" s="121">
        <v>1651</v>
      </c>
      <c r="C19908" s="121">
        <v>32</v>
      </c>
      <c r="D19908" s="734">
        <v>145.89828219095685</v>
      </c>
      <c r="E19908" s="733"/>
    </row>
    <row r="19909" spans="2:5">
      <c r="B19909" s="121">
        <v>1651</v>
      </c>
      <c r="C19909" s="121">
        <v>33</v>
      </c>
      <c r="D19909" s="734">
        <v>140.71640231656616</v>
      </c>
      <c r="E19909" s="733"/>
    </row>
    <row r="19910" spans="2:5">
      <c r="B19910" s="121">
        <v>1651</v>
      </c>
      <c r="C19910" s="121">
        <v>34</v>
      </c>
      <c r="D19910" s="734">
        <v>139.32418020642282</v>
      </c>
      <c r="E19910" s="733"/>
    </row>
    <row r="19911" spans="2:5">
      <c r="B19911" s="121">
        <v>1651</v>
      </c>
      <c r="C19911" s="121">
        <v>35</v>
      </c>
      <c r="D19911" s="734">
        <v>140.28225449073986</v>
      </c>
      <c r="E19911" s="733"/>
    </row>
    <row r="19912" spans="2:5">
      <c r="B19912" s="121">
        <v>1651</v>
      </c>
      <c r="C19912" s="121">
        <v>36</v>
      </c>
      <c r="D19912" s="734">
        <v>145.77473743245645</v>
      </c>
      <c r="E19912" s="733"/>
    </row>
    <row r="19913" spans="2:5">
      <c r="B19913" s="121">
        <v>1652</v>
      </c>
      <c r="C19913" s="121">
        <v>1</v>
      </c>
      <c r="D19913" s="734">
        <v>5</v>
      </c>
      <c r="E19913" s="733"/>
    </row>
    <row r="19914" spans="2:5">
      <c r="B19914" s="121">
        <v>1652</v>
      </c>
      <c r="C19914" s="121">
        <v>2</v>
      </c>
      <c r="D19914" s="734">
        <v>134.8281866559397</v>
      </c>
      <c r="E19914" s="733"/>
    </row>
    <row r="19915" spans="2:5">
      <c r="B19915" s="121">
        <v>1652</v>
      </c>
      <c r="C19915" s="121">
        <v>3</v>
      </c>
      <c r="D19915" s="734">
        <v>145.90452331432974</v>
      </c>
      <c r="E19915" s="733"/>
    </row>
    <row r="19916" spans="2:5">
      <c r="B19916" s="121">
        <v>1652</v>
      </c>
      <c r="C19916" s="121">
        <v>4</v>
      </c>
      <c r="D19916" s="734">
        <v>137.7171487816949</v>
      </c>
      <c r="E19916" s="733"/>
    </row>
    <row r="19917" spans="2:5">
      <c r="B19917" s="121">
        <v>1652</v>
      </c>
      <c r="C19917" s="121">
        <v>5</v>
      </c>
      <c r="D19917" s="734">
        <v>137.06712185808874</v>
      </c>
      <c r="E19917" s="733"/>
    </row>
    <row r="19918" spans="2:5">
      <c r="B19918" s="121">
        <v>1652</v>
      </c>
      <c r="C19918" s="121">
        <v>6</v>
      </c>
      <c r="D19918" s="734">
        <v>142.31533620347795</v>
      </c>
      <c r="E19918" s="733"/>
    </row>
    <row r="19919" spans="2:5">
      <c r="B19919" s="121">
        <v>1653</v>
      </c>
      <c r="C19919" s="121">
        <v>1</v>
      </c>
      <c r="D19919" s="734">
        <v>5</v>
      </c>
      <c r="E19919" s="733"/>
    </row>
    <row r="19920" spans="2:5">
      <c r="B19920" s="121">
        <v>1654</v>
      </c>
      <c r="C19920" s="121">
        <v>1</v>
      </c>
      <c r="D19920" s="734">
        <v>5</v>
      </c>
      <c r="E19920" s="733"/>
    </row>
    <row r="19921" spans="2:5">
      <c r="B19921" s="121">
        <v>1654</v>
      </c>
      <c r="C19921" s="121">
        <v>2</v>
      </c>
      <c r="D19921" s="734">
        <v>139.48052801040504</v>
      </c>
      <c r="E19921" s="733"/>
    </row>
    <row r="19922" spans="2:5">
      <c r="B19922" s="121">
        <v>1655</v>
      </c>
      <c r="C19922" s="121">
        <v>1</v>
      </c>
      <c r="D19922" s="734">
        <v>5</v>
      </c>
      <c r="E19922" s="733"/>
    </row>
    <row r="19923" spans="2:5">
      <c r="B19923" s="121">
        <v>1655</v>
      </c>
      <c r="C19923" s="121">
        <v>2</v>
      </c>
      <c r="D19923" s="734">
        <v>133.87187863824582</v>
      </c>
      <c r="E19923" s="733"/>
    </row>
    <row r="19924" spans="2:5">
      <c r="B19924" s="121">
        <v>1655</v>
      </c>
      <c r="C19924" s="121">
        <v>3</v>
      </c>
      <c r="D19924" s="734">
        <v>136.89355239612163</v>
      </c>
      <c r="E19924" s="733"/>
    </row>
    <row r="19925" spans="2:5">
      <c r="B19925" s="121">
        <v>1655</v>
      </c>
      <c r="C19925" s="121">
        <v>4</v>
      </c>
      <c r="D19925" s="734">
        <v>141.71217724056507</v>
      </c>
      <c r="E19925" s="733"/>
    </row>
    <row r="19926" spans="2:5">
      <c r="B19926" s="121">
        <v>1655</v>
      </c>
      <c r="C19926" s="121">
        <v>5</v>
      </c>
      <c r="D19926" s="734">
        <v>145.32407719041151</v>
      </c>
      <c r="E19926" s="733"/>
    </row>
    <row r="19927" spans="2:5">
      <c r="B19927" s="121">
        <v>1655</v>
      </c>
      <c r="C19927" s="121">
        <v>6</v>
      </c>
      <c r="D19927" s="734">
        <v>136.97892786010652</v>
      </c>
      <c r="E19927" s="733"/>
    </row>
    <row r="19928" spans="2:5">
      <c r="B19928" s="121">
        <v>1655</v>
      </c>
      <c r="C19928" s="121">
        <v>7</v>
      </c>
      <c r="D19928" s="734">
        <v>142.70965938247181</v>
      </c>
      <c r="E19928" s="733"/>
    </row>
    <row r="19929" spans="2:5">
      <c r="B19929" s="121">
        <v>1655</v>
      </c>
      <c r="C19929" s="121">
        <v>8</v>
      </c>
      <c r="D19929" s="734">
        <v>139.28063502946321</v>
      </c>
      <c r="E19929" s="733"/>
    </row>
    <row r="19930" spans="2:5">
      <c r="B19930" s="121">
        <v>1655</v>
      </c>
      <c r="C19930" s="121">
        <v>9</v>
      </c>
      <c r="D19930" s="734">
        <v>137.97288139347091</v>
      </c>
      <c r="E19930" s="733"/>
    </row>
    <row r="19931" spans="2:5">
      <c r="B19931" s="121">
        <v>1655</v>
      </c>
      <c r="C19931" s="121">
        <v>10</v>
      </c>
      <c r="D19931" s="734">
        <v>141.95458160873534</v>
      </c>
      <c r="E19931" s="733"/>
    </row>
    <row r="19932" spans="2:5">
      <c r="B19932" s="121">
        <v>1655</v>
      </c>
      <c r="C19932" s="121">
        <v>11</v>
      </c>
      <c r="D19932" s="734">
        <v>143.74971412146868</v>
      </c>
      <c r="E19932" s="733"/>
    </row>
    <row r="19933" spans="2:5">
      <c r="B19933" s="121">
        <v>1655</v>
      </c>
      <c r="C19933" s="121">
        <v>12</v>
      </c>
      <c r="D19933" s="734">
        <v>140.74242047873793</v>
      </c>
      <c r="E19933" s="733"/>
    </row>
    <row r="19934" spans="2:5">
      <c r="B19934" s="121">
        <v>1655</v>
      </c>
      <c r="C19934" s="121">
        <v>13</v>
      </c>
      <c r="D19934" s="734">
        <v>143.74682151297554</v>
      </c>
      <c r="E19934" s="733"/>
    </row>
    <row r="19935" spans="2:5">
      <c r="B19935" s="121">
        <v>1656</v>
      </c>
      <c r="C19935" s="121">
        <v>1</v>
      </c>
      <c r="D19935" s="734">
        <v>5</v>
      </c>
      <c r="E19935" s="733"/>
    </row>
    <row r="19936" spans="2:5">
      <c r="B19936" s="121">
        <v>1656</v>
      </c>
      <c r="C19936" s="121">
        <v>2</v>
      </c>
      <c r="D19936" s="734">
        <v>140.16610520379066</v>
      </c>
      <c r="E19936" s="733"/>
    </row>
    <row r="19937" spans="2:5">
      <c r="B19937" s="121">
        <v>1656</v>
      </c>
      <c r="C19937" s="121">
        <v>3</v>
      </c>
      <c r="D19937" s="734">
        <v>4.9928952433761893</v>
      </c>
      <c r="E19937" s="733"/>
    </row>
    <row r="19938" spans="2:5">
      <c r="B19938" s="121">
        <v>1656</v>
      </c>
      <c r="C19938" s="121">
        <v>4</v>
      </c>
      <c r="D19938" s="734">
        <v>96.113684952408676</v>
      </c>
      <c r="E19938" s="733"/>
    </row>
    <row r="19939" spans="2:5">
      <c r="B19939" s="121">
        <v>1656</v>
      </c>
      <c r="C19939" s="121">
        <v>5</v>
      </c>
      <c r="D19939" s="734">
        <v>5.0210064564404746</v>
      </c>
      <c r="E19939" s="733"/>
    </row>
    <row r="19940" spans="2:5">
      <c r="B19940" s="121">
        <v>1656</v>
      </c>
      <c r="C19940" s="121">
        <v>6</v>
      </c>
      <c r="D19940" s="734">
        <v>97.00812364194411</v>
      </c>
      <c r="E19940" s="733"/>
    </row>
    <row r="19941" spans="2:5">
      <c r="B19941" s="121">
        <v>1656</v>
      </c>
      <c r="C19941" s="121">
        <v>7</v>
      </c>
      <c r="D19941" s="734">
        <v>115.24390778991487</v>
      </c>
      <c r="E19941" s="733"/>
    </row>
    <row r="19942" spans="2:5">
      <c r="B19942" s="121">
        <v>1656</v>
      </c>
      <c r="C19942" s="121">
        <v>8</v>
      </c>
      <c r="D19942" s="734">
        <v>144.27134199407539</v>
      </c>
      <c r="E19942" s="733"/>
    </row>
    <row r="19943" spans="2:5">
      <c r="B19943" s="121">
        <v>1656</v>
      </c>
      <c r="C19943" s="121">
        <v>9</v>
      </c>
      <c r="D19943" s="734">
        <v>144.29710286306704</v>
      </c>
      <c r="E19943" s="733"/>
    </row>
    <row r="19944" spans="2:5">
      <c r="B19944" s="121">
        <v>1656</v>
      </c>
      <c r="C19944" s="121">
        <v>10</v>
      </c>
      <c r="D19944" s="734">
        <v>139.79961797087483</v>
      </c>
      <c r="E19944" s="733"/>
    </row>
    <row r="19945" spans="2:5">
      <c r="B19945" s="121">
        <v>1656</v>
      </c>
      <c r="C19945" s="121">
        <v>11</v>
      </c>
      <c r="D19945" s="734">
        <v>146.77013026096296</v>
      </c>
      <c r="E19945" s="733"/>
    </row>
    <row r="19946" spans="2:5">
      <c r="B19946" s="121">
        <v>1656</v>
      </c>
      <c r="C19946" s="121">
        <v>12</v>
      </c>
      <c r="D19946" s="734">
        <v>136.90799211024225</v>
      </c>
      <c r="E19946" s="733"/>
    </row>
    <row r="19947" spans="2:5">
      <c r="B19947" s="121">
        <v>1656</v>
      </c>
      <c r="C19947" s="121">
        <v>13</v>
      </c>
      <c r="D19947" s="734">
        <v>141.45081050837209</v>
      </c>
      <c r="E19947" s="733"/>
    </row>
    <row r="19948" spans="2:5">
      <c r="B19948" s="121">
        <v>1656</v>
      </c>
      <c r="C19948" s="121">
        <v>14</v>
      </c>
      <c r="D19948" s="734">
        <v>5.0210064564404746</v>
      </c>
      <c r="E19948" s="733"/>
    </row>
    <row r="19949" spans="2:5">
      <c r="B19949" s="121">
        <v>1656</v>
      </c>
      <c r="C19949" s="121">
        <v>15</v>
      </c>
      <c r="D19949" s="734">
        <v>102.62005479510151</v>
      </c>
      <c r="E19949" s="733"/>
    </row>
    <row r="19950" spans="2:5">
      <c r="B19950" s="121">
        <v>1656</v>
      </c>
      <c r="C19950" s="121">
        <v>16</v>
      </c>
      <c r="D19950" s="734">
        <v>115.78265473959182</v>
      </c>
      <c r="E19950" s="733"/>
    </row>
    <row r="19951" spans="2:5">
      <c r="B19951" s="121">
        <v>1657</v>
      </c>
      <c r="C19951" s="121">
        <v>1</v>
      </c>
      <c r="D19951" s="734">
        <v>5</v>
      </c>
      <c r="E19951" s="733"/>
    </row>
    <row r="19952" spans="2:5">
      <c r="B19952" s="121">
        <v>1657</v>
      </c>
      <c r="C19952" s="121">
        <v>2</v>
      </c>
      <c r="D19952" s="734">
        <v>136.0899504518481</v>
      </c>
      <c r="E19952" s="733"/>
    </row>
    <row r="19953" spans="2:5">
      <c r="B19953" s="121">
        <v>1657</v>
      </c>
      <c r="C19953" s="121">
        <v>3</v>
      </c>
      <c r="D19953" s="734">
        <v>144.11743972306721</v>
      </c>
      <c r="E19953" s="733"/>
    </row>
    <row r="19954" spans="2:5">
      <c r="B19954" s="121">
        <v>1657</v>
      </c>
      <c r="C19954" s="121">
        <v>4</v>
      </c>
      <c r="D19954" s="734">
        <v>136.80464416317145</v>
      </c>
      <c r="E19954" s="733"/>
    </row>
    <row r="19955" spans="2:5">
      <c r="B19955" s="121">
        <v>1657</v>
      </c>
      <c r="C19955" s="121">
        <v>5</v>
      </c>
      <c r="D19955" s="734">
        <v>143.73855133530608</v>
      </c>
      <c r="E19955" s="733"/>
    </row>
    <row r="19956" spans="2:5">
      <c r="B19956" s="121">
        <v>1657</v>
      </c>
      <c r="C19956" s="121">
        <v>6</v>
      </c>
      <c r="D19956" s="734">
        <v>143.76423015333307</v>
      </c>
      <c r="E19956" s="733"/>
    </row>
    <row r="19957" spans="2:5">
      <c r="B19957" s="121">
        <v>1657</v>
      </c>
      <c r="C19957" s="121">
        <v>7</v>
      </c>
      <c r="D19957" s="734">
        <v>141.69768284587391</v>
      </c>
      <c r="E19957" s="733"/>
    </row>
    <row r="19958" spans="2:5">
      <c r="B19958" s="121">
        <v>1657</v>
      </c>
      <c r="C19958" s="121">
        <v>8</v>
      </c>
      <c r="D19958" s="734">
        <v>141.01985995463329</v>
      </c>
      <c r="E19958" s="733"/>
    </row>
    <row r="19959" spans="2:5">
      <c r="B19959" s="121">
        <v>1657</v>
      </c>
      <c r="C19959" s="121">
        <v>9</v>
      </c>
      <c r="D19959" s="734">
        <v>137.19730038864984</v>
      </c>
      <c r="E19959" s="733"/>
    </row>
    <row r="19960" spans="2:5">
      <c r="B19960" s="121">
        <v>1657</v>
      </c>
      <c r="C19960" s="121">
        <v>10</v>
      </c>
      <c r="D19960" s="734">
        <v>143.35225509183709</v>
      </c>
      <c r="E19960" s="733"/>
    </row>
    <row r="19961" spans="2:5">
      <c r="B19961" s="121">
        <v>1657</v>
      </c>
      <c r="C19961" s="121">
        <v>11</v>
      </c>
      <c r="D19961" s="734">
        <v>135.45699810970098</v>
      </c>
      <c r="E19961" s="733"/>
    </row>
    <row r="19962" spans="2:5">
      <c r="B19962" s="121">
        <v>1658</v>
      </c>
      <c r="C19962" s="121">
        <v>1</v>
      </c>
      <c r="D19962" s="734">
        <v>5</v>
      </c>
      <c r="E19962" s="733"/>
    </row>
    <row r="19963" spans="2:5">
      <c r="B19963" s="121">
        <v>1658</v>
      </c>
      <c r="C19963" s="121">
        <v>2</v>
      </c>
      <c r="D19963" s="734">
        <v>133.68923976243317</v>
      </c>
      <c r="E19963" s="733"/>
    </row>
    <row r="19964" spans="2:5">
      <c r="B19964" s="121">
        <v>1658</v>
      </c>
      <c r="C19964" s="121">
        <v>3</v>
      </c>
      <c r="D19964" s="734">
        <v>143.93268114640438</v>
      </c>
      <c r="E19964" s="733"/>
    </row>
    <row r="19965" spans="2:5">
      <c r="B19965" s="121">
        <v>1658</v>
      </c>
      <c r="C19965" s="121">
        <v>4</v>
      </c>
      <c r="D19965" s="734">
        <v>135.03183458497199</v>
      </c>
      <c r="E19965" s="733"/>
    </row>
    <row r="19966" spans="2:5">
      <c r="B19966" s="121">
        <v>1658</v>
      </c>
      <c r="C19966" s="121">
        <v>5</v>
      </c>
      <c r="D19966" s="734">
        <v>144.54002097176743</v>
      </c>
      <c r="E19966" s="733"/>
    </row>
    <row r="19967" spans="2:5">
      <c r="B19967" s="121">
        <v>1658</v>
      </c>
      <c r="C19967" s="121">
        <v>6</v>
      </c>
      <c r="D19967" s="734">
        <v>143.54693853164841</v>
      </c>
      <c r="E19967" s="733"/>
    </row>
    <row r="19968" spans="2:5">
      <c r="B19968" s="121">
        <v>1658</v>
      </c>
      <c r="C19968" s="121">
        <v>7</v>
      </c>
      <c r="D19968" s="734">
        <v>139.42180198593957</v>
      </c>
      <c r="E19968" s="733"/>
    </row>
    <row r="19969" spans="2:5">
      <c r="B19969" s="121">
        <v>1658</v>
      </c>
      <c r="C19969" s="121">
        <v>8</v>
      </c>
      <c r="D19969" s="734">
        <v>141.78614335267753</v>
      </c>
      <c r="E19969" s="733"/>
    </row>
    <row r="19970" spans="2:5">
      <c r="B19970" s="121">
        <v>1658</v>
      </c>
      <c r="C19970" s="121">
        <v>9</v>
      </c>
      <c r="D19970" s="734">
        <v>136.47407966179586</v>
      </c>
      <c r="E19970" s="733"/>
    </row>
    <row r="19971" spans="2:5">
      <c r="B19971" s="121">
        <v>1658</v>
      </c>
      <c r="C19971" s="121">
        <v>10</v>
      </c>
      <c r="D19971" s="734">
        <v>142.73840627267612</v>
      </c>
      <c r="E19971" s="733"/>
    </row>
    <row r="19972" spans="2:5">
      <c r="B19972" s="121">
        <v>1658</v>
      </c>
      <c r="C19972" s="121">
        <v>11</v>
      </c>
      <c r="D19972" s="734">
        <v>142.4149206071551</v>
      </c>
      <c r="E19972" s="733"/>
    </row>
    <row r="19973" spans="2:5">
      <c r="B19973" s="121">
        <v>1658</v>
      </c>
      <c r="C19973" s="121">
        <v>12</v>
      </c>
      <c r="D19973" s="734">
        <v>137.54398258148416</v>
      </c>
      <c r="E19973" s="733"/>
    </row>
    <row r="19974" spans="2:5">
      <c r="B19974" s="121">
        <v>1658</v>
      </c>
      <c r="C19974" s="121">
        <v>13</v>
      </c>
      <c r="D19974" s="734">
        <v>135.47122687277871</v>
      </c>
      <c r="E19974" s="733"/>
    </row>
    <row r="19975" spans="2:5">
      <c r="B19975" s="121">
        <v>1658</v>
      </c>
      <c r="C19975" s="121">
        <v>14</v>
      </c>
      <c r="D19975" s="734">
        <v>139.45794206626769</v>
      </c>
      <c r="E19975" s="733"/>
    </row>
    <row r="19976" spans="2:5">
      <c r="B19976" s="121">
        <v>1658</v>
      </c>
      <c r="C19976" s="121">
        <v>15</v>
      </c>
      <c r="D19976" s="734">
        <v>144.98431449723347</v>
      </c>
      <c r="E19976" s="733"/>
    </row>
    <row r="19977" spans="2:5">
      <c r="B19977" s="121">
        <v>1658</v>
      </c>
      <c r="C19977" s="121">
        <v>16</v>
      </c>
      <c r="D19977" s="734">
        <v>141.39901507300459</v>
      </c>
      <c r="E19977" s="733"/>
    </row>
    <row r="19978" spans="2:5">
      <c r="B19978" s="121">
        <v>1658</v>
      </c>
      <c r="C19978" s="121">
        <v>17</v>
      </c>
      <c r="D19978" s="734">
        <v>139.20138460925975</v>
      </c>
      <c r="E19978" s="733"/>
    </row>
    <row r="19979" spans="2:5">
      <c r="B19979" s="121">
        <v>1658</v>
      </c>
      <c r="C19979" s="121">
        <v>18</v>
      </c>
      <c r="D19979" s="734">
        <v>5.0210064564404746</v>
      </c>
      <c r="E19979" s="733"/>
    </row>
    <row r="19980" spans="2:5">
      <c r="B19980" s="121">
        <v>1658</v>
      </c>
      <c r="C19980" s="121">
        <v>19</v>
      </c>
      <c r="D19980" s="734">
        <v>101.80719173046285</v>
      </c>
      <c r="E19980" s="733"/>
    </row>
    <row r="19981" spans="2:5">
      <c r="B19981" s="121">
        <v>1658</v>
      </c>
      <c r="C19981" s="121">
        <v>20</v>
      </c>
      <c r="D19981" s="734">
        <v>123.81119205529453</v>
      </c>
      <c r="E19981" s="733"/>
    </row>
    <row r="19982" spans="2:5">
      <c r="B19982" s="121">
        <v>1658</v>
      </c>
      <c r="C19982" s="121">
        <v>21</v>
      </c>
      <c r="D19982" s="734">
        <v>138.01370762045246</v>
      </c>
      <c r="E19982" s="733"/>
    </row>
    <row r="19983" spans="2:5">
      <c r="B19983" s="121">
        <v>1658</v>
      </c>
      <c r="C19983" s="121">
        <v>22</v>
      </c>
      <c r="D19983" s="734">
        <v>136.40824081014384</v>
      </c>
      <c r="E19983" s="733"/>
    </row>
    <row r="19984" spans="2:5">
      <c r="B19984" s="121">
        <v>1658</v>
      </c>
      <c r="C19984" s="121">
        <v>23</v>
      </c>
      <c r="D19984" s="734">
        <v>136.87822586711351</v>
      </c>
      <c r="E19984" s="733"/>
    </row>
    <row r="19985" spans="2:5">
      <c r="B19985" s="121">
        <v>1658</v>
      </c>
      <c r="C19985" s="121">
        <v>24</v>
      </c>
      <c r="D19985" s="734">
        <v>137.24850426315169</v>
      </c>
      <c r="E19985" s="733"/>
    </row>
    <row r="19986" spans="2:5">
      <c r="B19986" s="121">
        <v>1658</v>
      </c>
      <c r="C19986" s="121">
        <v>25</v>
      </c>
      <c r="D19986" s="734">
        <v>135.7255697967467</v>
      </c>
      <c r="E19986" s="733"/>
    </row>
    <row r="19987" spans="2:5">
      <c r="B19987" s="121">
        <v>1658</v>
      </c>
      <c r="C19987" s="121">
        <v>26</v>
      </c>
      <c r="D19987" s="734">
        <v>146.24290043922775</v>
      </c>
      <c r="E19987" s="733"/>
    </row>
    <row r="19988" spans="2:5">
      <c r="B19988" s="121">
        <v>1658</v>
      </c>
      <c r="C19988" s="121">
        <v>27</v>
      </c>
      <c r="D19988" s="734">
        <v>141.64189185941328</v>
      </c>
      <c r="E19988" s="733"/>
    </row>
    <row r="19989" spans="2:5">
      <c r="B19989" s="121">
        <v>1658</v>
      </c>
      <c r="C19989" s="121">
        <v>28</v>
      </c>
      <c r="D19989" s="734">
        <v>144.56730655243743</v>
      </c>
      <c r="E19989" s="733"/>
    </row>
    <row r="19990" spans="2:5">
      <c r="B19990" s="121">
        <v>1658</v>
      </c>
      <c r="C19990" s="121">
        <v>29</v>
      </c>
      <c r="D19990" s="734">
        <v>134.55768297654393</v>
      </c>
      <c r="E19990" s="733"/>
    </row>
    <row r="19991" spans="2:5">
      <c r="B19991" s="121">
        <v>1658</v>
      </c>
      <c r="C19991" s="121">
        <v>30</v>
      </c>
      <c r="D19991" s="734">
        <v>5.0210064564404746</v>
      </c>
      <c r="E19991" s="733"/>
    </row>
    <row r="19992" spans="2:5">
      <c r="B19992" s="121">
        <v>1659</v>
      </c>
      <c r="C19992" s="121">
        <v>1</v>
      </c>
      <c r="D19992" s="734">
        <v>5</v>
      </c>
      <c r="E19992" s="733"/>
    </row>
    <row r="19993" spans="2:5">
      <c r="B19993" s="121">
        <v>1659</v>
      </c>
      <c r="C19993" s="121">
        <v>2</v>
      </c>
      <c r="D19993" s="734">
        <v>118.8534513228995</v>
      </c>
      <c r="E19993" s="733"/>
    </row>
    <row r="19994" spans="2:5">
      <c r="B19994" s="121">
        <v>1659</v>
      </c>
      <c r="C19994" s="121">
        <v>3</v>
      </c>
      <c r="D19994" s="734">
        <v>139.99549705797929</v>
      </c>
      <c r="E19994" s="733"/>
    </row>
    <row r="19995" spans="2:5">
      <c r="B19995" s="121">
        <v>1659</v>
      </c>
      <c r="C19995" s="121">
        <v>4</v>
      </c>
      <c r="D19995" s="734">
        <v>143.39920727018779</v>
      </c>
      <c r="E19995" s="733"/>
    </row>
    <row r="19996" spans="2:5">
      <c r="B19996" s="121">
        <v>1659</v>
      </c>
      <c r="C19996" s="121">
        <v>5</v>
      </c>
      <c r="D19996" s="734">
        <v>143.81748468905576</v>
      </c>
      <c r="E19996" s="733"/>
    </row>
    <row r="19997" spans="2:5">
      <c r="B19997" s="121">
        <v>1659</v>
      </c>
      <c r="C19997" s="121">
        <v>6</v>
      </c>
      <c r="D19997" s="734">
        <v>138.52230629179772</v>
      </c>
      <c r="E19997" s="733"/>
    </row>
    <row r="19998" spans="2:5">
      <c r="B19998" s="121">
        <v>1659</v>
      </c>
      <c r="C19998" s="121">
        <v>7</v>
      </c>
      <c r="D19998" s="734">
        <v>141.08933654866235</v>
      </c>
      <c r="E19998" s="733"/>
    </row>
    <row r="19999" spans="2:5">
      <c r="B19999" s="121">
        <v>1659</v>
      </c>
      <c r="C19999" s="121">
        <v>8</v>
      </c>
      <c r="D19999" s="734">
        <v>144.40727875475071</v>
      </c>
      <c r="E19999" s="733"/>
    </row>
    <row r="20000" spans="2:5">
      <c r="B20000" s="121">
        <v>1659</v>
      </c>
      <c r="C20000" s="121">
        <v>9</v>
      </c>
      <c r="D20000" s="734">
        <v>143.91152075436199</v>
      </c>
      <c r="E20000" s="733"/>
    </row>
    <row r="20001" spans="2:5">
      <c r="B20001" s="121">
        <v>1659</v>
      </c>
      <c r="C20001" s="121">
        <v>10</v>
      </c>
      <c r="D20001" s="734">
        <v>137.75502110012448</v>
      </c>
      <c r="E20001" s="733"/>
    </row>
    <row r="20002" spans="2:5">
      <c r="B20002" s="121">
        <v>1659</v>
      </c>
      <c r="C20002" s="121">
        <v>11</v>
      </c>
      <c r="D20002" s="734">
        <v>144.90354686646711</v>
      </c>
      <c r="E20002" s="733"/>
    </row>
    <row r="20003" spans="2:5">
      <c r="B20003" s="121">
        <v>1659</v>
      </c>
      <c r="C20003" s="121">
        <v>12</v>
      </c>
      <c r="D20003" s="734">
        <v>142.7365264026964</v>
      </c>
      <c r="E20003" s="733"/>
    </row>
    <row r="20004" spans="2:5">
      <c r="B20004" s="121">
        <v>1659</v>
      </c>
      <c r="C20004" s="121">
        <v>13</v>
      </c>
      <c r="D20004" s="734">
        <v>141.34245936580987</v>
      </c>
      <c r="E20004" s="733"/>
    </row>
    <row r="20005" spans="2:5">
      <c r="B20005" s="121">
        <v>1659</v>
      </c>
      <c r="C20005" s="121">
        <v>14</v>
      </c>
      <c r="D20005" s="734">
        <v>138.63895172208248</v>
      </c>
      <c r="E20005" s="733"/>
    </row>
    <row r="20006" spans="2:5">
      <c r="B20006" s="121">
        <v>1659</v>
      </c>
      <c r="C20006" s="121">
        <v>15</v>
      </c>
      <c r="D20006" s="734">
        <v>144.71819662423866</v>
      </c>
      <c r="E20006" s="733"/>
    </row>
    <row r="20007" spans="2:5">
      <c r="B20007" s="121">
        <v>1659</v>
      </c>
      <c r="C20007" s="121">
        <v>16</v>
      </c>
      <c r="D20007" s="734">
        <v>145.74795143172315</v>
      </c>
      <c r="E20007" s="733"/>
    </row>
    <row r="20008" spans="2:5">
      <c r="B20008" s="121">
        <v>1659</v>
      </c>
      <c r="C20008" s="121">
        <v>17</v>
      </c>
      <c r="D20008" s="734">
        <v>135.1924898709737</v>
      </c>
      <c r="E20008" s="733"/>
    </row>
    <row r="20009" spans="2:5">
      <c r="B20009" s="121">
        <v>1659</v>
      </c>
      <c r="C20009" s="121">
        <v>18</v>
      </c>
      <c r="D20009" s="734">
        <v>134.68088274175531</v>
      </c>
      <c r="E20009" s="733"/>
    </row>
    <row r="20010" spans="2:5">
      <c r="B20010" s="121">
        <v>1659</v>
      </c>
      <c r="C20010" s="121">
        <v>19</v>
      </c>
      <c r="D20010" s="734">
        <v>136.84574609340913</v>
      </c>
      <c r="E20010" s="733"/>
    </row>
    <row r="20011" spans="2:5">
      <c r="B20011" s="121">
        <v>1660</v>
      </c>
      <c r="C20011" s="121">
        <v>1</v>
      </c>
      <c r="D20011" s="734">
        <v>5</v>
      </c>
      <c r="E20011" s="733"/>
    </row>
    <row r="20012" spans="2:5">
      <c r="B20012" s="121">
        <v>1660</v>
      </c>
      <c r="C20012" s="121">
        <v>2</v>
      </c>
      <c r="D20012" s="734">
        <v>143.76890753035266</v>
      </c>
      <c r="E20012" s="733"/>
    </row>
    <row r="20013" spans="2:5">
      <c r="B20013" s="121">
        <v>1660</v>
      </c>
      <c r="C20013" s="121">
        <v>3</v>
      </c>
      <c r="D20013" s="734">
        <v>134.14852667651223</v>
      </c>
      <c r="E20013" s="733"/>
    </row>
    <row r="20014" spans="2:5">
      <c r="B20014" s="121">
        <v>1660</v>
      </c>
      <c r="C20014" s="121">
        <v>4</v>
      </c>
      <c r="D20014" s="734">
        <v>134.05784423775071</v>
      </c>
      <c r="E20014" s="733"/>
    </row>
    <row r="20015" spans="2:5">
      <c r="B20015" s="121">
        <v>1660</v>
      </c>
      <c r="C20015" s="121">
        <v>5</v>
      </c>
      <c r="D20015" s="734">
        <v>145.74997999124417</v>
      </c>
      <c r="E20015" s="733"/>
    </row>
    <row r="20016" spans="2:5">
      <c r="B20016" s="121">
        <v>1660</v>
      </c>
      <c r="C20016" s="121">
        <v>6</v>
      </c>
      <c r="D20016" s="734">
        <v>136.295059763399</v>
      </c>
      <c r="E20016" s="733"/>
    </row>
    <row r="20017" spans="2:5">
      <c r="B20017" s="121">
        <v>1660</v>
      </c>
      <c r="C20017" s="121">
        <v>7</v>
      </c>
      <c r="D20017" s="734">
        <v>144.08864573760752</v>
      </c>
      <c r="E20017" s="733"/>
    </row>
    <row r="20018" spans="2:5">
      <c r="B20018" s="121">
        <v>1660</v>
      </c>
      <c r="C20018" s="121">
        <v>8</v>
      </c>
      <c r="D20018" s="734">
        <v>140.72048851626724</v>
      </c>
      <c r="E20018" s="733"/>
    </row>
    <row r="20019" spans="2:5">
      <c r="B20019" s="121">
        <v>1660</v>
      </c>
      <c r="C20019" s="121">
        <v>9</v>
      </c>
      <c r="D20019" s="734">
        <v>140.34353674877715</v>
      </c>
      <c r="E20019" s="733"/>
    </row>
    <row r="20020" spans="2:5">
      <c r="B20020" s="121">
        <v>1660</v>
      </c>
      <c r="C20020" s="121">
        <v>10</v>
      </c>
      <c r="D20020" s="734">
        <v>135.93571252889694</v>
      </c>
      <c r="E20020" s="733"/>
    </row>
    <row r="20021" spans="2:5">
      <c r="B20021" s="121">
        <v>1660</v>
      </c>
      <c r="C20021" s="121">
        <v>11</v>
      </c>
      <c r="D20021" s="734">
        <v>133.94671495861837</v>
      </c>
      <c r="E20021" s="733"/>
    </row>
    <row r="20022" spans="2:5">
      <c r="B20022" s="121">
        <v>1660</v>
      </c>
      <c r="C20022" s="121">
        <v>12</v>
      </c>
      <c r="D20022" s="734">
        <v>145.97624614088107</v>
      </c>
      <c r="E20022" s="733"/>
    </row>
    <row r="20023" spans="2:5">
      <c r="B20023" s="121">
        <v>1660</v>
      </c>
      <c r="C20023" s="121">
        <v>13</v>
      </c>
      <c r="D20023" s="734">
        <v>135.70317537285004</v>
      </c>
      <c r="E20023" s="733"/>
    </row>
    <row r="20024" spans="2:5">
      <c r="B20024" s="121">
        <v>1660</v>
      </c>
      <c r="C20024" s="121">
        <v>14</v>
      </c>
      <c r="D20024" s="734">
        <v>144.69847540159236</v>
      </c>
      <c r="E20024" s="733"/>
    </row>
    <row r="20025" spans="2:5">
      <c r="B20025" s="121">
        <v>1660</v>
      </c>
      <c r="C20025" s="121">
        <v>15</v>
      </c>
      <c r="D20025" s="734">
        <v>141.30028491950009</v>
      </c>
      <c r="E20025" s="733"/>
    </row>
    <row r="20026" spans="2:5">
      <c r="B20026" s="121">
        <v>1660</v>
      </c>
      <c r="C20026" s="121">
        <v>16</v>
      </c>
      <c r="D20026" s="734">
        <v>143.69624913854193</v>
      </c>
      <c r="E20026" s="733"/>
    </row>
    <row r="20027" spans="2:5">
      <c r="B20027" s="121">
        <v>1660</v>
      </c>
      <c r="C20027" s="121">
        <v>17</v>
      </c>
      <c r="D20027" s="734">
        <v>5.0210064564404746</v>
      </c>
      <c r="E20027" s="733"/>
    </row>
    <row r="20028" spans="2:5">
      <c r="B20028" s="121">
        <v>1660</v>
      </c>
      <c r="C20028" s="121">
        <v>18</v>
      </c>
      <c r="D20028" s="734">
        <v>5.0210064564404746</v>
      </c>
      <c r="E20028" s="733"/>
    </row>
    <row r="20029" spans="2:5">
      <c r="B20029" s="121">
        <v>1660</v>
      </c>
      <c r="C20029" s="121">
        <v>19</v>
      </c>
      <c r="D20029" s="734">
        <v>5.0210064564404746</v>
      </c>
      <c r="E20029" s="733"/>
    </row>
    <row r="20030" spans="2:5">
      <c r="B20030" s="121">
        <v>1660</v>
      </c>
      <c r="C20030" s="121">
        <v>20</v>
      </c>
      <c r="D20030" s="734">
        <v>98.423752270059538</v>
      </c>
      <c r="E20030" s="733"/>
    </row>
    <row r="20031" spans="2:5">
      <c r="B20031" s="121">
        <v>1660</v>
      </c>
      <c r="C20031" s="121">
        <v>21</v>
      </c>
      <c r="D20031" s="734">
        <v>120.72477925366211</v>
      </c>
      <c r="E20031" s="733"/>
    </row>
    <row r="20032" spans="2:5">
      <c r="B20032" s="121">
        <v>1660</v>
      </c>
      <c r="C20032" s="121">
        <v>22</v>
      </c>
      <c r="D20032" s="734">
        <v>142.69512549173226</v>
      </c>
      <c r="E20032" s="733"/>
    </row>
    <row r="20033" spans="2:5">
      <c r="B20033" s="121">
        <v>1660</v>
      </c>
      <c r="C20033" s="121">
        <v>23</v>
      </c>
      <c r="D20033" s="734">
        <v>136.65497442902105</v>
      </c>
      <c r="E20033" s="733"/>
    </row>
    <row r="20034" spans="2:5">
      <c r="B20034" s="121">
        <v>1660</v>
      </c>
      <c r="C20034" s="121">
        <v>24</v>
      </c>
      <c r="D20034" s="734">
        <v>144.41235534086888</v>
      </c>
      <c r="E20034" s="733"/>
    </row>
    <row r="20035" spans="2:5">
      <c r="B20035" s="121">
        <v>1660</v>
      </c>
      <c r="C20035" s="121">
        <v>25</v>
      </c>
      <c r="D20035" s="734">
        <v>5.0210064564404746</v>
      </c>
      <c r="E20035" s="733"/>
    </row>
    <row r="20036" spans="2:5">
      <c r="B20036" s="121">
        <v>1660</v>
      </c>
      <c r="C20036" s="121">
        <v>26</v>
      </c>
      <c r="D20036" s="734">
        <v>104.09097663009776</v>
      </c>
      <c r="E20036" s="733"/>
    </row>
    <row r="20037" spans="2:5">
      <c r="B20037" s="121">
        <v>1660</v>
      </c>
      <c r="C20037" s="121">
        <v>27</v>
      </c>
      <c r="D20037" s="734">
        <v>5.0210064564404746</v>
      </c>
      <c r="E20037" s="733"/>
    </row>
    <row r="20038" spans="2:5">
      <c r="B20038" s="121">
        <v>1660</v>
      </c>
      <c r="C20038" s="121">
        <v>28</v>
      </c>
      <c r="D20038" s="734">
        <v>97.357711018329823</v>
      </c>
      <c r="E20038" s="733"/>
    </row>
    <row r="20039" spans="2:5">
      <c r="B20039" s="121">
        <v>1660</v>
      </c>
      <c r="C20039" s="121">
        <v>29</v>
      </c>
      <c r="D20039" s="734">
        <v>5.0210064564404746</v>
      </c>
      <c r="E20039" s="733"/>
    </row>
    <row r="20040" spans="2:5">
      <c r="B20040" s="121">
        <v>1660</v>
      </c>
      <c r="C20040" s="121">
        <v>30</v>
      </c>
      <c r="D20040" s="734">
        <v>104.61501738718502</v>
      </c>
      <c r="E20040" s="733"/>
    </row>
    <row r="20041" spans="2:5">
      <c r="B20041" s="121">
        <v>1660</v>
      </c>
      <c r="C20041" s="121">
        <v>31</v>
      </c>
      <c r="D20041" s="734">
        <v>124.9547708830908</v>
      </c>
      <c r="E20041" s="733"/>
    </row>
    <row r="20042" spans="2:5">
      <c r="B20042" s="121">
        <v>1660</v>
      </c>
      <c r="C20042" s="121">
        <v>32</v>
      </c>
      <c r="D20042" s="734">
        <v>140.53402551279046</v>
      </c>
      <c r="E20042" s="733"/>
    </row>
    <row r="20043" spans="2:5">
      <c r="B20043" s="121">
        <v>1660</v>
      </c>
      <c r="C20043" s="121">
        <v>33</v>
      </c>
      <c r="D20043" s="734">
        <v>143.07412212895443</v>
      </c>
      <c r="E20043" s="733"/>
    </row>
    <row r="20044" spans="2:5">
      <c r="B20044" s="121">
        <v>1660</v>
      </c>
      <c r="C20044" s="121">
        <v>34</v>
      </c>
      <c r="D20044" s="734">
        <v>136.67280205175882</v>
      </c>
      <c r="E20044" s="733"/>
    </row>
    <row r="20045" spans="2:5">
      <c r="B20045" s="121">
        <v>1660</v>
      </c>
      <c r="C20045" s="121">
        <v>35</v>
      </c>
      <c r="D20045" s="734">
        <v>5.0210064564404746</v>
      </c>
      <c r="E20045" s="733"/>
    </row>
    <row r="20046" spans="2:5">
      <c r="B20046" s="121">
        <v>1660</v>
      </c>
      <c r="C20046" s="121">
        <v>36</v>
      </c>
      <c r="D20046" s="734">
        <v>96.588279797991291</v>
      </c>
      <c r="E20046" s="733"/>
    </row>
    <row r="20047" spans="2:5">
      <c r="B20047" s="121">
        <v>1661</v>
      </c>
      <c r="C20047" s="121">
        <v>1</v>
      </c>
      <c r="D20047" s="734">
        <v>5</v>
      </c>
      <c r="E20047" s="733"/>
    </row>
    <row r="20048" spans="2:5">
      <c r="B20048" s="121">
        <v>1661</v>
      </c>
      <c r="C20048" s="121">
        <v>2</v>
      </c>
      <c r="D20048" s="734">
        <v>138.55115948506625</v>
      </c>
      <c r="E20048" s="733"/>
    </row>
    <row r="20049" spans="2:5">
      <c r="B20049" s="121">
        <v>1661</v>
      </c>
      <c r="C20049" s="121">
        <v>3</v>
      </c>
      <c r="D20049" s="734">
        <v>133.99045078217614</v>
      </c>
      <c r="E20049" s="733"/>
    </row>
    <row r="20050" spans="2:5">
      <c r="B20050" s="121">
        <v>1661</v>
      </c>
      <c r="C20050" s="121">
        <v>4</v>
      </c>
      <c r="D20050" s="734">
        <v>144.89594188709111</v>
      </c>
      <c r="E20050" s="733"/>
    </row>
    <row r="20051" spans="2:5">
      <c r="B20051" s="121">
        <v>1661</v>
      </c>
      <c r="C20051" s="121">
        <v>5</v>
      </c>
      <c r="D20051" s="734">
        <v>141.61421781913342</v>
      </c>
      <c r="E20051" s="733"/>
    </row>
    <row r="20052" spans="2:5">
      <c r="B20052" s="121">
        <v>1661</v>
      </c>
      <c r="C20052" s="121">
        <v>6</v>
      </c>
      <c r="D20052" s="734">
        <v>141.31611519257899</v>
      </c>
      <c r="E20052" s="733"/>
    </row>
    <row r="20053" spans="2:5">
      <c r="B20053" s="121">
        <v>1662</v>
      </c>
      <c r="C20053" s="121">
        <v>1</v>
      </c>
      <c r="D20053" s="734">
        <v>5</v>
      </c>
      <c r="E20053" s="733"/>
    </row>
    <row r="20054" spans="2:5">
      <c r="B20054" s="121">
        <v>1663</v>
      </c>
      <c r="C20054" s="121">
        <v>1</v>
      </c>
      <c r="D20054" s="734">
        <v>5</v>
      </c>
      <c r="E20054" s="733"/>
    </row>
    <row r="20055" spans="2:5">
      <c r="B20055" s="121">
        <v>1663</v>
      </c>
      <c r="C20055" s="121">
        <v>2</v>
      </c>
      <c r="D20055" s="734">
        <v>144.05172097533151</v>
      </c>
      <c r="E20055" s="733"/>
    </row>
    <row r="20056" spans="2:5">
      <c r="B20056" s="121">
        <v>1663</v>
      </c>
      <c r="C20056" s="121">
        <v>3</v>
      </c>
      <c r="D20056" s="734">
        <v>138.62329300204092</v>
      </c>
      <c r="E20056" s="733"/>
    </row>
    <row r="20057" spans="2:5">
      <c r="B20057" s="121">
        <v>1663</v>
      </c>
      <c r="C20057" s="121">
        <v>4</v>
      </c>
      <c r="D20057" s="734">
        <v>139.91458638949845</v>
      </c>
      <c r="E20057" s="733"/>
    </row>
    <row r="20058" spans="2:5">
      <c r="B20058" s="121">
        <v>1663</v>
      </c>
      <c r="C20058" s="121">
        <v>5</v>
      </c>
      <c r="D20058" s="734">
        <v>143.76117940577993</v>
      </c>
      <c r="E20058" s="733"/>
    </row>
    <row r="20059" spans="2:5">
      <c r="B20059" s="121">
        <v>1663</v>
      </c>
      <c r="C20059" s="121">
        <v>6</v>
      </c>
      <c r="D20059" s="734">
        <v>146.91273490563134</v>
      </c>
      <c r="E20059" s="733"/>
    </row>
    <row r="20060" spans="2:5">
      <c r="B20060" s="121">
        <v>1663</v>
      </c>
      <c r="C20060" s="121">
        <v>7</v>
      </c>
      <c r="D20060" s="734">
        <v>146.78807032115105</v>
      </c>
      <c r="E20060" s="733"/>
    </row>
    <row r="20061" spans="2:5">
      <c r="B20061" s="121">
        <v>1664</v>
      </c>
      <c r="C20061" s="121">
        <v>1</v>
      </c>
      <c r="D20061" s="734">
        <v>5</v>
      </c>
      <c r="E20061" s="733"/>
    </row>
    <row r="20062" spans="2:5">
      <c r="B20062" s="121">
        <v>1664</v>
      </c>
      <c r="C20062" s="121">
        <v>2</v>
      </c>
      <c r="D20062" s="734">
        <v>140.51092253005507</v>
      </c>
      <c r="E20062" s="733"/>
    </row>
    <row r="20063" spans="2:5">
      <c r="B20063" s="121">
        <v>1664</v>
      </c>
      <c r="C20063" s="121">
        <v>3</v>
      </c>
      <c r="D20063" s="734">
        <v>145.96532286621897</v>
      </c>
      <c r="E20063" s="733"/>
    </row>
    <row r="20064" spans="2:5">
      <c r="B20064" s="121">
        <v>1665</v>
      </c>
      <c r="C20064" s="121">
        <v>1</v>
      </c>
      <c r="D20064" s="734">
        <v>5</v>
      </c>
      <c r="E20064" s="733"/>
    </row>
    <row r="20065" spans="2:5">
      <c r="B20065" s="121">
        <v>1665</v>
      </c>
      <c r="C20065" s="121">
        <v>2</v>
      </c>
      <c r="D20065" s="734">
        <v>134.57812831671939</v>
      </c>
      <c r="E20065" s="733"/>
    </row>
    <row r="20066" spans="2:5">
      <c r="B20066" s="121">
        <v>1665</v>
      </c>
      <c r="C20066" s="121">
        <v>3</v>
      </c>
      <c r="D20066" s="734">
        <v>146.16396153718756</v>
      </c>
      <c r="E20066" s="733"/>
    </row>
    <row r="20067" spans="2:5">
      <c r="B20067" s="121">
        <v>1665</v>
      </c>
      <c r="C20067" s="121">
        <v>4</v>
      </c>
      <c r="D20067" s="734">
        <v>138.72790438783863</v>
      </c>
      <c r="E20067" s="733"/>
    </row>
    <row r="20068" spans="2:5">
      <c r="B20068" s="121">
        <v>1665</v>
      </c>
      <c r="C20068" s="121">
        <v>5</v>
      </c>
      <c r="D20068" s="734">
        <v>138.04146257158834</v>
      </c>
      <c r="E20068" s="733"/>
    </row>
    <row r="20069" spans="2:5">
      <c r="B20069" s="121">
        <v>1665</v>
      </c>
      <c r="C20069" s="121">
        <v>6</v>
      </c>
      <c r="D20069" s="734">
        <v>144.61142651281617</v>
      </c>
      <c r="E20069" s="733"/>
    </row>
    <row r="20070" spans="2:5">
      <c r="B20070" s="121">
        <v>1665</v>
      </c>
      <c r="C20070" s="121">
        <v>7</v>
      </c>
      <c r="D20070" s="734">
        <v>139.04598500288887</v>
      </c>
      <c r="E20070" s="733"/>
    </row>
    <row r="20071" spans="2:5">
      <c r="B20071" s="121">
        <v>1665</v>
      </c>
      <c r="C20071" s="121">
        <v>8</v>
      </c>
      <c r="D20071" s="734">
        <v>136.022792024859</v>
      </c>
      <c r="E20071" s="733"/>
    </row>
    <row r="20072" spans="2:5">
      <c r="B20072" s="121">
        <v>1665</v>
      </c>
      <c r="C20072" s="121">
        <v>9</v>
      </c>
      <c r="D20072" s="734">
        <v>145.6672408433968</v>
      </c>
      <c r="E20072" s="733"/>
    </row>
    <row r="20073" spans="2:5">
      <c r="B20073" s="121">
        <v>1665</v>
      </c>
      <c r="C20073" s="121">
        <v>10</v>
      </c>
      <c r="D20073" s="734">
        <v>140.86790924919731</v>
      </c>
      <c r="E20073" s="733"/>
    </row>
    <row r="20074" spans="2:5">
      <c r="B20074" s="121">
        <v>1665</v>
      </c>
      <c r="C20074" s="121">
        <v>11</v>
      </c>
      <c r="D20074" s="734">
        <v>138.70711145706508</v>
      </c>
      <c r="E20074" s="733"/>
    </row>
    <row r="20075" spans="2:5">
      <c r="B20075" s="121">
        <v>1665</v>
      </c>
      <c r="C20075" s="121">
        <v>12</v>
      </c>
      <c r="D20075" s="734">
        <v>5.0210064564404746</v>
      </c>
      <c r="E20075" s="733"/>
    </row>
    <row r="20076" spans="2:5">
      <c r="B20076" s="121">
        <v>1665</v>
      </c>
      <c r="C20076" s="121">
        <v>13</v>
      </c>
      <c r="D20076" s="734">
        <v>101.29083963642566</v>
      </c>
      <c r="E20076" s="733"/>
    </row>
    <row r="20077" spans="2:5">
      <c r="B20077" s="121">
        <v>1665</v>
      </c>
      <c r="C20077" s="121">
        <v>14</v>
      </c>
      <c r="D20077" s="734">
        <v>5.0210064564404746</v>
      </c>
      <c r="E20077" s="733"/>
    </row>
    <row r="20078" spans="2:5">
      <c r="B20078" s="121">
        <v>1665</v>
      </c>
      <c r="C20078" s="121">
        <v>15</v>
      </c>
      <c r="D20078" s="734">
        <v>5.0210064564404746</v>
      </c>
      <c r="E20078" s="733"/>
    </row>
    <row r="20079" spans="2:5">
      <c r="B20079" s="121">
        <v>1665</v>
      </c>
      <c r="C20079" s="121">
        <v>16</v>
      </c>
      <c r="D20079" s="734">
        <v>5.0210064564404746</v>
      </c>
      <c r="E20079" s="733"/>
    </row>
    <row r="20080" spans="2:5">
      <c r="B20080" s="121">
        <v>1665</v>
      </c>
      <c r="C20080" s="121">
        <v>17</v>
      </c>
      <c r="D20080" s="734">
        <v>97.312006097309478</v>
      </c>
      <c r="E20080" s="733"/>
    </row>
    <row r="20081" spans="2:5">
      <c r="B20081" s="121">
        <v>1665</v>
      </c>
      <c r="C20081" s="121">
        <v>18</v>
      </c>
      <c r="D20081" s="734">
        <v>119.98026683416848</v>
      </c>
      <c r="E20081" s="733"/>
    </row>
    <row r="20082" spans="2:5">
      <c r="B20082" s="121">
        <v>1665</v>
      </c>
      <c r="C20082" s="121">
        <v>19</v>
      </c>
      <c r="D20082" s="734">
        <v>138.49787907832675</v>
      </c>
      <c r="E20082" s="733"/>
    </row>
    <row r="20083" spans="2:5">
      <c r="B20083" s="121">
        <v>1665</v>
      </c>
      <c r="C20083" s="121">
        <v>20</v>
      </c>
      <c r="D20083" s="734">
        <v>145.31217704977567</v>
      </c>
      <c r="E20083" s="733"/>
    </row>
    <row r="20084" spans="2:5">
      <c r="B20084" s="121">
        <v>1665</v>
      </c>
      <c r="C20084" s="121">
        <v>21</v>
      </c>
      <c r="D20084" s="734">
        <v>138.79619917483279</v>
      </c>
      <c r="E20084" s="733"/>
    </row>
    <row r="20085" spans="2:5">
      <c r="B20085" s="121">
        <v>1665</v>
      </c>
      <c r="C20085" s="121">
        <v>22</v>
      </c>
      <c r="D20085" s="734">
        <v>138.53076509684138</v>
      </c>
      <c r="E20085" s="733"/>
    </row>
    <row r="20086" spans="2:5">
      <c r="B20086" s="121">
        <v>1665</v>
      </c>
      <c r="C20086" s="121">
        <v>23</v>
      </c>
      <c r="D20086" s="734">
        <v>135.90712848719755</v>
      </c>
      <c r="E20086" s="733"/>
    </row>
    <row r="20087" spans="2:5">
      <c r="B20087" s="121">
        <v>1665</v>
      </c>
      <c r="C20087" s="121">
        <v>24</v>
      </c>
      <c r="D20087" s="734">
        <v>135.3011286090304</v>
      </c>
      <c r="E20087" s="733"/>
    </row>
    <row r="20088" spans="2:5">
      <c r="B20088" s="121">
        <v>1665</v>
      </c>
      <c r="C20088" s="121">
        <v>25</v>
      </c>
      <c r="D20088" s="734">
        <v>5.0210064564404746</v>
      </c>
      <c r="E20088" s="733"/>
    </row>
    <row r="20089" spans="2:5">
      <c r="B20089" s="121">
        <v>1665</v>
      </c>
      <c r="C20089" s="121">
        <v>26</v>
      </c>
      <c r="D20089" s="734">
        <v>102.57948815764688</v>
      </c>
      <c r="E20089" s="733"/>
    </row>
    <row r="20090" spans="2:5">
      <c r="B20090" s="121">
        <v>1666</v>
      </c>
      <c r="C20090" s="121">
        <v>1</v>
      </c>
      <c r="D20090" s="734">
        <v>5</v>
      </c>
      <c r="E20090" s="733"/>
    </row>
    <row r="20091" spans="2:5">
      <c r="B20091" s="121">
        <v>1666</v>
      </c>
      <c r="C20091" s="121">
        <v>2</v>
      </c>
      <c r="D20091" s="734">
        <v>139.73227396350578</v>
      </c>
      <c r="E20091" s="733"/>
    </row>
    <row r="20092" spans="2:5">
      <c r="B20092" s="121">
        <v>1666</v>
      </c>
      <c r="C20092" s="121">
        <v>3</v>
      </c>
      <c r="D20092" s="734">
        <v>133.97944913152728</v>
      </c>
      <c r="E20092" s="733"/>
    </row>
    <row r="20093" spans="2:5">
      <c r="B20093" s="121">
        <v>1667</v>
      </c>
      <c r="C20093" s="121">
        <v>1</v>
      </c>
      <c r="D20093" s="734">
        <v>5</v>
      </c>
      <c r="E20093" s="733"/>
    </row>
    <row r="20094" spans="2:5">
      <c r="B20094" s="121">
        <v>1667</v>
      </c>
      <c r="C20094" s="121">
        <v>2</v>
      </c>
      <c r="D20094" s="734">
        <v>142.77430874459529</v>
      </c>
      <c r="E20094" s="733"/>
    </row>
    <row r="20095" spans="2:5">
      <c r="B20095" s="121">
        <v>1668</v>
      </c>
      <c r="C20095" s="121">
        <v>1</v>
      </c>
      <c r="D20095" s="734">
        <v>5</v>
      </c>
      <c r="E20095" s="733"/>
    </row>
    <row r="20096" spans="2:5">
      <c r="B20096" s="121">
        <v>1668</v>
      </c>
      <c r="C20096" s="121">
        <v>2</v>
      </c>
      <c r="D20096" s="734">
        <v>137.22901084052171</v>
      </c>
      <c r="E20096" s="733"/>
    </row>
    <row r="20097" spans="2:5">
      <c r="B20097" s="121">
        <v>1668</v>
      </c>
      <c r="C20097" s="121">
        <v>3</v>
      </c>
      <c r="D20097" s="734">
        <v>137.713155983945</v>
      </c>
      <c r="E20097" s="733"/>
    </row>
    <row r="20098" spans="2:5">
      <c r="B20098" s="121">
        <v>1668</v>
      </c>
      <c r="C20098" s="121">
        <v>4</v>
      </c>
      <c r="D20098" s="734">
        <v>5.0210064564404746</v>
      </c>
      <c r="E20098" s="733"/>
    </row>
    <row r="20099" spans="2:5">
      <c r="B20099" s="121">
        <v>1668</v>
      </c>
      <c r="C20099" s="121">
        <v>5</v>
      </c>
      <c r="D20099" s="734">
        <v>104.51174014727474</v>
      </c>
      <c r="E20099" s="733"/>
    </row>
    <row r="20100" spans="2:5">
      <c r="B20100" s="121">
        <v>1668</v>
      </c>
      <c r="C20100" s="121">
        <v>6</v>
      </c>
      <c r="D20100" s="734">
        <v>115.64375865697627</v>
      </c>
      <c r="E20100" s="733"/>
    </row>
    <row r="20101" spans="2:5">
      <c r="B20101" s="121">
        <v>1668</v>
      </c>
      <c r="C20101" s="121">
        <v>7</v>
      </c>
      <c r="D20101" s="734">
        <v>143.53721952549046</v>
      </c>
      <c r="E20101" s="733"/>
    </row>
    <row r="20102" spans="2:5">
      <c r="B20102" s="121">
        <v>1668</v>
      </c>
      <c r="C20102" s="121">
        <v>8</v>
      </c>
      <c r="D20102" s="734">
        <v>134.00158432946762</v>
      </c>
      <c r="E20102" s="733"/>
    </row>
    <row r="20103" spans="2:5">
      <c r="B20103" s="121">
        <v>1668</v>
      </c>
      <c r="C20103" s="121">
        <v>9</v>
      </c>
      <c r="D20103" s="734">
        <v>143.69140373743275</v>
      </c>
      <c r="E20103" s="733"/>
    </row>
    <row r="20104" spans="2:5">
      <c r="B20104" s="121">
        <v>1668</v>
      </c>
      <c r="C20104" s="121">
        <v>10</v>
      </c>
      <c r="D20104" s="734">
        <v>135.81990705189025</v>
      </c>
      <c r="E20104" s="733"/>
    </row>
    <row r="20105" spans="2:5">
      <c r="B20105" s="121">
        <v>1668</v>
      </c>
      <c r="C20105" s="121">
        <v>11</v>
      </c>
      <c r="D20105" s="734">
        <v>5.0210064564404746</v>
      </c>
      <c r="E20105" s="733"/>
    </row>
    <row r="20106" spans="2:5">
      <c r="B20106" s="121">
        <v>1668</v>
      </c>
      <c r="C20106" s="121">
        <v>12</v>
      </c>
      <c r="D20106" s="734">
        <v>99.040832313341667</v>
      </c>
      <c r="E20106" s="733"/>
    </row>
    <row r="20107" spans="2:5">
      <c r="B20107" s="121">
        <v>1668</v>
      </c>
      <c r="C20107" s="121">
        <v>13</v>
      </c>
      <c r="D20107" s="734">
        <v>120.21241028161532</v>
      </c>
      <c r="E20107" s="733"/>
    </row>
    <row r="20108" spans="2:5">
      <c r="B20108" s="121">
        <v>1668</v>
      </c>
      <c r="C20108" s="121">
        <v>14</v>
      </c>
      <c r="D20108" s="734">
        <v>145.21365257406359</v>
      </c>
      <c r="E20108" s="733"/>
    </row>
    <row r="20109" spans="2:5">
      <c r="B20109" s="121">
        <v>1668</v>
      </c>
      <c r="C20109" s="121">
        <v>15</v>
      </c>
      <c r="D20109" s="734">
        <v>146.80273753511565</v>
      </c>
      <c r="E20109" s="733"/>
    </row>
    <row r="20110" spans="2:5">
      <c r="B20110" s="121">
        <v>1668</v>
      </c>
      <c r="C20110" s="121">
        <v>16</v>
      </c>
      <c r="D20110" s="734">
        <v>134.64786142725498</v>
      </c>
      <c r="E20110" s="733"/>
    </row>
    <row r="20111" spans="2:5">
      <c r="B20111" s="121">
        <v>1668</v>
      </c>
      <c r="C20111" s="121">
        <v>17</v>
      </c>
      <c r="D20111" s="734">
        <v>136.50562698890818</v>
      </c>
      <c r="E20111" s="733"/>
    </row>
    <row r="20112" spans="2:5">
      <c r="B20112" s="121">
        <v>1668</v>
      </c>
      <c r="C20112" s="121">
        <v>18</v>
      </c>
      <c r="D20112" s="734">
        <v>5.0210064564404746</v>
      </c>
      <c r="E20112" s="733"/>
    </row>
    <row r="20113" spans="2:5">
      <c r="B20113" s="121">
        <v>1668</v>
      </c>
      <c r="C20113" s="121">
        <v>19</v>
      </c>
      <c r="D20113" s="734">
        <v>102.04440435774436</v>
      </c>
      <c r="E20113" s="733"/>
    </row>
    <row r="20114" spans="2:5">
      <c r="B20114" s="121">
        <v>1668</v>
      </c>
      <c r="C20114" s="121">
        <v>20</v>
      </c>
      <c r="D20114" s="734">
        <v>125.2969062623168</v>
      </c>
      <c r="E20114" s="733"/>
    </row>
    <row r="20115" spans="2:5">
      <c r="B20115" s="121">
        <v>1668</v>
      </c>
      <c r="C20115" s="121">
        <v>21</v>
      </c>
      <c r="D20115" s="734">
        <v>138.83025935334106</v>
      </c>
      <c r="E20115" s="733"/>
    </row>
    <row r="20116" spans="2:5">
      <c r="B20116" s="121">
        <v>1668</v>
      </c>
      <c r="C20116" s="121">
        <v>22</v>
      </c>
      <c r="D20116" s="734">
        <v>135.46539470877633</v>
      </c>
      <c r="E20116" s="733"/>
    </row>
    <row r="20117" spans="2:5">
      <c r="B20117" s="121">
        <v>1668</v>
      </c>
      <c r="C20117" s="121">
        <v>23</v>
      </c>
      <c r="D20117" s="734">
        <v>138.95347266321193</v>
      </c>
      <c r="E20117" s="733"/>
    </row>
    <row r="20118" spans="2:5">
      <c r="B20118" s="121">
        <v>1668</v>
      </c>
      <c r="C20118" s="121">
        <v>24</v>
      </c>
      <c r="D20118" s="734">
        <v>141.03087065663149</v>
      </c>
      <c r="E20118" s="733"/>
    </row>
    <row r="20119" spans="2:5">
      <c r="B20119" s="121">
        <v>1668</v>
      </c>
      <c r="C20119" s="121">
        <v>25</v>
      </c>
      <c r="D20119" s="734">
        <v>146.54258699406947</v>
      </c>
      <c r="E20119" s="733"/>
    </row>
    <row r="20120" spans="2:5">
      <c r="B20120" s="121">
        <v>1668</v>
      </c>
      <c r="C20120" s="121">
        <v>26</v>
      </c>
      <c r="D20120" s="734">
        <v>134.66548232428275</v>
      </c>
      <c r="E20120" s="733"/>
    </row>
    <row r="20121" spans="2:5">
      <c r="B20121" s="121">
        <v>1668</v>
      </c>
      <c r="C20121" s="121">
        <v>27</v>
      </c>
      <c r="D20121" s="734">
        <v>137.84356557490887</v>
      </c>
      <c r="E20121" s="733"/>
    </row>
    <row r="20122" spans="2:5">
      <c r="B20122" s="121">
        <v>1668</v>
      </c>
      <c r="C20122" s="121">
        <v>28</v>
      </c>
      <c r="D20122" s="734">
        <v>135.61028663488111</v>
      </c>
      <c r="E20122" s="733"/>
    </row>
    <row r="20123" spans="2:5">
      <c r="B20123" s="121">
        <v>1668</v>
      </c>
      <c r="C20123" s="121">
        <v>29</v>
      </c>
      <c r="D20123" s="734">
        <v>145.41521261389124</v>
      </c>
      <c r="E20123" s="733"/>
    </row>
    <row r="20124" spans="2:5">
      <c r="B20124" s="121">
        <v>1668</v>
      </c>
      <c r="C20124" s="121">
        <v>30</v>
      </c>
      <c r="D20124" s="734">
        <v>140.07538084480692</v>
      </c>
      <c r="E20124" s="733"/>
    </row>
    <row r="20125" spans="2:5">
      <c r="B20125" s="121">
        <v>1668</v>
      </c>
      <c r="C20125" s="121">
        <v>31</v>
      </c>
      <c r="D20125" s="734">
        <v>145.41468569233575</v>
      </c>
      <c r="E20125" s="733"/>
    </row>
    <row r="20126" spans="2:5">
      <c r="B20126" s="121">
        <v>1668</v>
      </c>
      <c r="C20126" s="121">
        <v>32</v>
      </c>
      <c r="D20126" s="734">
        <v>134.81874595163774</v>
      </c>
      <c r="E20126" s="733"/>
    </row>
    <row r="20127" spans="2:5">
      <c r="B20127" s="121">
        <v>1668</v>
      </c>
      <c r="C20127" s="121">
        <v>33</v>
      </c>
      <c r="D20127" s="734">
        <v>141.81473977974252</v>
      </c>
      <c r="E20127" s="733"/>
    </row>
    <row r="20128" spans="2:5">
      <c r="B20128" s="121">
        <v>1668</v>
      </c>
      <c r="C20128" s="121">
        <v>34</v>
      </c>
      <c r="D20128" s="734">
        <v>143.40101819347601</v>
      </c>
      <c r="E20128" s="733"/>
    </row>
    <row r="20129" spans="2:5">
      <c r="B20129" s="121">
        <v>1668</v>
      </c>
      <c r="C20129" s="121">
        <v>35</v>
      </c>
      <c r="D20129" s="734">
        <v>145.04575980531746</v>
      </c>
      <c r="E20129" s="733"/>
    </row>
    <row r="20130" spans="2:5">
      <c r="B20130" s="121">
        <v>1668</v>
      </c>
      <c r="C20130" s="121">
        <v>36</v>
      </c>
      <c r="D20130" s="734">
        <v>145.97946266091881</v>
      </c>
      <c r="E20130" s="733"/>
    </row>
    <row r="20131" spans="2:5">
      <c r="B20131" s="121">
        <v>1669</v>
      </c>
      <c r="C20131" s="121">
        <v>1</v>
      </c>
      <c r="D20131" s="734">
        <v>5</v>
      </c>
      <c r="E20131" s="733"/>
    </row>
    <row r="20132" spans="2:5">
      <c r="B20132" s="121">
        <v>1670</v>
      </c>
      <c r="C20132" s="121">
        <v>1</v>
      </c>
      <c r="D20132" s="734">
        <v>5</v>
      </c>
      <c r="E20132" s="733"/>
    </row>
    <row r="20133" spans="2:5">
      <c r="B20133" s="121">
        <v>1670</v>
      </c>
      <c r="C20133" s="121">
        <v>2</v>
      </c>
      <c r="D20133" s="734">
        <v>140.3968259367187</v>
      </c>
      <c r="E20133" s="733"/>
    </row>
    <row r="20134" spans="2:5">
      <c r="B20134" s="121">
        <v>1670</v>
      </c>
      <c r="C20134" s="121">
        <v>3</v>
      </c>
      <c r="D20134" s="734">
        <v>132.95962305136555</v>
      </c>
      <c r="E20134" s="733"/>
    </row>
    <row r="20135" spans="2:5">
      <c r="B20135" s="121">
        <v>1670</v>
      </c>
      <c r="C20135" s="121">
        <v>4</v>
      </c>
      <c r="D20135" s="734">
        <v>133.92483918633047</v>
      </c>
      <c r="E20135" s="733"/>
    </row>
    <row r="20136" spans="2:5">
      <c r="B20136" s="121">
        <v>1671</v>
      </c>
      <c r="C20136" s="121">
        <v>1</v>
      </c>
      <c r="D20136" s="734">
        <v>5</v>
      </c>
      <c r="E20136" s="733"/>
    </row>
    <row r="20137" spans="2:5">
      <c r="B20137" s="121">
        <v>1672</v>
      </c>
      <c r="C20137" s="121">
        <v>1</v>
      </c>
      <c r="D20137" s="734">
        <v>5</v>
      </c>
      <c r="E20137" s="733"/>
    </row>
    <row r="20138" spans="2:5">
      <c r="B20138" s="121">
        <v>1672</v>
      </c>
      <c r="C20138" s="121">
        <v>2</v>
      </c>
      <c r="D20138" s="734">
        <v>138.07916285523299</v>
      </c>
      <c r="E20138" s="733"/>
    </row>
    <row r="20139" spans="2:5">
      <c r="B20139" s="121">
        <v>1672</v>
      </c>
      <c r="C20139" s="121">
        <v>3</v>
      </c>
      <c r="D20139" s="734">
        <v>142.17230658405634</v>
      </c>
      <c r="E20139" s="733"/>
    </row>
    <row r="20140" spans="2:5">
      <c r="B20140" s="121">
        <v>1672</v>
      </c>
      <c r="C20140" s="121">
        <v>4</v>
      </c>
      <c r="D20140" s="734">
        <v>141.30208068928277</v>
      </c>
      <c r="E20140" s="733"/>
    </row>
    <row r="20141" spans="2:5">
      <c r="B20141" s="121">
        <v>1672</v>
      </c>
      <c r="C20141" s="121">
        <v>5</v>
      </c>
      <c r="D20141" s="734">
        <v>143.74037969921483</v>
      </c>
      <c r="E20141" s="733"/>
    </row>
    <row r="20142" spans="2:5">
      <c r="B20142" s="121">
        <v>1672</v>
      </c>
      <c r="C20142" s="121">
        <v>6</v>
      </c>
      <c r="D20142" s="734">
        <v>134.74950395311757</v>
      </c>
      <c r="E20142" s="733"/>
    </row>
    <row r="20143" spans="2:5">
      <c r="B20143" s="121">
        <v>1672</v>
      </c>
      <c r="C20143" s="121">
        <v>7</v>
      </c>
      <c r="D20143" s="734">
        <v>138.42994181469223</v>
      </c>
      <c r="E20143" s="733"/>
    </row>
    <row r="20144" spans="2:5">
      <c r="B20144" s="121">
        <v>1672</v>
      </c>
      <c r="C20144" s="121">
        <v>8</v>
      </c>
      <c r="D20144" s="734">
        <v>147.22111498474035</v>
      </c>
      <c r="E20144" s="733"/>
    </row>
    <row r="20145" spans="2:5">
      <c r="B20145" s="121">
        <v>1672</v>
      </c>
      <c r="C20145" s="121">
        <v>9</v>
      </c>
      <c r="D20145" s="734">
        <v>136.73254701251037</v>
      </c>
      <c r="E20145" s="733"/>
    </row>
    <row r="20146" spans="2:5">
      <c r="B20146" s="121">
        <v>1672</v>
      </c>
      <c r="C20146" s="121">
        <v>10</v>
      </c>
      <c r="D20146" s="734">
        <v>138.39730097257703</v>
      </c>
      <c r="E20146" s="733"/>
    </row>
    <row r="20147" spans="2:5">
      <c r="B20147" s="121">
        <v>1672</v>
      </c>
      <c r="C20147" s="121">
        <v>11</v>
      </c>
      <c r="D20147" s="734">
        <v>135.40650489858609</v>
      </c>
      <c r="E20147" s="733"/>
    </row>
    <row r="20148" spans="2:5">
      <c r="B20148" s="121">
        <v>1673</v>
      </c>
      <c r="C20148" s="121">
        <v>1</v>
      </c>
      <c r="D20148" s="734">
        <v>5</v>
      </c>
      <c r="E20148" s="733"/>
    </row>
    <row r="20149" spans="2:5">
      <c r="B20149" s="121">
        <v>1673</v>
      </c>
      <c r="C20149" s="121">
        <v>2</v>
      </c>
      <c r="D20149" s="734">
        <v>94.626526344618171</v>
      </c>
      <c r="E20149" s="733"/>
    </row>
    <row r="20150" spans="2:5">
      <c r="B20150" s="121">
        <v>1673</v>
      </c>
      <c r="C20150" s="121">
        <v>3</v>
      </c>
      <c r="D20150" s="734">
        <v>116.99849103887304</v>
      </c>
      <c r="E20150" s="733"/>
    </row>
    <row r="20151" spans="2:5">
      <c r="B20151" s="121">
        <v>1673</v>
      </c>
      <c r="C20151" s="121">
        <v>4</v>
      </c>
      <c r="D20151" s="734">
        <v>144.99921212822264</v>
      </c>
      <c r="E20151" s="733"/>
    </row>
    <row r="20152" spans="2:5">
      <c r="B20152" s="121">
        <v>1674</v>
      </c>
      <c r="C20152" s="121">
        <v>1</v>
      </c>
      <c r="D20152" s="734">
        <v>5</v>
      </c>
      <c r="E20152" s="733"/>
    </row>
    <row r="20153" spans="2:5">
      <c r="B20153" s="121">
        <v>1674</v>
      </c>
      <c r="C20153" s="121">
        <v>2</v>
      </c>
      <c r="D20153" s="734">
        <v>139.53235894390258</v>
      </c>
      <c r="E20153" s="733"/>
    </row>
    <row r="20154" spans="2:5">
      <c r="B20154" s="121">
        <v>1674</v>
      </c>
      <c r="C20154" s="121">
        <v>3</v>
      </c>
      <c r="D20154" s="734">
        <v>140.70699558099543</v>
      </c>
      <c r="E20154" s="733"/>
    </row>
    <row r="20155" spans="2:5">
      <c r="B20155" s="121">
        <v>1674</v>
      </c>
      <c r="C20155" s="121">
        <v>4</v>
      </c>
      <c r="D20155" s="734">
        <v>138.69636457548211</v>
      </c>
      <c r="E20155" s="733"/>
    </row>
    <row r="20156" spans="2:5">
      <c r="B20156" s="121">
        <v>1674</v>
      </c>
      <c r="C20156" s="121">
        <v>5</v>
      </c>
      <c r="D20156" s="734">
        <v>144.09021482830511</v>
      </c>
      <c r="E20156" s="733"/>
    </row>
    <row r="20157" spans="2:5">
      <c r="B20157" s="121">
        <v>1674</v>
      </c>
      <c r="C20157" s="121">
        <v>6</v>
      </c>
      <c r="D20157" s="734">
        <v>136.28194959383444</v>
      </c>
      <c r="E20157" s="733"/>
    </row>
    <row r="20158" spans="2:5">
      <c r="B20158" s="121">
        <v>1674</v>
      </c>
      <c r="C20158" s="121">
        <v>7</v>
      </c>
      <c r="D20158" s="734">
        <v>146.87287800311873</v>
      </c>
      <c r="E20158" s="733"/>
    </row>
    <row r="20159" spans="2:5">
      <c r="B20159" s="121">
        <v>1674</v>
      </c>
      <c r="C20159" s="121">
        <v>8</v>
      </c>
      <c r="D20159" s="734">
        <v>139.92598616797707</v>
      </c>
      <c r="E20159" s="733"/>
    </row>
    <row r="20160" spans="2:5">
      <c r="B20160" s="121">
        <v>1674</v>
      </c>
      <c r="C20160" s="121">
        <v>9</v>
      </c>
      <c r="D20160" s="734">
        <v>141.29994975596753</v>
      </c>
      <c r="E20160" s="733"/>
    </row>
    <row r="20161" spans="2:5">
      <c r="B20161" s="121">
        <v>1674</v>
      </c>
      <c r="C20161" s="121">
        <v>10</v>
      </c>
      <c r="D20161" s="734">
        <v>134.63402524469637</v>
      </c>
      <c r="E20161" s="733"/>
    </row>
    <row r="20162" spans="2:5">
      <c r="B20162" s="121">
        <v>1674</v>
      </c>
      <c r="C20162" s="121">
        <v>11</v>
      </c>
      <c r="D20162" s="734">
        <v>142.88915310890243</v>
      </c>
      <c r="E20162" s="733"/>
    </row>
    <row r="20163" spans="2:5">
      <c r="B20163" s="121">
        <v>1674</v>
      </c>
      <c r="C20163" s="121">
        <v>12</v>
      </c>
      <c r="D20163" s="734">
        <v>143.8646903807888</v>
      </c>
      <c r="E20163" s="733"/>
    </row>
    <row r="20164" spans="2:5">
      <c r="B20164" s="121">
        <v>1674</v>
      </c>
      <c r="C20164" s="121">
        <v>13</v>
      </c>
      <c r="D20164" s="734">
        <v>143.80387503948938</v>
      </c>
      <c r="E20164" s="733"/>
    </row>
    <row r="20165" spans="2:5">
      <c r="B20165" s="121">
        <v>1674</v>
      </c>
      <c r="C20165" s="121">
        <v>14</v>
      </c>
      <c r="D20165" s="734">
        <v>146.75901713861623</v>
      </c>
      <c r="E20165" s="733"/>
    </row>
    <row r="20166" spans="2:5" ht="15.75">
      <c r="D20166" s="135"/>
    </row>
  </sheetData>
  <autoFilter ref="B11:D20165" xr:uid="{EAFE94F6-2007-4A4E-B405-D6603C0CFFA9}"/>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264"/>
  <sheetViews>
    <sheetView zoomScale="141" zoomScaleNormal="140" workbookViewId="0">
      <selection activeCell="C232" sqref="C232"/>
    </sheetView>
  </sheetViews>
  <sheetFormatPr defaultColWidth="9.5" defaultRowHeight="12.75"/>
  <cols>
    <col min="1" max="1" width="9.5" style="365"/>
    <col min="2" max="2" width="10.875" style="365" customWidth="1"/>
    <col min="3" max="3" width="11" style="366" customWidth="1"/>
    <col min="4" max="4" width="9.875" style="366" customWidth="1"/>
    <col min="5" max="5" width="10.5" style="366" customWidth="1"/>
    <col min="6" max="6" width="9.5" style="366"/>
    <col min="7" max="7" width="10.375" style="365" customWidth="1"/>
    <col min="8" max="8" width="10.5" style="365" customWidth="1"/>
    <col min="9" max="9" width="8.375" style="365" customWidth="1"/>
    <col min="10" max="10" width="11.875" style="365" customWidth="1"/>
    <col min="11" max="11" width="12.5" style="365" customWidth="1"/>
    <col min="12" max="12" width="10.5" style="365" customWidth="1"/>
    <col min="13" max="13" width="10.875" style="365" customWidth="1"/>
    <col min="14" max="14" width="10" style="365" customWidth="1"/>
    <col min="15" max="15" width="11.125" style="527" customWidth="1"/>
    <col min="16" max="16" width="11.375" style="527" customWidth="1"/>
    <col min="17" max="17" width="10.5" style="365" customWidth="1"/>
    <col min="18" max="24" width="9.5" style="365"/>
    <col min="25" max="33" width="9.5" style="365" customWidth="1"/>
    <col min="34" max="34" width="12.5" style="365" customWidth="1"/>
    <col min="35" max="52" width="9.5" style="365" customWidth="1"/>
    <col min="53" max="16384" width="9.5" style="365"/>
  </cols>
  <sheetData>
    <row r="1" spans="1:11" ht="18.75">
      <c r="A1" s="149" t="s">
        <v>1141</v>
      </c>
      <c r="G1" s="368" t="s">
        <v>54</v>
      </c>
    </row>
    <row r="2" spans="1:11">
      <c r="A2" s="2" t="s">
        <v>757</v>
      </c>
      <c r="I2" s="368"/>
    </row>
    <row r="3" spans="1:11">
      <c r="A3" s="2" t="s">
        <v>1146</v>
      </c>
      <c r="F3" s="371"/>
    </row>
    <row r="4" spans="1:11">
      <c r="A4" s="2" t="str">
        <f ca="1">"Sheet: "&amp;MID(CELL("filename",A1),FIND("]",CELL("filename",A1))+1,255)</f>
        <v>Sheet: MODEL Product Introduction</v>
      </c>
      <c r="E4" s="367"/>
      <c r="F4" s="371"/>
    </row>
    <row r="5" spans="1:11" ht="13.5" thickBot="1"/>
    <row r="6" spans="1:11" ht="15.75">
      <c r="A6" s="509" t="s">
        <v>462</v>
      </c>
      <c r="B6" s="676"/>
      <c r="C6" s="676"/>
      <c r="D6" s="676"/>
      <c r="E6" s="677"/>
      <c r="F6" s="676"/>
      <c r="G6" s="676"/>
      <c r="H6" s="678"/>
      <c r="I6" s="678"/>
      <c r="J6" s="676"/>
      <c r="K6" s="679"/>
    </row>
    <row r="7" spans="1:11" ht="13.5" thickBot="1">
      <c r="A7" s="680" t="s">
        <v>1176</v>
      </c>
      <c r="B7" s="681"/>
      <c r="C7" s="681"/>
      <c r="D7" s="681"/>
      <c r="E7" s="681"/>
      <c r="F7" s="681"/>
      <c r="G7" s="681"/>
      <c r="H7" s="681"/>
      <c r="I7" s="681"/>
      <c r="J7" s="681"/>
      <c r="K7" s="682"/>
    </row>
    <row r="9" spans="1:11">
      <c r="A9" s="373" t="s">
        <v>822</v>
      </c>
      <c r="B9" s="374"/>
      <c r="C9" s="374"/>
      <c r="D9" s="374"/>
      <c r="E9" s="374"/>
      <c r="F9" s="374"/>
      <c r="G9" s="374"/>
      <c r="H9" s="374"/>
      <c r="I9" s="374"/>
      <c r="J9" s="374"/>
      <c r="K9" s="375"/>
    </row>
    <row r="10" spans="1:11">
      <c r="A10" s="430" t="s">
        <v>953</v>
      </c>
      <c r="B10" s="33"/>
      <c r="C10" s="33"/>
      <c r="D10" s="33"/>
      <c r="E10" s="33"/>
      <c r="F10" s="33"/>
      <c r="G10" s="33"/>
      <c r="H10" s="33"/>
      <c r="I10" s="33"/>
      <c r="J10" s="33"/>
      <c r="K10" s="377"/>
    </row>
    <row r="11" spans="1:11">
      <c r="A11" s="448" t="s">
        <v>831</v>
      </c>
      <c r="B11" s="379"/>
      <c r="C11" s="379"/>
      <c r="D11" s="379"/>
      <c r="E11" s="379"/>
      <c r="F11" s="379"/>
      <c r="G11" s="379"/>
      <c r="H11" s="379"/>
      <c r="I11" s="379"/>
      <c r="J11" s="379"/>
      <c r="K11" s="380"/>
    </row>
    <row r="12" spans="1:11">
      <c r="A12" s="373" t="s">
        <v>1210</v>
      </c>
      <c r="B12" s="374"/>
      <c r="C12" s="374"/>
      <c r="D12" s="374"/>
      <c r="E12" s="374"/>
      <c r="F12" s="374"/>
      <c r="G12" s="374"/>
      <c r="H12" s="374"/>
      <c r="I12" s="374"/>
      <c r="J12" s="374"/>
      <c r="K12" s="375"/>
    </row>
    <row r="13" spans="1:11">
      <c r="A13" s="420" t="s">
        <v>832</v>
      </c>
      <c r="B13" s="33"/>
      <c r="C13" s="33"/>
      <c r="D13" s="33"/>
      <c r="E13" s="33"/>
      <c r="F13" s="33"/>
      <c r="G13" s="33"/>
      <c r="H13" s="33"/>
      <c r="I13" s="33"/>
      <c r="J13" s="33"/>
      <c r="K13" s="377"/>
    </row>
    <row r="14" spans="1:11">
      <c r="A14" s="378" t="s">
        <v>834</v>
      </c>
      <c r="B14" s="379"/>
      <c r="C14" s="379"/>
      <c r="D14" s="379"/>
      <c r="E14" s="379"/>
      <c r="F14" s="379"/>
      <c r="G14" s="379"/>
      <c r="H14" s="379"/>
      <c r="I14" s="379"/>
      <c r="J14" s="379"/>
      <c r="K14" s="380"/>
    </row>
    <row r="16" spans="1:11">
      <c r="A16" s="369" t="s">
        <v>949</v>
      </c>
    </row>
    <row r="17" spans="1:9">
      <c r="A17" s="369" t="s">
        <v>950</v>
      </c>
    </row>
    <row r="18" spans="1:9">
      <c r="A18" s="369" t="s">
        <v>951</v>
      </c>
    </row>
    <row r="19" spans="1:9">
      <c r="A19" s="369" t="s">
        <v>952</v>
      </c>
    </row>
    <row r="20" spans="1:9">
      <c r="A20" s="369" t="s">
        <v>954</v>
      </c>
    </row>
    <row r="21" spans="1:9">
      <c r="A21" s="168" t="s">
        <v>1114</v>
      </c>
    </row>
    <row r="22" spans="1:9">
      <c r="A22" s="168"/>
    </row>
    <row r="23" spans="1:9">
      <c r="A23" s="369" t="str">
        <f>"As President of Feed-a-Pet, you are thinking of extending your successful dog food subscription business ('DATA ANALYSIS Subscription Biz' Sheet) to cat food - a creative strategic initiative."</f>
        <v>As President of Feed-a-Pet, you are thinking of extending your successful dog food subscription business ('DATA ANALYSIS Subscription Biz' Sheet) to cat food - a creative strategic initiative.</v>
      </c>
    </row>
    <row r="24" spans="1:9">
      <c r="A24" s="369" t="s">
        <v>835</v>
      </c>
    </row>
    <row r="25" spans="1:9">
      <c r="A25" s="545" t="s">
        <v>961</v>
      </c>
    </row>
    <row r="26" spans="1:9">
      <c r="A26" s="545" t="s">
        <v>962</v>
      </c>
    </row>
    <row r="27" spans="1:9">
      <c r="A27" s="369" t="str">
        <f>"The customer profile in columns "&amp;INDEX(Column,2,COLUMN(B27))&amp;" through "&amp;INDEX(Column,2,COLUMN(D27))&amp;" below is an exact copy of the output of the data analysis of the dog food business from the 'DATA ANALYSIS Subscription Biz' Sheet"</f>
        <v>The customer profile in columns B through D below is an exact copy of the output of the data analysis of the dog food business from the 'DATA ANALYSIS Subscription Biz' Sheet</v>
      </c>
    </row>
    <row r="28" spans="1:9">
      <c r="A28" s="369"/>
    </row>
    <row r="29" spans="1:9">
      <c r="A29" s="538" t="s">
        <v>368</v>
      </c>
    </row>
    <row r="30" spans="1:9">
      <c r="A30" s="369" t="s">
        <v>404</v>
      </c>
    </row>
    <row r="31" spans="1:9">
      <c r="A31" s="369" t="s">
        <v>328</v>
      </c>
    </row>
    <row r="32" spans="1:9" ht="15.95" customHeight="1">
      <c r="A32" s="369"/>
      <c r="B32" s="539" t="s">
        <v>329</v>
      </c>
      <c r="D32" s="1070" t="s">
        <v>369</v>
      </c>
      <c r="E32" s="1070"/>
      <c r="F32" s="1070"/>
      <c r="G32" s="1070" t="s">
        <v>370</v>
      </c>
      <c r="H32" s="1070"/>
      <c r="I32" s="1070"/>
    </row>
    <row r="33" spans="1:16" s="2" customFormat="1">
      <c r="B33" s="540" t="s">
        <v>327</v>
      </c>
      <c r="C33" s="417"/>
      <c r="D33" s="417"/>
      <c r="E33" s="21">
        <f>'DATA ANALYSIS Subscription Biz'!E114</f>
        <v>5</v>
      </c>
      <c r="H33" s="546">
        <v>5</v>
      </c>
      <c r="J33" s="18"/>
      <c r="K33" s="18"/>
      <c r="L33" s="18"/>
      <c r="O33" s="58"/>
      <c r="P33" s="58"/>
    </row>
    <row r="34" spans="1:16">
      <c r="B34" s="540" t="s">
        <v>324</v>
      </c>
      <c r="E34" s="21">
        <f>'DATA ANALYSIS Subscription Biz'!E115</f>
        <v>100</v>
      </c>
      <c r="F34" s="365"/>
      <c r="H34" s="547">
        <v>50</v>
      </c>
    </row>
    <row r="35" spans="1:16">
      <c r="B35" s="540" t="s">
        <v>325</v>
      </c>
      <c r="E35" s="21">
        <f>'DATA ANALYSIS Subscription Biz'!E116</f>
        <v>120</v>
      </c>
      <c r="F35" s="365"/>
      <c r="H35" s="547">
        <v>60</v>
      </c>
    </row>
    <row r="36" spans="1:16">
      <c r="B36" s="540" t="s">
        <v>326</v>
      </c>
      <c r="C36" s="20"/>
      <c r="D36" s="20"/>
      <c r="E36" s="21">
        <f>'DATA ANALYSIS Subscription Biz'!E117</f>
        <v>140</v>
      </c>
      <c r="F36" s="365"/>
      <c r="H36" s="547">
        <v>70</v>
      </c>
    </row>
    <row r="37" spans="1:16">
      <c r="A37" s="369" t="s">
        <v>372</v>
      </c>
      <c r="B37" s="540"/>
      <c r="C37" s="20"/>
      <c r="D37" s="20"/>
      <c r="G37" s="369"/>
      <c r="H37" s="369"/>
    </row>
    <row r="38" spans="1:16">
      <c r="A38" s="369" t="s">
        <v>371</v>
      </c>
      <c r="B38" s="540"/>
      <c r="C38" s="20"/>
      <c r="D38" s="20"/>
      <c r="G38" s="369"/>
      <c r="H38" s="369"/>
    </row>
    <row r="39" spans="1:16">
      <c r="B39" s="540"/>
      <c r="C39" s="20"/>
      <c r="D39" s="20"/>
      <c r="G39" s="369"/>
      <c r="H39" s="369"/>
    </row>
    <row r="40" spans="1:16">
      <c r="A40" s="538" t="s">
        <v>244</v>
      </c>
      <c r="B40" s="540"/>
      <c r="C40" s="20"/>
      <c r="D40" s="20"/>
      <c r="G40" s="369"/>
      <c r="H40" s="369"/>
    </row>
    <row r="41" spans="1:16">
      <c r="A41" s="369" t="s">
        <v>690</v>
      </c>
    </row>
    <row r="42" spans="1:16">
      <c r="A42" s="369"/>
    </row>
    <row r="43" spans="1:16">
      <c r="A43" s="538" t="s">
        <v>668</v>
      </c>
    </row>
    <row r="44" spans="1:16">
      <c r="A44" s="369" t="s">
        <v>705</v>
      </c>
    </row>
    <row r="45" spans="1:16">
      <c r="A45" s="369" t="s">
        <v>633</v>
      </c>
    </row>
    <row r="46" spans="1:16">
      <c r="A46" s="369" t="s">
        <v>612</v>
      </c>
    </row>
    <row r="47" spans="1:16">
      <c r="A47" s="369"/>
    </row>
    <row r="48" spans="1:16">
      <c r="B48" s="538" t="s">
        <v>256</v>
      </c>
    </row>
    <row r="49" spans="1:16" s="548" customFormat="1">
      <c r="B49" s="549" t="s">
        <v>231</v>
      </c>
      <c r="C49" s="550" t="s">
        <v>232</v>
      </c>
      <c r="D49" s="550" t="s">
        <v>233</v>
      </c>
      <c r="E49" s="550" t="s">
        <v>234</v>
      </c>
      <c r="F49" s="550" t="s">
        <v>235</v>
      </c>
      <c r="G49" s="551" t="s">
        <v>236</v>
      </c>
      <c r="H49" s="551" t="s">
        <v>237</v>
      </c>
      <c r="I49" s="551" t="s">
        <v>238</v>
      </c>
      <c r="J49" s="551" t="s">
        <v>239</v>
      </c>
      <c r="K49" s="551" t="s">
        <v>241</v>
      </c>
      <c r="L49" s="551" t="s">
        <v>242</v>
      </c>
      <c r="M49" s="552" t="s">
        <v>243</v>
      </c>
      <c r="O49" s="553"/>
      <c r="P49" s="553"/>
    </row>
    <row r="50" spans="1:16">
      <c r="B50" s="554">
        <v>100</v>
      </c>
      <c r="C50" s="555">
        <f t="shared" ref="C50:J50" si="0">B50</f>
        <v>100</v>
      </c>
      <c r="D50" s="555">
        <f t="shared" si="0"/>
        <v>100</v>
      </c>
      <c r="E50" s="555">
        <f t="shared" si="0"/>
        <v>100</v>
      </c>
      <c r="F50" s="555">
        <f t="shared" si="0"/>
        <v>100</v>
      </c>
      <c r="G50" s="555">
        <f t="shared" si="0"/>
        <v>100</v>
      </c>
      <c r="H50" s="555">
        <f t="shared" si="0"/>
        <v>100</v>
      </c>
      <c r="I50" s="555">
        <f t="shared" si="0"/>
        <v>100</v>
      </c>
      <c r="J50" s="555">
        <f t="shared" si="0"/>
        <v>100</v>
      </c>
      <c r="K50" s="555">
        <v>110</v>
      </c>
      <c r="L50" s="555">
        <v>110</v>
      </c>
      <c r="M50" s="556">
        <v>150</v>
      </c>
      <c r="O50" s="557"/>
      <c r="P50" s="558"/>
    </row>
    <row r="51" spans="1:16">
      <c r="A51" s="369"/>
    </row>
    <row r="52" spans="1:16">
      <c r="A52" s="369" t="s">
        <v>669</v>
      </c>
    </row>
    <row r="53" spans="1:16">
      <c r="A53" s="369" t="s">
        <v>1173</v>
      </c>
    </row>
    <row r="54" spans="1:16">
      <c r="A54" s="369" t="s">
        <v>1174</v>
      </c>
    </row>
    <row r="55" spans="1:16">
      <c r="A55" s="369" t="s">
        <v>1172</v>
      </c>
    </row>
    <row r="56" spans="1:16">
      <c r="A56" s="369" t="s">
        <v>640</v>
      </c>
    </row>
    <row r="57" spans="1:16">
      <c r="A57" s="369"/>
    </row>
    <row r="58" spans="1:16" ht="14.1" customHeight="1">
      <c r="B58" s="559" t="s">
        <v>955</v>
      </c>
      <c r="F58" s="560"/>
    </row>
    <row r="59" spans="1:16" s="567" customFormat="1" ht="25.5">
      <c r="A59" s="561"/>
      <c r="B59" s="562" t="s">
        <v>639</v>
      </c>
      <c r="C59" s="563" t="s">
        <v>641</v>
      </c>
      <c r="D59" s="564" t="s">
        <v>956</v>
      </c>
      <c r="E59" s="565"/>
      <c r="F59" s="565"/>
      <c r="G59" s="566"/>
      <c r="H59" s="566"/>
      <c r="O59" s="568"/>
      <c r="P59" s="568"/>
    </row>
    <row r="60" spans="1:16">
      <c r="B60" s="569" t="s">
        <v>249</v>
      </c>
      <c r="C60" s="570">
        <v>0</v>
      </c>
      <c r="D60" s="571">
        <v>0</v>
      </c>
      <c r="G60" s="369"/>
      <c r="H60" s="369"/>
      <c r="J60" s="541"/>
    </row>
    <row r="61" spans="1:16">
      <c r="B61" s="569" t="s">
        <v>250</v>
      </c>
      <c r="C61" s="404">
        <v>5000</v>
      </c>
      <c r="D61" s="572">
        <v>0.1</v>
      </c>
      <c r="E61" s="20"/>
      <c r="F61" s="624"/>
      <c r="G61" s="369"/>
      <c r="H61" s="369"/>
      <c r="J61" s="541"/>
      <c r="K61" s="369"/>
      <c r="L61" s="369"/>
    </row>
    <row r="62" spans="1:16">
      <c r="B62" s="569" t="s">
        <v>251</v>
      </c>
      <c r="C62" s="570">
        <v>10000</v>
      </c>
      <c r="D62" s="572">
        <v>0.2</v>
      </c>
      <c r="F62" s="20"/>
      <c r="G62" s="369"/>
      <c r="H62" s="369"/>
      <c r="J62" s="541"/>
    </row>
    <row r="63" spans="1:16">
      <c r="B63" s="569" t="s">
        <v>252</v>
      </c>
      <c r="C63" s="570">
        <v>20000</v>
      </c>
      <c r="D63" s="572">
        <v>0.3</v>
      </c>
      <c r="G63" s="369"/>
      <c r="H63" s="369"/>
      <c r="J63" s="541"/>
    </row>
    <row r="64" spans="1:16">
      <c r="A64" s="369"/>
      <c r="B64" s="573" t="s">
        <v>253</v>
      </c>
      <c r="C64" s="574">
        <v>30000</v>
      </c>
      <c r="D64" s="575">
        <v>0.4</v>
      </c>
    </row>
    <row r="66" spans="1:12">
      <c r="A66" s="538" t="s">
        <v>260</v>
      </c>
    </row>
    <row r="67" spans="1:12">
      <c r="A67" s="369" t="s">
        <v>691</v>
      </c>
      <c r="D67" s="2"/>
    </row>
    <row r="68" spans="1:12">
      <c r="A68" s="369" t="s">
        <v>646</v>
      </c>
      <c r="G68" s="369"/>
    </row>
    <row r="69" spans="1:12">
      <c r="A69" s="369"/>
      <c r="B69" s="369" t="s">
        <v>254</v>
      </c>
      <c r="G69" s="369"/>
    </row>
    <row r="70" spans="1:12">
      <c r="A70" s="369"/>
      <c r="B70" s="369" t="s">
        <v>230</v>
      </c>
      <c r="G70" s="369"/>
    </row>
    <row r="71" spans="1:12">
      <c r="B71" s="369" t="s">
        <v>265</v>
      </c>
      <c r="D71" s="369" t="s">
        <v>957</v>
      </c>
    </row>
    <row r="72" spans="1:12">
      <c r="B72" s="369" t="s">
        <v>266</v>
      </c>
      <c r="D72" s="369" t="s">
        <v>272</v>
      </c>
    </row>
    <row r="73" spans="1:12">
      <c r="B73" s="369" t="s">
        <v>267</v>
      </c>
      <c r="D73" s="369" t="s">
        <v>1171</v>
      </c>
      <c r="L73" s="668"/>
    </row>
    <row r="74" spans="1:12">
      <c r="B74" s="369" t="s">
        <v>268</v>
      </c>
      <c r="D74" s="369" t="s">
        <v>1503</v>
      </c>
    </row>
    <row r="75" spans="1:12">
      <c r="B75" s="369" t="s">
        <v>264</v>
      </c>
      <c r="D75" s="369" t="str">
        <f>"We entered Match and Index functions in column "&amp;INDEX(Column,2,COLUMN(G75))&amp;" to reference the appropriate CPA base for the related month."</f>
        <v>We entered Match and Index functions in column G to reference the appropriate CPA base for the related month.</v>
      </c>
    </row>
    <row r="76" spans="1:12">
      <c r="B76" s="369"/>
      <c r="D76" s="369" t="s">
        <v>638</v>
      </c>
    </row>
    <row r="77" spans="1:12">
      <c r="B77" s="369" t="s">
        <v>255</v>
      </c>
      <c r="D77" s="369" t="str">
        <f>"We entered a VLOOKUP function in column "&amp;INDEX(Column,2,COLUMN(H77))&amp;" to reference the appropriate CPA Elasticity given the targeted number of customers acquired."</f>
        <v>We entered a VLOOKUP function in column H to reference the appropriate CPA Elasticity given the targeted number of customers acquired.</v>
      </c>
    </row>
    <row r="78" spans="1:12">
      <c r="B78" s="369"/>
      <c r="D78" s="369" t="s">
        <v>958</v>
      </c>
    </row>
    <row r="79" spans="1:12">
      <c r="B79" s="369" t="s">
        <v>269</v>
      </c>
      <c r="D79" s="369" t="s">
        <v>670</v>
      </c>
    </row>
    <row r="80" spans="1:12">
      <c r="B80" s="369" t="s">
        <v>81</v>
      </c>
      <c r="D80" s="369" t="str">
        <f>"Use SUMPRODUCT to mulitply each number of customers in column "&amp;INDEX(Column,2,COLUMN(C80))&amp;" through "&amp;INDEX(Column,2,COLUMN(F80))&amp;" by the average Revenues in the respective columns of row "&amp;ROW(B90)&amp;"."</f>
        <v>Use SUMPRODUCT to mulitply each number of customers in column C through F by the average Revenues in the respective columns of row 90.</v>
      </c>
    </row>
    <row r="81" spans="1:16">
      <c r="B81" s="369" t="s">
        <v>66</v>
      </c>
      <c r="D81" s="369" t="s">
        <v>631</v>
      </c>
    </row>
    <row r="82" spans="1:16">
      <c r="B82" s="369" t="s">
        <v>82</v>
      </c>
      <c r="D82" s="369" t="s">
        <v>273</v>
      </c>
    </row>
    <row r="83" spans="1:16">
      <c r="B83" s="369" t="s">
        <v>226</v>
      </c>
      <c r="D83" s="369" t="s">
        <v>1032</v>
      </c>
    </row>
    <row r="84" spans="1:16">
      <c r="B84" s="369" t="s">
        <v>227</v>
      </c>
      <c r="D84" s="369" t="s">
        <v>632</v>
      </c>
    </row>
    <row r="85" spans="1:16">
      <c r="B85" s="369" t="s">
        <v>271</v>
      </c>
      <c r="D85" s="369" t="s">
        <v>642</v>
      </c>
    </row>
    <row r="86" spans="1:16">
      <c r="B86" s="369"/>
      <c r="D86" s="369"/>
    </row>
    <row r="87" spans="1:16" ht="13.5" thickBot="1">
      <c r="A87" s="538" t="s">
        <v>373</v>
      </c>
      <c r="B87" s="369"/>
      <c r="D87" s="369"/>
    </row>
    <row r="88" spans="1:16">
      <c r="B88" s="369"/>
      <c r="C88" s="365"/>
      <c r="D88" s="576" t="s">
        <v>228</v>
      </c>
      <c r="E88" s="577"/>
      <c r="F88" s="577"/>
      <c r="G88" s="578"/>
    </row>
    <row r="89" spans="1:16" s="548" customFormat="1" ht="13.5" thickBot="1">
      <c r="B89" s="579"/>
      <c r="D89" s="580" t="s">
        <v>229</v>
      </c>
      <c r="E89" s="581" t="s">
        <v>261</v>
      </c>
      <c r="F89" s="581" t="s">
        <v>262</v>
      </c>
      <c r="G89" s="582" t="s">
        <v>263</v>
      </c>
      <c r="O89" s="553"/>
      <c r="P89" s="553"/>
    </row>
    <row r="90" spans="1:16">
      <c r="B90" s="583" t="s">
        <v>643</v>
      </c>
      <c r="C90" s="584"/>
      <c r="D90" s="585">
        <v>5</v>
      </c>
      <c r="E90" s="586">
        <v>100</v>
      </c>
      <c r="F90" s="586">
        <v>120</v>
      </c>
      <c r="G90" s="587">
        <v>140</v>
      </c>
      <c r="H90" s="369"/>
      <c r="I90" s="538"/>
      <c r="J90" s="538"/>
      <c r="K90" s="588"/>
      <c r="L90" s="538"/>
      <c r="M90" s="538"/>
      <c r="N90" s="369"/>
    </row>
    <row r="91" spans="1:16">
      <c r="B91" s="589" t="s">
        <v>644</v>
      </c>
      <c r="C91" s="590"/>
      <c r="D91" s="591">
        <v>100</v>
      </c>
      <c r="E91" s="541">
        <v>100</v>
      </c>
      <c r="F91" s="541">
        <v>100</v>
      </c>
      <c r="G91" s="592">
        <v>100</v>
      </c>
      <c r="H91" s="369"/>
      <c r="I91" s="538"/>
      <c r="J91" s="538"/>
      <c r="K91" s="588"/>
      <c r="L91" s="538"/>
      <c r="M91" s="538"/>
      <c r="N91" s="369"/>
    </row>
    <row r="92" spans="1:16" ht="13.5" thickBot="1">
      <c r="B92" s="593" t="s">
        <v>645</v>
      </c>
      <c r="C92" s="594"/>
      <c r="D92" s="595"/>
      <c r="E92" s="596">
        <v>0.3</v>
      </c>
      <c r="F92" s="596">
        <v>0.1</v>
      </c>
      <c r="G92" s="597">
        <v>0.05</v>
      </c>
      <c r="H92" s="369"/>
      <c r="J92" s="369"/>
      <c r="K92" s="369"/>
    </row>
    <row r="93" spans="1:16">
      <c r="B93" s="369"/>
      <c r="C93" s="443"/>
      <c r="D93" s="598"/>
      <c r="E93" s="598"/>
      <c r="F93" s="598"/>
      <c r="H93" s="369"/>
      <c r="J93" s="369"/>
      <c r="K93" s="369"/>
    </row>
    <row r="94" spans="1:16">
      <c r="B94" s="369"/>
      <c r="C94" s="443"/>
      <c r="D94" s="598"/>
      <c r="E94" s="598"/>
      <c r="F94" s="598"/>
      <c r="H94" s="369"/>
      <c r="J94" s="369"/>
      <c r="K94" s="369"/>
    </row>
    <row r="95" spans="1:16" ht="13.5" thickBot="1">
      <c r="A95" s="538" t="s">
        <v>333</v>
      </c>
      <c r="B95" s="369"/>
      <c r="C95" s="443"/>
      <c r="D95" s="598"/>
      <c r="E95" s="598"/>
      <c r="F95" s="598"/>
      <c r="H95" s="369"/>
      <c r="J95" s="369"/>
      <c r="K95" s="369"/>
    </row>
    <row r="96" spans="1:16" ht="15.95" customHeight="1">
      <c r="B96" s="544"/>
      <c r="C96" s="1076" t="s">
        <v>228</v>
      </c>
      <c r="D96" s="1077"/>
      <c r="E96" s="1077"/>
      <c r="F96" s="1078"/>
      <c r="G96" s="1071" t="s">
        <v>240</v>
      </c>
      <c r="H96" s="1072"/>
      <c r="I96" s="1073"/>
      <c r="J96" s="1071" t="s">
        <v>75</v>
      </c>
      <c r="K96" s="1072"/>
      <c r="L96" s="1072"/>
      <c r="M96" s="1072"/>
      <c r="N96" s="1073"/>
      <c r="O96" s="599" t="s">
        <v>630</v>
      </c>
    </row>
    <row r="97" spans="1:30" s="548" customFormat="1" ht="13.5" thickBot="1">
      <c r="A97" s="539" t="s">
        <v>254</v>
      </c>
      <c r="B97" s="539" t="s">
        <v>230</v>
      </c>
      <c r="C97" s="580" t="s">
        <v>229</v>
      </c>
      <c r="D97" s="581" t="s">
        <v>261</v>
      </c>
      <c r="E97" s="581" t="s">
        <v>262</v>
      </c>
      <c r="F97" s="582" t="s">
        <v>263</v>
      </c>
      <c r="G97" s="600" t="s">
        <v>247</v>
      </c>
      <c r="H97" s="601" t="s">
        <v>270</v>
      </c>
      <c r="I97" s="602" t="s">
        <v>248</v>
      </c>
      <c r="J97" s="600" t="s">
        <v>81</v>
      </c>
      <c r="K97" s="601" t="s">
        <v>66</v>
      </c>
      <c r="L97" s="601" t="s">
        <v>225</v>
      </c>
      <c r="M97" s="601" t="s">
        <v>226</v>
      </c>
      <c r="N97" s="602" t="s">
        <v>227</v>
      </c>
      <c r="O97" s="603" t="s">
        <v>227</v>
      </c>
      <c r="P97" s="553"/>
    </row>
    <row r="98" spans="1:30" ht="13.5" thickBot="1">
      <c r="A98" s="548">
        <f ca="1">YEAR(TODAY())+1</f>
        <v>2024</v>
      </c>
      <c r="B98" s="579" t="s">
        <v>231</v>
      </c>
      <c r="C98" s="604">
        <f>3000+X!CL2*100</f>
        <v>3700</v>
      </c>
      <c r="D98" s="11"/>
      <c r="E98" s="11"/>
      <c r="F98" s="11"/>
      <c r="G98" s="605">
        <f t="shared" ref="G98:G102" si="1">INDEX($B$50:$M$50,,MATCH($B98,$B$49:$M$49,FALSE))</f>
        <v>100</v>
      </c>
      <c r="H98" s="606">
        <f t="shared" ref="H98:H102" si="2">VLOOKUP($C98,$C$60:$D$64,2,TRUE)</f>
        <v>0</v>
      </c>
      <c r="I98" s="12">
        <f>G98*1+H98</f>
        <v>100</v>
      </c>
      <c r="J98" s="12" cm="1">
        <f t="array" ref="J98">SUMPRODUCT(C98:F98*91.25)</f>
        <v>337625</v>
      </c>
      <c r="K98" s="12">
        <f>100*(D98+E98+F98)</f>
        <v>0</v>
      </c>
      <c r="L98" s="12">
        <f>J98-K98</f>
        <v>337625</v>
      </c>
      <c r="M98" s="12">
        <f>(I98*4)+(10*(C98+D98+E98+F98))</f>
        <v>37400</v>
      </c>
      <c r="N98" s="12">
        <f>L98-M98</f>
        <v>300225</v>
      </c>
      <c r="O98" s="12">
        <f>N98</f>
        <v>300225</v>
      </c>
    </row>
    <row r="99" spans="1:30" ht="13.5" thickBot="1">
      <c r="A99" s="548">
        <f t="shared" ref="A99:A109" ca="1" si="3">A98</f>
        <v>2024</v>
      </c>
      <c r="B99" s="579" t="s">
        <v>232</v>
      </c>
      <c r="C99" s="604">
        <f>IF('DATA TABLES'!$C$45="Exclude Dec",IF(B99="Dec",0,IF(B99="Jan",C97*(1+'DATA TABLES'!$C$46),C98*(1+'DATA TABLES'!$C$46))),C98*(1+'DATA TABLES'!$C$46))</f>
        <v>3737</v>
      </c>
      <c r="D99" s="5">
        <f>C98*(1-30%)</f>
        <v>2590</v>
      </c>
      <c r="E99" s="11"/>
      <c r="F99" s="11"/>
      <c r="G99" s="605">
        <f t="shared" si="1"/>
        <v>100</v>
      </c>
      <c r="H99" s="606">
        <f t="shared" si="2"/>
        <v>0</v>
      </c>
      <c r="I99" s="12">
        <f t="shared" ref="I99:I162" si="4">G99*1+H99</f>
        <v>100</v>
      </c>
      <c r="J99" s="12" cm="1">
        <f t="array" ref="J99">SUMPRODUCT(C99:F99*91.25)</f>
        <v>577338.75</v>
      </c>
      <c r="K99" s="12">
        <f t="shared" ref="K99:K162" si="5">100*(D99+E99+F99)</f>
        <v>259000</v>
      </c>
      <c r="L99" s="12">
        <f t="shared" ref="L99:L162" si="6">J99-K99</f>
        <v>318338.75</v>
      </c>
      <c r="M99" s="12">
        <f t="shared" ref="M99:M162" si="7">(I99*4)+(10*(C99+D99+E99+F99))</f>
        <v>63670</v>
      </c>
      <c r="N99" s="12">
        <f t="shared" ref="N99:N162" si="8">L99-M99</f>
        <v>254668.75</v>
      </c>
      <c r="O99" s="12">
        <f>O98+N99</f>
        <v>554893.75</v>
      </c>
      <c r="AC99" s="365">
        <f>IFERROR(SUM(X!CL173:CW292),0)</f>
        <v>8.954999999999961</v>
      </c>
      <c r="AD99" s="365">
        <v>17.910000000000299</v>
      </c>
    </row>
    <row r="100" spans="1:30" ht="13.5" thickBot="1">
      <c r="A100" s="548">
        <f t="shared" ca="1" si="3"/>
        <v>2024</v>
      </c>
      <c r="B100" s="579" t="s">
        <v>233</v>
      </c>
      <c r="C100" s="604">
        <f>IF('DATA TABLES'!$C$45="Exclude Dec",IF(B100="Dec",0,IF(B100="Jan",C98*(1+'DATA TABLES'!$C$46),C99*(1+'DATA TABLES'!$C$46))),C99*(1+'DATA TABLES'!$C$46))</f>
        <v>3774.37</v>
      </c>
      <c r="D100" s="5">
        <f t="shared" ref="D100:D163" si="9">C99*(1-30%)</f>
        <v>2615.8999999999996</v>
      </c>
      <c r="E100" s="5">
        <f>C99*(1-10%)</f>
        <v>3363.3</v>
      </c>
      <c r="F100" s="11"/>
      <c r="G100" s="605">
        <f t="shared" si="1"/>
        <v>100</v>
      </c>
      <c r="H100" s="606">
        <f t="shared" si="2"/>
        <v>0</v>
      </c>
      <c r="I100" s="12">
        <f t="shared" si="4"/>
        <v>100</v>
      </c>
      <c r="J100" s="12" cm="1">
        <f t="array" ref="J100">SUMPRODUCT(C100:F100*91.25)</f>
        <v>890013.26249999995</v>
      </c>
      <c r="K100" s="12">
        <f t="shared" si="5"/>
        <v>597920</v>
      </c>
      <c r="L100" s="12">
        <f t="shared" si="6"/>
        <v>292093.26249999995</v>
      </c>
      <c r="M100" s="12">
        <f t="shared" si="7"/>
        <v>97935.7</v>
      </c>
      <c r="N100" s="12">
        <f t="shared" si="8"/>
        <v>194157.56249999994</v>
      </c>
      <c r="O100" s="12">
        <f t="shared" ref="O100:O163" si="10">O99+N100</f>
        <v>749051.3125</v>
      </c>
    </row>
    <row r="101" spans="1:30" ht="13.5" thickBot="1">
      <c r="A101" s="548">
        <f t="shared" ca="1" si="3"/>
        <v>2024</v>
      </c>
      <c r="B101" s="579" t="s">
        <v>234</v>
      </c>
      <c r="C101" s="604">
        <f>IF('DATA TABLES'!$C$45="Exclude Dec",IF(B101="Dec",0,IF(B101="Jan",C99*(1+'DATA TABLES'!$C$46),C100*(1+'DATA TABLES'!$C$46))),C100*(1+'DATA TABLES'!$C$46))</f>
        <v>3812.1136999999999</v>
      </c>
      <c r="D101" s="5">
        <f t="shared" si="9"/>
        <v>2642.0589999999997</v>
      </c>
      <c r="E101" s="5">
        <f t="shared" ref="E101:E164" si="11">C100*(1-10%)</f>
        <v>3396.933</v>
      </c>
      <c r="F101" s="5">
        <f>(E100+F100)*(1-5%)</f>
        <v>3195.1350000000002</v>
      </c>
      <c r="G101" s="605">
        <f t="shared" si="1"/>
        <v>100</v>
      </c>
      <c r="H101" s="606">
        <f t="shared" si="2"/>
        <v>0</v>
      </c>
      <c r="I101" s="12">
        <f t="shared" si="4"/>
        <v>100</v>
      </c>
      <c r="J101" s="12" cm="1">
        <f t="array" ref="J101">SUMPRODUCT(C101:F101*91.25)</f>
        <v>1190469.4638749999</v>
      </c>
      <c r="K101" s="12">
        <f t="shared" si="5"/>
        <v>923412.70000000007</v>
      </c>
      <c r="L101" s="12">
        <f t="shared" si="6"/>
        <v>267056.76387499983</v>
      </c>
      <c r="M101" s="12">
        <f t="shared" si="7"/>
        <v>130862.40700000001</v>
      </c>
      <c r="N101" s="12">
        <f t="shared" si="8"/>
        <v>136194.35687499982</v>
      </c>
      <c r="O101" s="12">
        <f t="shared" si="10"/>
        <v>885245.66937499982</v>
      </c>
    </row>
    <row r="102" spans="1:30" ht="13.5" thickBot="1">
      <c r="A102" s="548">
        <f t="shared" ca="1" si="3"/>
        <v>2024</v>
      </c>
      <c r="B102" s="579" t="s">
        <v>235</v>
      </c>
      <c r="C102" s="604">
        <f>IF('DATA TABLES'!$C$45="Exclude Dec",IF(B102="Dec",0,IF(B102="Jan",C100*(1+'DATA TABLES'!$C$46),C101*(1+'DATA TABLES'!$C$46))),C101*(1+'DATA TABLES'!$C$46))</f>
        <v>3850.234837</v>
      </c>
      <c r="D102" s="5">
        <f t="shared" si="9"/>
        <v>2668.4795899999999</v>
      </c>
      <c r="E102" s="5">
        <f t="shared" si="11"/>
        <v>3430.9023299999999</v>
      </c>
      <c r="F102" s="5">
        <f t="shared" ref="F102:F165" si="12">(E101+F101)*(1-5%)</f>
        <v>6262.4646000000002</v>
      </c>
      <c r="G102" s="605">
        <f t="shared" si="1"/>
        <v>100</v>
      </c>
      <c r="H102" s="606">
        <f t="shared" si="2"/>
        <v>0</v>
      </c>
      <c r="I102" s="12">
        <f t="shared" si="4"/>
        <v>100</v>
      </c>
      <c r="J102" s="12" cm="1">
        <f t="array" ref="J102">SUMPRODUCT(C102:F102*91.25)</f>
        <v>1479352.42382625</v>
      </c>
      <c r="K102" s="12">
        <f t="shared" si="5"/>
        <v>1236184.652</v>
      </c>
      <c r="L102" s="12">
        <f t="shared" si="6"/>
        <v>243167.77182625001</v>
      </c>
      <c r="M102" s="12">
        <f t="shared" si="7"/>
        <v>162520.81357</v>
      </c>
      <c r="N102" s="12">
        <f t="shared" si="8"/>
        <v>80646.958256250015</v>
      </c>
      <c r="O102" s="12">
        <f t="shared" si="10"/>
        <v>965892.62763124984</v>
      </c>
    </row>
    <row r="103" spans="1:30" ht="13.5" thickBot="1">
      <c r="A103" s="548">
        <f t="shared" ca="1" si="3"/>
        <v>2024</v>
      </c>
      <c r="B103" s="579" t="s">
        <v>236</v>
      </c>
      <c r="C103" s="604">
        <f>IF('DATA TABLES'!$C$45="Exclude Dec",IF(B103="Dec",0,IF(B103="Jan",C101*(1+'DATA TABLES'!$C$46),C102*(1+'DATA TABLES'!$C$46))),C102*(1+'DATA TABLES'!$C$46))</f>
        <v>3888.7371853700001</v>
      </c>
      <c r="D103" s="5">
        <f t="shared" si="9"/>
        <v>2695.1643858999996</v>
      </c>
      <c r="E103" s="5">
        <f t="shared" si="11"/>
        <v>3465.2113533000002</v>
      </c>
      <c r="F103" s="5">
        <f t="shared" si="12"/>
        <v>9208.6985834999996</v>
      </c>
      <c r="G103" s="605">
        <f t="shared" ref="G103:G129" si="13">INDEX($B$50:$M$50,,MATCH($B103,$B$49:$M$49,FALSE))</f>
        <v>100</v>
      </c>
      <c r="H103" s="606">
        <f t="shared" ref="H103:H129" si="14">VLOOKUP($C103,$C$60:$D$64,2,TRUE)</f>
        <v>0</v>
      </c>
      <c r="I103" s="12">
        <f t="shared" si="4"/>
        <v>100</v>
      </c>
      <c r="J103" s="12" cm="1">
        <f t="array" ref="J103">SUMPRODUCT(C103:F103*91.25)</f>
        <v>1757275.3001113874</v>
      </c>
      <c r="K103" s="12">
        <f t="shared" si="5"/>
        <v>1536907.4322699998</v>
      </c>
      <c r="L103" s="12">
        <f t="shared" si="6"/>
        <v>220367.86784138763</v>
      </c>
      <c r="M103" s="12">
        <f t="shared" si="7"/>
        <v>192978.11508070002</v>
      </c>
      <c r="N103" s="12">
        <f t="shared" si="8"/>
        <v>27389.75276068761</v>
      </c>
      <c r="O103" s="12">
        <f t="shared" si="10"/>
        <v>993282.38039193745</v>
      </c>
    </row>
    <row r="104" spans="1:30" ht="13.5" thickBot="1">
      <c r="A104" s="548">
        <f t="shared" ca="1" si="3"/>
        <v>2024</v>
      </c>
      <c r="B104" s="579" t="s">
        <v>237</v>
      </c>
      <c r="C104" s="604">
        <f>IF('DATA TABLES'!$C$45="Exclude Dec",IF(B104="Dec",0,IF(B104="Jan",C102*(1+'DATA TABLES'!$C$46),C103*(1+'DATA TABLES'!$C$46))),C103*(1+'DATA TABLES'!$C$46))</f>
        <v>3927.6245572237003</v>
      </c>
      <c r="D104" s="5">
        <f t="shared" si="9"/>
        <v>2722.116029759</v>
      </c>
      <c r="E104" s="5">
        <f t="shared" si="11"/>
        <v>3499.8634668330001</v>
      </c>
      <c r="F104" s="5">
        <f t="shared" si="12"/>
        <v>12040.214439959998</v>
      </c>
      <c r="G104" s="605">
        <f t="shared" si="13"/>
        <v>100</v>
      </c>
      <c r="H104" s="606">
        <f t="shared" si="14"/>
        <v>0</v>
      </c>
      <c r="I104" s="12">
        <f t="shared" si="4"/>
        <v>100</v>
      </c>
      <c r="J104" s="12" cm="1">
        <f t="array" ref="J104">SUMPRODUCT(C104:F104*91.25)</f>
        <v>2024820.9375570323</v>
      </c>
      <c r="K104" s="12">
        <f t="shared" si="5"/>
        <v>1826219.3936551998</v>
      </c>
      <c r="L104" s="12">
        <f t="shared" si="6"/>
        <v>198601.54390183254</v>
      </c>
      <c r="M104" s="12">
        <f t="shared" si="7"/>
        <v>222298.18493775697</v>
      </c>
      <c r="N104" s="12">
        <f t="shared" si="8"/>
        <v>-23696.641035924433</v>
      </c>
      <c r="O104" s="12">
        <f t="shared" si="10"/>
        <v>969585.73935601301</v>
      </c>
    </row>
    <row r="105" spans="1:30" ht="13.5" thickBot="1">
      <c r="A105" s="548">
        <f t="shared" ca="1" si="3"/>
        <v>2024</v>
      </c>
      <c r="B105" s="579" t="s">
        <v>238</v>
      </c>
      <c r="C105" s="604">
        <f>IF('DATA TABLES'!$C$45="Exclude Dec",IF(B105="Dec",0,IF(B105="Jan",C103*(1+'DATA TABLES'!$C$46),C104*(1+'DATA TABLES'!$C$46))),C104*(1+'DATA TABLES'!$C$46))</f>
        <v>3966.9008027959376</v>
      </c>
      <c r="D105" s="5">
        <f t="shared" si="9"/>
        <v>2749.3371900565899</v>
      </c>
      <c r="E105" s="5">
        <f t="shared" si="11"/>
        <v>3534.8621015013305</v>
      </c>
      <c r="F105" s="5">
        <f t="shared" si="12"/>
        <v>14763.074011453347</v>
      </c>
      <c r="G105" s="605">
        <f t="shared" si="13"/>
        <v>100</v>
      </c>
      <c r="H105" s="606">
        <f t="shared" si="14"/>
        <v>0</v>
      </c>
      <c r="I105" s="12">
        <f t="shared" si="4"/>
        <v>100</v>
      </c>
      <c r="J105" s="12" cm="1">
        <f t="array" ref="J105">SUMPRODUCT(C105:F105*91.25)</f>
        <v>2282543.3871549079</v>
      </c>
      <c r="K105" s="12">
        <f t="shared" si="5"/>
        <v>2104727.3303011269</v>
      </c>
      <c r="L105" s="12">
        <f t="shared" si="6"/>
        <v>177816.05685378099</v>
      </c>
      <c r="M105" s="12">
        <f t="shared" si="7"/>
        <v>250541.74105807208</v>
      </c>
      <c r="N105" s="12">
        <f t="shared" si="8"/>
        <v>-72725.684204291087</v>
      </c>
      <c r="O105" s="12">
        <f t="shared" si="10"/>
        <v>896860.05515172193</v>
      </c>
    </row>
    <row r="106" spans="1:30" ht="13.5" thickBot="1">
      <c r="A106" s="548">
        <f t="shared" ca="1" si="3"/>
        <v>2024</v>
      </c>
      <c r="B106" s="579" t="s">
        <v>239</v>
      </c>
      <c r="C106" s="604">
        <f>IF('DATA TABLES'!$C$45="Exclude Dec",IF(B106="Dec",0,IF(B106="Jan",C104*(1+'DATA TABLES'!$C$46),C105*(1+'DATA TABLES'!$C$46))),C105*(1+'DATA TABLES'!$C$46))</f>
        <v>4006.5698108238971</v>
      </c>
      <c r="D106" s="5">
        <f t="shared" si="9"/>
        <v>2776.8305619571561</v>
      </c>
      <c r="E106" s="5">
        <f t="shared" si="11"/>
        <v>3570.210722516344</v>
      </c>
      <c r="F106" s="5">
        <f t="shared" si="12"/>
        <v>17383.039307306943</v>
      </c>
      <c r="G106" s="605">
        <f t="shared" si="13"/>
        <v>100</v>
      </c>
      <c r="H106" s="606">
        <f t="shared" si="14"/>
        <v>0</v>
      </c>
      <c r="I106" s="12">
        <f t="shared" si="4"/>
        <v>100</v>
      </c>
      <c r="J106" s="12" cm="1">
        <f t="array" ref="J106">SUMPRODUCT(C106:F106*91.25)</f>
        <v>2530969.349237646</v>
      </c>
      <c r="K106" s="12">
        <f t="shared" si="5"/>
        <v>2373008.0591780441</v>
      </c>
      <c r="L106" s="12">
        <f t="shared" si="6"/>
        <v>157961.29005960189</v>
      </c>
      <c r="M106" s="12">
        <f t="shared" si="7"/>
        <v>277766.5040260434</v>
      </c>
      <c r="N106" s="12">
        <f t="shared" si="8"/>
        <v>-119805.21396644152</v>
      </c>
      <c r="O106" s="12">
        <f t="shared" si="10"/>
        <v>777054.84118528035</v>
      </c>
    </row>
    <row r="107" spans="1:30" ht="13.5" thickBot="1">
      <c r="A107" s="548">
        <f t="shared" ca="1" si="3"/>
        <v>2024</v>
      </c>
      <c r="B107" s="579" t="s">
        <v>241</v>
      </c>
      <c r="C107" s="604">
        <f>IF('DATA TABLES'!$C$45="Exclude Dec",IF(B107="Dec",0,IF(B107="Jan",C105*(1+'DATA TABLES'!$C$46),C106*(1+'DATA TABLES'!$C$46))),C106*(1+'DATA TABLES'!$C$46))</f>
        <v>4046.635508932136</v>
      </c>
      <c r="D107" s="5">
        <f t="shared" si="9"/>
        <v>2804.598867576728</v>
      </c>
      <c r="E107" s="5">
        <f t="shared" si="11"/>
        <v>3605.9128297415073</v>
      </c>
      <c r="F107" s="5">
        <f t="shared" si="12"/>
        <v>19905.587528332122</v>
      </c>
      <c r="G107" s="605">
        <f t="shared" si="13"/>
        <v>110</v>
      </c>
      <c r="H107" s="606">
        <f t="shared" si="14"/>
        <v>0</v>
      </c>
      <c r="I107" s="12">
        <f t="shared" si="4"/>
        <v>110</v>
      </c>
      <c r="J107" s="12" cm="1">
        <f t="array" ref="J107">SUMPRODUCT(C107:F107*91.25)</f>
        <v>2770599.5445306525</v>
      </c>
      <c r="K107" s="12">
        <f t="shared" si="5"/>
        <v>2631609.922565036</v>
      </c>
      <c r="L107" s="12">
        <f t="shared" si="6"/>
        <v>138989.62196561648</v>
      </c>
      <c r="M107" s="12">
        <f t="shared" si="7"/>
        <v>304067.34734582494</v>
      </c>
      <c r="N107" s="12">
        <f t="shared" si="8"/>
        <v>-165077.72538020846</v>
      </c>
      <c r="O107" s="12">
        <f t="shared" si="10"/>
        <v>611977.1158050719</v>
      </c>
    </row>
    <row r="108" spans="1:30" ht="13.5" thickBot="1">
      <c r="A108" s="548">
        <f t="shared" ca="1" si="3"/>
        <v>2024</v>
      </c>
      <c r="B108" s="579" t="s">
        <v>242</v>
      </c>
      <c r="C108" s="604">
        <f>IF('DATA TABLES'!$C$45="Exclude Dec",IF(B108="Dec",0,IF(B108="Jan",C106*(1+'DATA TABLES'!$C$46),C107*(1+'DATA TABLES'!$C$46))),C107*(1+'DATA TABLES'!$C$46))</f>
        <v>4087.1018640214575</v>
      </c>
      <c r="D108" s="5">
        <f t="shared" si="9"/>
        <v>2832.6448562524952</v>
      </c>
      <c r="E108" s="5">
        <f t="shared" si="11"/>
        <v>3641.9719580389224</v>
      </c>
      <c r="F108" s="5">
        <f t="shared" si="12"/>
        <v>22335.925340169946</v>
      </c>
      <c r="G108" s="605">
        <f t="shared" si="13"/>
        <v>110</v>
      </c>
      <c r="H108" s="606">
        <f t="shared" si="14"/>
        <v>0</v>
      </c>
      <c r="I108" s="12">
        <f t="shared" si="4"/>
        <v>110</v>
      </c>
      <c r="J108" s="12" cm="1">
        <f t="array" ref="J108">SUMPRODUCT(C108:F108*91.25)</f>
        <v>3001910.0166865578</v>
      </c>
      <c r="K108" s="12">
        <f t="shared" si="5"/>
        <v>2881054.2154461364</v>
      </c>
      <c r="L108" s="12">
        <f t="shared" si="6"/>
        <v>120855.80124042137</v>
      </c>
      <c r="M108" s="12">
        <f t="shared" si="7"/>
        <v>329416.44018482824</v>
      </c>
      <c r="N108" s="12">
        <f t="shared" si="8"/>
        <v>-208560.63894440688</v>
      </c>
      <c r="O108" s="12">
        <f t="shared" si="10"/>
        <v>403416.47686066502</v>
      </c>
    </row>
    <row r="109" spans="1:30" ht="13.5" thickBot="1">
      <c r="A109" s="548">
        <f t="shared" ca="1" si="3"/>
        <v>2024</v>
      </c>
      <c r="B109" s="579" t="s">
        <v>243</v>
      </c>
      <c r="C109" s="604">
        <f>IF('DATA TABLES'!$C$45="Exclude Dec",IF(B109="Dec",0,IF(B109="Jan",C107*(1+'DATA TABLES'!$C$46),C108*(1+'DATA TABLES'!$C$46))),C108*(1+'DATA TABLES'!$C$46))</f>
        <v>4127.972882661672</v>
      </c>
      <c r="D109" s="5">
        <f t="shared" si="9"/>
        <v>2860.9713048150202</v>
      </c>
      <c r="E109" s="5">
        <f t="shared" si="11"/>
        <v>3678.3916776193118</v>
      </c>
      <c r="F109" s="5">
        <f t="shared" si="12"/>
        <v>24679.002433298421</v>
      </c>
      <c r="G109" s="605">
        <f t="shared" si="13"/>
        <v>150</v>
      </c>
      <c r="H109" s="606">
        <f t="shared" si="14"/>
        <v>0</v>
      </c>
      <c r="I109" s="12">
        <f t="shared" si="4"/>
        <v>150</v>
      </c>
      <c r="J109" s="12" cm="1">
        <f t="array" ref="J109">SUMPRODUCT(C109:F109*91.25)</f>
        <v>3225353.3697284916</v>
      </c>
      <c r="K109" s="12">
        <f t="shared" si="5"/>
        <v>3121836.5415732753</v>
      </c>
      <c r="L109" s="12">
        <f t="shared" si="6"/>
        <v>103516.8281552163</v>
      </c>
      <c r="M109" s="12">
        <f t="shared" si="7"/>
        <v>354063.38298394426</v>
      </c>
      <c r="N109" s="12">
        <f t="shared" si="8"/>
        <v>-250546.55482872797</v>
      </c>
      <c r="O109" s="12">
        <f t="shared" si="10"/>
        <v>152869.92203193705</v>
      </c>
    </row>
    <row r="110" spans="1:30" ht="13.5" thickBot="1">
      <c r="A110" s="548">
        <f t="shared" ref="A110:A141" ca="1" si="15">A98+1</f>
        <v>2025</v>
      </c>
      <c r="B110" s="579" t="s">
        <v>231</v>
      </c>
      <c r="C110" s="604">
        <f>IF('DATA TABLES'!$C$45="Exclude Dec",IF(B110="Dec",0,IF(B110="Jan",C108*(1+'DATA TABLES'!$C$46),C109*(1+'DATA TABLES'!$C$46))),C109*(1+'DATA TABLES'!$C$46))</f>
        <v>4169.2526114882885</v>
      </c>
      <c r="D110" s="5">
        <f t="shared" si="9"/>
        <v>2889.58101786317</v>
      </c>
      <c r="E110" s="5">
        <f t="shared" si="11"/>
        <v>3715.175594395505</v>
      </c>
      <c r="F110" s="5">
        <f t="shared" si="12"/>
        <v>26939.524405371845</v>
      </c>
      <c r="G110" s="605">
        <f t="shared" si="13"/>
        <v>100</v>
      </c>
      <c r="H110" s="606">
        <f t="shared" si="14"/>
        <v>0</v>
      </c>
      <c r="I110" s="12">
        <f t="shared" si="4"/>
        <v>100</v>
      </c>
      <c r="J110" s="12" cm="1">
        <f t="array" ref="J110">SUMPRODUCT(C110:F110*91.25)</f>
        <v>3441359.9436570914</v>
      </c>
      <c r="K110" s="12">
        <f t="shared" si="5"/>
        <v>3354428.1017630519</v>
      </c>
      <c r="L110" s="12">
        <f t="shared" si="6"/>
        <v>86931.841894039419</v>
      </c>
      <c r="M110" s="12">
        <f t="shared" si="7"/>
        <v>377535.33629118808</v>
      </c>
      <c r="N110" s="12">
        <f t="shared" si="8"/>
        <v>-290603.49439714866</v>
      </c>
      <c r="O110" s="12">
        <f t="shared" si="10"/>
        <v>-137733.57236521161</v>
      </c>
    </row>
    <row r="111" spans="1:30" ht="13.5" thickBot="1">
      <c r="A111" s="548">
        <f t="shared" ca="1" si="15"/>
        <v>2025</v>
      </c>
      <c r="B111" s="579" t="s">
        <v>232</v>
      </c>
      <c r="C111" s="604">
        <f>IF('DATA TABLES'!$C$45="Exclude Dec",IF(B111="Dec",0,IF(B111="Jan",C109*(1+'DATA TABLES'!$C$46),C110*(1+'DATA TABLES'!$C$46))),C110*(1+'DATA TABLES'!$C$46))</f>
        <v>4210.9451376031711</v>
      </c>
      <c r="D111" s="5">
        <f t="shared" si="9"/>
        <v>2918.4768280418016</v>
      </c>
      <c r="E111" s="5">
        <f t="shared" si="11"/>
        <v>3752.3273503394598</v>
      </c>
      <c r="F111" s="5">
        <f t="shared" si="12"/>
        <v>29121.964999778978</v>
      </c>
      <c r="G111" s="605">
        <f t="shared" si="13"/>
        <v>100</v>
      </c>
      <c r="H111" s="606">
        <f t="shared" si="14"/>
        <v>0</v>
      </c>
      <c r="I111" s="12">
        <f t="shared" si="4"/>
        <v>100</v>
      </c>
      <c r="J111" s="12" cm="1">
        <f t="array" ref="J111">SUMPRODUCT(C111:F111*91.25)</f>
        <v>3650338.9313134113</v>
      </c>
      <c r="K111" s="12">
        <f t="shared" si="5"/>
        <v>3579276.9178160243</v>
      </c>
      <c r="L111" s="12">
        <f t="shared" si="6"/>
        <v>71062.013497387059</v>
      </c>
      <c r="M111" s="12">
        <f t="shared" si="7"/>
        <v>400437.14315763413</v>
      </c>
      <c r="N111" s="12">
        <f t="shared" si="8"/>
        <v>-329375.12966024707</v>
      </c>
      <c r="O111" s="12">
        <f t="shared" si="10"/>
        <v>-467108.70202545868</v>
      </c>
    </row>
    <row r="112" spans="1:30" ht="13.5" thickBot="1">
      <c r="A112" s="548">
        <f t="shared" ca="1" si="15"/>
        <v>2025</v>
      </c>
      <c r="B112" s="579" t="s">
        <v>233</v>
      </c>
      <c r="C112" s="604">
        <f>IF('DATA TABLES'!$C$45="Exclude Dec",IF(B112="Dec",0,IF(B112="Jan",C110*(1+'DATA TABLES'!$C$46),C111*(1+'DATA TABLES'!$C$46))),C111*(1+'DATA TABLES'!$C$46))</f>
        <v>4253.0545889792029</v>
      </c>
      <c r="D112" s="5">
        <f t="shared" si="9"/>
        <v>2947.6615963222198</v>
      </c>
      <c r="E112" s="5">
        <f t="shared" si="11"/>
        <v>3789.850623842854</v>
      </c>
      <c r="F112" s="5">
        <f t="shared" si="12"/>
        <v>31230.577732612517</v>
      </c>
      <c r="G112" s="605">
        <f t="shared" si="13"/>
        <v>100</v>
      </c>
      <c r="H112" s="606">
        <f t="shared" si="14"/>
        <v>0</v>
      </c>
      <c r="I112" s="12">
        <f t="shared" si="4"/>
        <v>100</v>
      </c>
      <c r="J112" s="12" cm="1">
        <f t="array" ref="J112">SUMPRODUCT(C112:F112*91.25)</f>
        <v>3852679.4394353079</v>
      </c>
      <c r="K112" s="12">
        <f t="shared" si="5"/>
        <v>3796808.9952777592</v>
      </c>
      <c r="L112" s="12">
        <f t="shared" si="6"/>
        <v>55870.444157548714</v>
      </c>
      <c r="M112" s="12">
        <f t="shared" si="7"/>
        <v>422611.44541756797</v>
      </c>
      <c r="N112" s="12">
        <f t="shared" si="8"/>
        <v>-366741.00126001926</v>
      </c>
      <c r="O112" s="12">
        <f t="shared" si="10"/>
        <v>-833849.70328547794</v>
      </c>
    </row>
    <row r="113" spans="1:15" ht="13.5" thickBot="1">
      <c r="A113" s="548">
        <f t="shared" ca="1" si="15"/>
        <v>2025</v>
      </c>
      <c r="B113" s="579" t="s">
        <v>234</v>
      </c>
      <c r="C113" s="604">
        <f>IF('DATA TABLES'!$C$45="Exclude Dec",IF(B113="Dec",0,IF(B113="Jan",C111*(1+'DATA TABLES'!$C$46),C112*(1+'DATA TABLES'!$C$46))),C112*(1+'DATA TABLES'!$C$46))</f>
        <v>4295.5851348689948</v>
      </c>
      <c r="D113" s="5">
        <f t="shared" si="9"/>
        <v>2977.138212285442</v>
      </c>
      <c r="E113" s="5">
        <f t="shared" si="11"/>
        <v>3827.7491300812826</v>
      </c>
      <c r="F113" s="5">
        <f t="shared" si="12"/>
        <v>33269.406938632601</v>
      </c>
      <c r="G113" s="605">
        <f t="shared" si="13"/>
        <v>100</v>
      </c>
      <c r="H113" s="606">
        <f t="shared" si="14"/>
        <v>0</v>
      </c>
      <c r="I113" s="12">
        <f t="shared" si="4"/>
        <v>100</v>
      </c>
      <c r="J113" s="12" cm="1">
        <f t="array" ref="J113">SUMPRODUCT(C113:F113*91.25)</f>
        <v>4048751.4966979846</v>
      </c>
      <c r="K113" s="12">
        <f t="shared" si="5"/>
        <v>4007429.4280999326</v>
      </c>
      <c r="L113" s="12">
        <f t="shared" si="6"/>
        <v>41322.068598052021</v>
      </c>
      <c r="M113" s="12">
        <f t="shared" si="7"/>
        <v>444098.79415868316</v>
      </c>
      <c r="N113" s="12">
        <f t="shared" si="8"/>
        <v>-402776.72556063114</v>
      </c>
      <c r="O113" s="12">
        <f t="shared" si="10"/>
        <v>-1236626.4288461092</v>
      </c>
    </row>
    <row r="114" spans="1:15" ht="13.5" thickBot="1">
      <c r="A114" s="548">
        <f t="shared" ca="1" si="15"/>
        <v>2025</v>
      </c>
      <c r="B114" s="579" t="s">
        <v>235</v>
      </c>
      <c r="C114" s="604">
        <f>IF('DATA TABLES'!$C$45="Exclude Dec",IF(B114="Dec",0,IF(B114="Jan",C112*(1+'DATA TABLES'!$C$46),C113*(1+'DATA TABLES'!$C$46))),C113*(1+'DATA TABLES'!$C$46))</f>
        <v>4338.5409862176848</v>
      </c>
      <c r="D114" s="5">
        <f t="shared" si="9"/>
        <v>3006.909594408296</v>
      </c>
      <c r="E114" s="5">
        <f t="shared" si="11"/>
        <v>3866.0266213820955</v>
      </c>
      <c r="F114" s="5">
        <f t="shared" si="12"/>
        <v>35242.298265278187</v>
      </c>
      <c r="G114" s="605">
        <f t="shared" si="13"/>
        <v>100</v>
      </c>
      <c r="H114" s="606">
        <f t="shared" si="14"/>
        <v>0</v>
      </c>
      <c r="I114" s="12">
        <f t="shared" si="4"/>
        <v>100</v>
      </c>
      <c r="J114" s="12" cm="1">
        <f t="array" ref="J114">SUMPRODUCT(C114:F114*91.25)</f>
        <v>4238907.0113898711</v>
      </c>
      <c r="K114" s="12">
        <f t="shared" si="5"/>
        <v>4211523.4481068579</v>
      </c>
      <c r="L114" s="12">
        <f t="shared" si="6"/>
        <v>27383.56328301318</v>
      </c>
      <c r="M114" s="12">
        <f t="shared" si="7"/>
        <v>464937.75467286265</v>
      </c>
      <c r="N114" s="12">
        <f t="shared" si="8"/>
        <v>-437554.19138984947</v>
      </c>
      <c r="O114" s="12">
        <f t="shared" si="10"/>
        <v>-1674180.6202359586</v>
      </c>
    </row>
    <row r="115" spans="1:15" ht="13.5" thickBot="1">
      <c r="A115" s="548">
        <f t="shared" ca="1" si="15"/>
        <v>2025</v>
      </c>
      <c r="B115" s="579" t="s">
        <v>236</v>
      </c>
      <c r="C115" s="604">
        <f>IF('DATA TABLES'!$C$45="Exclude Dec",IF(B115="Dec",0,IF(B115="Jan",C113*(1+'DATA TABLES'!$C$46),C114*(1+'DATA TABLES'!$C$46))),C114*(1+'DATA TABLES'!$C$46))</f>
        <v>4381.9263960798617</v>
      </c>
      <c r="D115" s="5">
        <f t="shared" si="9"/>
        <v>3036.9786903523791</v>
      </c>
      <c r="E115" s="5">
        <f t="shared" si="11"/>
        <v>3904.6868875959162</v>
      </c>
      <c r="F115" s="5">
        <f t="shared" si="12"/>
        <v>37152.908642327267</v>
      </c>
      <c r="G115" s="605">
        <f t="shared" si="13"/>
        <v>100</v>
      </c>
      <c r="H115" s="606">
        <f t="shared" si="14"/>
        <v>0</v>
      </c>
      <c r="I115" s="12">
        <f t="shared" si="4"/>
        <v>100</v>
      </c>
      <c r="J115" s="12" cm="1">
        <f t="array" ref="J115">SUMPRODUCT(C115:F115*91.25)</f>
        <v>4423480.6812424324</v>
      </c>
      <c r="K115" s="12">
        <f t="shared" si="5"/>
        <v>4409457.4220275562</v>
      </c>
      <c r="L115" s="12">
        <f t="shared" si="6"/>
        <v>14023.25921487622</v>
      </c>
      <c r="M115" s="12">
        <f t="shared" si="7"/>
        <v>485165.00616355421</v>
      </c>
      <c r="N115" s="12">
        <f t="shared" si="8"/>
        <v>-471141.74694867799</v>
      </c>
      <c r="O115" s="12">
        <f t="shared" si="10"/>
        <v>-2145322.3671846366</v>
      </c>
    </row>
    <row r="116" spans="1:15" ht="13.5" thickBot="1">
      <c r="A116" s="548">
        <f t="shared" ca="1" si="15"/>
        <v>2025</v>
      </c>
      <c r="B116" s="579" t="s">
        <v>237</v>
      </c>
      <c r="C116" s="604">
        <f>IF('DATA TABLES'!$C$45="Exclude Dec",IF(B116="Dec",0,IF(B116="Jan",C114*(1+'DATA TABLES'!$C$46),C115*(1+'DATA TABLES'!$C$46))),C115*(1+'DATA TABLES'!$C$46))</f>
        <v>4425.7456600406604</v>
      </c>
      <c r="D116" s="5">
        <f t="shared" si="9"/>
        <v>3067.3484772559032</v>
      </c>
      <c r="E116" s="5">
        <f t="shared" si="11"/>
        <v>3943.7337564718755</v>
      </c>
      <c r="F116" s="5">
        <f t="shared" si="12"/>
        <v>39004.715753427023</v>
      </c>
      <c r="G116" s="605">
        <f t="shared" si="13"/>
        <v>100</v>
      </c>
      <c r="H116" s="606">
        <f t="shared" si="14"/>
        <v>0</v>
      </c>
      <c r="I116" s="12">
        <f t="shared" si="4"/>
        <v>100</v>
      </c>
      <c r="J116" s="12" cm="1">
        <f t="array" ref="J116">SUMPRODUCT(C116:F116*91.25)</f>
        <v>4602790.8578065857</v>
      </c>
      <c r="K116" s="12">
        <f t="shared" si="5"/>
        <v>4601579.7987154797</v>
      </c>
      <c r="L116" s="12">
        <f t="shared" si="6"/>
        <v>1211.0590911060572</v>
      </c>
      <c r="M116" s="12">
        <f t="shared" si="7"/>
        <v>504815.43647195457</v>
      </c>
      <c r="N116" s="12">
        <f t="shared" si="8"/>
        <v>-503604.37738084851</v>
      </c>
      <c r="O116" s="12">
        <f t="shared" si="10"/>
        <v>-2648926.744565485</v>
      </c>
    </row>
    <row r="117" spans="1:15" ht="13.5" thickBot="1">
      <c r="A117" s="548">
        <f t="shared" ca="1" si="15"/>
        <v>2025</v>
      </c>
      <c r="B117" s="579" t="s">
        <v>238</v>
      </c>
      <c r="C117" s="604">
        <f>IF('DATA TABLES'!$C$45="Exclude Dec",IF(B117="Dec",0,IF(B117="Jan",C115*(1+'DATA TABLES'!$C$46),C116*(1+'DATA TABLES'!$C$46))),C116*(1+'DATA TABLES'!$C$46))</f>
        <v>4470.0031166410672</v>
      </c>
      <c r="D117" s="5">
        <f t="shared" si="9"/>
        <v>3098.021962028462</v>
      </c>
      <c r="E117" s="5">
        <f t="shared" si="11"/>
        <v>3983.1710940365942</v>
      </c>
      <c r="F117" s="5">
        <f t="shared" si="12"/>
        <v>40801.027034403953</v>
      </c>
      <c r="G117" s="605">
        <f t="shared" si="13"/>
        <v>100</v>
      </c>
      <c r="H117" s="606">
        <f t="shared" si="14"/>
        <v>0</v>
      </c>
      <c r="I117" s="12">
        <f t="shared" si="4"/>
        <v>100</v>
      </c>
      <c r="J117" s="12" cm="1">
        <f t="array" ref="J117">SUMPRODUCT(C117:F117*91.25)</f>
        <v>4777140.3676487943</v>
      </c>
      <c r="K117" s="12">
        <f t="shared" si="5"/>
        <v>4788222.009046901</v>
      </c>
      <c r="L117" s="12">
        <f t="shared" si="6"/>
        <v>-11081.641398106702</v>
      </c>
      <c r="M117" s="12">
        <f t="shared" si="7"/>
        <v>523922.23207110073</v>
      </c>
      <c r="N117" s="12">
        <f t="shared" si="8"/>
        <v>-535003.87346920744</v>
      </c>
      <c r="O117" s="12">
        <f t="shared" si="10"/>
        <v>-3183930.6180346925</v>
      </c>
    </row>
    <row r="118" spans="1:15" ht="13.5" thickBot="1">
      <c r="A118" s="548">
        <f t="shared" ca="1" si="15"/>
        <v>2025</v>
      </c>
      <c r="B118" s="579" t="s">
        <v>239</v>
      </c>
      <c r="C118" s="604">
        <f>IF('DATA TABLES'!$C$45="Exclude Dec",IF(B118="Dec",0,IF(B118="Jan",C116*(1+'DATA TABLES'!$C$46),C117*(1+'DATA TABLES'!$C$46))),C117*(1+'DATA TABLES'!$C$46))</f>
        <v>4514.7031478074778</v>
      </c>
      <c r="D118" s="5">
        <f t="shared" si="9"/>
        <v>3129.002181648747</v>
      </c>
      <c r="E118" s="5">
        <f t="shared" si="11"/>
        <v>4023.0028049769608</v>
      </c>
      <c r="F118" s="5">
        <f t="shared" si="12"/>
        <v>42544.988222018517</v>
      </c>
      <c r="G118" s="605">
        <f t="shared" si="13"/>
        <v>100</v>
      </c>
      <c r="H118" s="606">
        <f t="shared" si="14"/>
        <v>0</v>
      </c>
      <c r="I118" s="12">
        <f t="shared" si="4"/>
        <v>100</v>
      </c>
      <c r="J118" s="12" cm="1">
        <f t="array" ref="J118">SUMPRODUCT(C118:F118*91.25)</f>
        <v>4946817.2925262172</v>
      </c>
      <c r="K118" s="12">
        <f t="shared" si="5"/>
        <v>4969699.3208644232</v>
      </c>
      <c r="L118" s="12">
        <f t="shared" si="6"/>
        <v>-22882.028338206001</v>
      </c>
      <c r="M118" s="12">
        <f t="shared" si="7"/>
        <v>542516.96356451709</v>
      </c>
      <c r="N118" s="12">
        <f t="shared" si="8"/>
        <v>-565398.99190272309</v>
      </c>
      <c r="O118" s="12">
        <f t="shared" si="10"/>
        <v>-3749329.6099374155</v>
      </c>
    </row>
    <row r="119" spans="1:15" ht="13.5" thickBot="1">
      <c r="A119" s="548">
        <f t="shared" ca="1" si="15"/>
        <v>2025</v>
      </c>
      <c r="B119" s="579" t="s">
        <v>241</v>
      </c>
      <c r="C119" s="604">
        <f>IF('DATA TABLES'!$C$45="Exclude Dec",IF(B119="Dec",0,IF(B119="Jan",C117*(1+'DATA TABLES'!$C$46),C118*(1+'DATA TABLES'!$C$46))),C118*(1+'DATA TABLES'!$C$46))</f>
        <v>4559.8501792855523</v>
      </c>
      <c r="D119" s="5">
        <f t="shared" si="9"/>
        <v>3160.2922034652343</v>
      </c>
      <c r="E119" s="5">
        <f t="shared" si="11"/>
        <v>4063.2328330267301</v>
      </c>
      <c r="F119" s="5">
        <f t="shared" si="12"/>
        <v>44239.591475645699</v>
      </c>
      <c r="G119" s="605">
        <f t="shared" si="13"/>
        <v>110</v>
      </c>
      <c r="H119" s="606">
        <f t="shared" si="14"/>
        <v>0</v>
      </c>
      <c r="I119" s="12">
        <f t="shared" si="4"/>
        <v>110</v>
      </c>
      <c r="J119" s="12" cm="1">
        <f t="array" ref="J119">SUMPRODUCT(C119:F119*91.25)</f>
        <v>5112095.7105923686</v>
      </c>
      <c r="K119" s="12">
        <f t="shared" si="5"/>
        <v>5146311.6512137661</v>
      </c>
      <c r="L119" s="12">
        <f t="shared" si="6"/>
        <v>-34215.940621397458</v>
      </c>
      <c r="M119" s="12">
        <f t="shared" si="7"/>
        <v>560669.66691423219</v>
      </c>
      <c r="N119" s="12">
        <f t="shared" si="8"/>
        <v>-594885.60753562965</v>
      </c>
      <c r="O119" s="12">
        <f t="shared" si="10"/>
        <v>-4344215.217473045</v>
      </c>
    </row>
    <row r="120" spans="1:15" ht="13.5" thickBot="1">
      <c r="A120" s="548">
        <f t="shared" ca="1" si="15"/>
        <v>2025</v>
      </c>
      <c r="B120" s="579" t="s">
        <v>242</v>
      </c>
      <c r="C120" s="604">
        <f>IF('DATA TABLES'!$C$45="Exclude Dec",IF(B120="Dec",0,IF(B120="Jan",C118*(1+'DATA TABLES'!$C$46),C119*(1+'DATA TABLES'!$C$46))),C119*(1+'DATA TABLES'!$C$46))</f>
        <v>4605.4486810784074</v>
      </c>
      <c r="D120" s="5">
        <f t="shared" si="9"/>
        <v>3191.8951254998865</v>
      </c>
      <c r="E120" s="5">
        <f t="shared" si="11"/>
        <v>4103.8651613569973</v>
      </c>
      <c r="F120" s="5">
        <f t="shared" si="12"/>
        <v>45887.683093238804</v>
      </c>
      <c r="G120" s="605">
        <f t="shared" si="13"/>
        <v>110</v>
      </c>
      <c r="H120" s="606">
        <f t="shared" si="14"/>
        <v>0</v>
      </c>
      <c r="I120" s="12">
        <f t="shared" si="4"/>
        <v>110</v>
      </c>
      <c r="J120" s="12" cm="1">
        <f t="array" ref="J120">SUMPRODUCT(C120:F120*91.25)</f>
        <v>5273236.4005821366</v>
      </c>
      <c r="K120" s="12">
        <f t="shared" si="5"/>
        <v>5318344.3380095689</v>
      </c>
      <c r="L120" s="12">
        <f t="shared" si="6"/>
        <v>-45107.937427432276</v>
      </c>
      <c r="M120" s="12">
        <f t="shared" si="7"/>
        <v>578328.9206117409</v>
      </c>
      <c r="N120" s="12">
        <f t="shared" si="8"/>
        <v>-623436.85803917318</v>
      </c>
      <c r="O120" s="12">
        <f t="shared" si="10"/>
        <v>-4967652.0755122183</v>
      </c>
    </row>
    <row r="121" spans="1:15" ht="13.5" thickBot="1">
      <c r="A121" s="548">
        <f t="shared" ca="1" si="15"/>
        <v>2025</v>
      </c>
      <c r="B121" s="548" t="str">
        <f t="shared" ref="B121:B152" si="16">B109</f>
        <v>Dec</v>
      </c>
      <c r="C121" s="604">
        <f>IF('DATA TABLES'!$C$45="Exclude Dec",IF(B121="Dec",0,IF(B121="Jan",C119*(1+'DATA TABLES'!$C$46),C120*(1+'DATA TABLES'!$C$46))),C120*(1+'DATA TABLES'!$C$46))</f>
        <v>4651.5031678891919</v>
      </c>
      <c r="D121" s="5">
        <f t="shared" si="9"/>
        <v>3223.8140767548848</v>
      </c>
      <c r="E121" s="5">
        <f t="shared" si="11"/>
        <v>4144.9038129705668</v>
      </c>
      <c r="F121" s="5">
        <f t="shared" si="12"/>
        <v>47491.970841866008</v>
      </c>
      <c r="G121" s="605">
        <f t="shared" si="13"/>
        <v>150</v>
      </c>
      <c r="H121" s="606">
        <f t="shared" si="14"/>
        <v>0</v>
      </c>
      <c r="I121" s="12">
        <f t="shared" si="4"/>
        <v>150</v>
      </c>
      <c r="J121" s="12" cm="1">
        <f t="array" ref="J121">SUMPRODUCT(C121:F121*91.25)</f>
        <v>5430487.5108276093</v>
      </c>
      <c r="K121" s="12">
        <f t="shared" si="5"/>
        <v>5486068.8731591459</v>
      </c>
      <c r="L121" s="12">
        <f t="shared" si="6"/>
        <v>-55581.362331536599</v>
      </c>
      <c r="M121" s="12">
        <f t="shared" si="7"/>
        <v>595721.91899480647</v>
      </c>
      <c r="N121" s="12">
        <f t="shared" si="8"/>
        <v>-651303.28132634307</v>
      </c>
      <c r="O121" s="12">
        <f t="shared" si="10"/>
        <v>-5618955.3568385616</v>
      </c>
    </row>
    <row r="122" spans="1:15" ht="13.5" thickBot="1">
      <c r="A122" s="548">
        <f t="shared" ca="1" si="15"/>
        <v>2026</v>
      </c>
      <c r="B122" s="548" t="str">
        <f t="shared" si="16"/>
        <v>Jan</v>
      </c>
      <c r="C122" s="604">
        <f>IF('DATA TABLES'!$C$45="Exclude Dec",IF(B122="Dec",0,IF(B122="Jan",C120*(1+'DATA TABLES'!$C$46),C121*(1+'DATA TABLES'!$C$46))),C121*(1+'DATA TABLES'!$C$46))</f>
        <v>4698.0181995680841</v>
      </c>
      <c r="D122" s="5">
        <f t="shared" si="9"/>
        <v>3256.0522175224341</v>
      </c>
      <c r="E122" s="5">
        <f t="shared" si="11"/>
        <v>4186.3528511002733</v>
      </c>
      <c r="F122" s="5">
        <f t="shared" si="12"/>
        <v>49055.030922094746</v>
      </c>
      <c r="G122" s="605">
        <f t="shared" si="13"/>
        <v>100</v>
      </c>
      <c r="H122" s="606">
        <f t="shared" si="14"/>
        <v>0</v>
      </c>
      <c r="I122" s="12">
        <f t="shared" si="4"/>
        <v>100</v>
      </c>
      <c r="J122" s="12" cm="1">
        <f t="array" ref="J122">SUMPRODUCT(C122:F122*91.25)</f>
        <v>5584085.194863555</v>
      </c>
      <c r="K122" s="12">
        <f t="shared" si="5"/>
        <v>5649743.5990717448</v>
      </c>
      <c r="L122" s="12">
        <f t="shared" si="6"/>
        <v>-65658.404208189808</v>
      </c>
      <c r="M122" s="12">
        <f t="shared" si="7"/>
        <v>612354.54190285539</v>
      </c>
      <c r="N122" s="12">
        <f t="shared" si="8"/>
        <v>-678012.9461110452</v>
      </c>
      <c r="O122" s="12">
        <f t="shared" si="10"/>
        <v>-6296968.3029496064</v>
      </c>
    </row>
    <row r="123" spans="1:15" ht="13.5" thickBot="1">
      <c r="A123" s="548">
        <f t="shared" ca="1" si="15"/>
        <v>2026</v>
      </c>
      <c r="B123" s="548" t="str">
        <f t="shared" si="16"/>
        <v>Feb</v>
      </c>
      <c r="C123" s="604">
        <f>IF('DATA TABLES'!$C$45="Exclude Dec",IF(B123="Dec",0,IF(B123="Jan",C121*(1+'DATA TABLES'!$C$46),C122*(1+'DATA TABLES'!$C$46))),C122*(1+'DATA TABLES'!$C$46))</f>
        <v>4744.9983815637652</v>
      </c>
      <c r="D123" s="5">
        <f t="shared" si="9"/>
        <v>3288.6127396976585</v>
      </c>
      <c r="E123" s="5">
        <f t="shared" si="11"/>
        <v>4228.2163796112754</v>
      </c>
      <c r="F123" s="5">
        <f t="shared" si="12"/>
        <v>50579.314584535263</v>
      </c>
      <c r="G123" s="605">
        <f t="shared" si="13"/>
        <v>100</v>
      </c>
      <c r="H123" s="606">
        <f t="shared" si="14"/>
        <v>0</v>
      </c>
      <c r="I123" s="12">
        <f t="shared" si="4"/>
        <v>100</v>
      </c>
      <c r="J123" s="12" cm="1">
        <f t="array" ref="J123">SUMPRODUCT(C123:F123*91.25)</f>
        <v>5734254.2152934764</v>
      </c>
      <c r="K123" s="12">
        <f t="shared" si="5"/>
        <v>5809614.3703844193</v>
      </c>
      <c r="L123" s="12">
        <f t="shared" si="6"/>
        <v>-75360.155090942979</v>
      </c>
      <c r="M123" s="12">
        <f t="shared" si="7"/>
        <v>628811.42085407965</v>
      </c>
      <c r="N123" s="12">
        <f t="shared" si="8"/>
        <v>-704171.57594502263</v>
      </c>
      <c r="O123" s="12">
        <f t="shared" si="10"/>
        <v>-7001139.878894629</v>
      </c>
    </row>
    <row r="124" spans="1:15" ht="13.5" thickBot="1">
      <c r="A124" s="548">
        <f t="shared" ca="1" si="15"/>
        <v>2026</v>
      </c>
      <c r="B124" s="548" t="str">
        <f t="shared" si="16"/>
        <v>Mar</v>
      </c>
      <c r="C124" s="604">
        <f>IF('DATA TABLES'!$C$45="Exclude Dec",IF(B124="Dec",0,IF(B124="Jan",C122*(1+'DATA TABLES'!$C$46),C123*(1+'DATA TABLES'!$C$46))),C123*(1+'DATA TABLES'!$C$46))</f>
        <v>4792.4483653794032</v>
      </c>
      <c r="D124" s="5">
        <f t="shared" si="9"/>
        <v>3321.4988670946354</v>
      </c>
      <c r="E124" s="5">
        <f t="shared" si="11"/>
        <v>4270.4985434073888</v>
      </c>
      <c r="F124" s="5">
        <f t="shared" si="12"/>
        <v>52067.154415939207</v>
      </c>
      <c r="G124" s="605">
        <f t="shared" si="13"/>
        <v>100</v>
      </c>
      <c r="H124" s="606">
        <f t="shared" si="14"/>
        <v>0</v>
      </c>
      <c r="I124" s="12">
        <f t="shared" si="4"/>
        <v>100</v>
      </c>
      <c r="J124" s="12" cm="1">
        <f t="array" ref="J124">SUMPRODUCT(C124:F124*91.25)</f>
        <v>5881208.5175036332</v>
      </c>
      <c r="K124" s="12">
        <f t="shared" si="5"/>
        <v>5965915.1826441232</v>
      </c>
      <c r="L124" s="12">
        <f t="shared" si="6"/>
        <v>-84706.665140490048</v>
      </c>
      <c r="M124" s="12">
        <f t="shared" si="7"/>
        <v>644916.00191820634</v>
      </c>
      <c r="N124" s="12">
        <f t="shared" si="8"/>
        <v>-729622.66705869639</v>
      </c>
      <c r="O124" s="12">
        <f t="shared" si="10"/>
        <v>-7730762.545953325</v>
      </c>
    </row>
    <row r="125" spans="1:15" ht="13.5" thickBot="1">
      <c r="A125" s="548">
        <f t="shared" ca="1" si="15"/>
        <v>2026</v>
      </c>
      <c r="B125" s="548" t="str">
        <f t="shared" si="16"/>
        <v>Apr</v>
      </c>
      <c r="C125" s="604">
        <f>IF('DATA TABLES'!$C$45="Exclude Dec",IF(B125="Dec",0,IF(B125="Jan",C123*(1+'DATA TABLES'!$C$46),C124*(1+'DATA TABLES'!$C$46))),C124*(1+'DATA TABLES'!$C$46))</f>
        <v>4840.3728490331969</v>
      </c>
      <c r="D125" s="5">
        <f t="shared" si="9"/>
        <v>3354.7138557655821</v>
      </c>
      <c r="E125" s="5">
        <f t="shared" si="11"/>
        <v>4313.2035288414627</v>
      </c>
      <c r="F125" s="5">
        <f t="shared" si="12"/>
        <v>53520.770311379267</v>
      </c>
      <c r="G125" s="605">
        <f t="shared" si="13"/>
        <v>100</v>
      </c>
      <c r="H125" s="606">
        <f t="shared" si="14"/>
        <v>0</v>
      </c>
      <c r="I125" s="12">
        <f t="shared" si="4"/>
        <v>100</v>
      </c>
      <c r="J125" s="12" cm="1">
        <f t="array" ref="J125">SUMPRODUCT(C125:F125*91.25)</f>
        <v>6025151.7747330302</v>
      </c>
      <c r="K125" s="12">
        <f t="shared" si="5"/>
        <v>6118868.7695986312</v>
      </c>
      <c r="L125" s="12">
        <f t="shared" si="6"/>
        <v>-93716.994865600951</v>
      </c>
      <c r="M125" s="12">
        <f t="shared" si="7"/>
        <v>660690.60545019514</v>
      </c>
      <c r="N125" s="12">
        <f t="shared" si="8"/>
        <v>-754407.60031579609</v>
      </c>
      <c r="O125" s="12">
        <f t="shared" si="10"/>
        <v>-8485170.1462691203</v>
      </c>
    </row>
    <row r="126" spans="1:15" ht="13.5" thickBot="1">
      <c r="A126" s="548">
        <f t="shared" ca="1" si="15"/>
        <v>2026</v>
      </c>
      <c r="B126" s="548" t="str">
        <f t="shared" si="16"/>
        <v>May</v>
      </c>
      <c r="C126" s="604">
        <f>IF('DATA TABLES'!$C$45="Exclude Dec",IF(B126="Dec",0,IF(B126="Jan",C124*(1+'DATA TABLES'!$C$46),C125*(1+'DATA TABLES'!$C$46))),C125*(1+'DATA TABLES'!$C$46))</f>
        <v>4888.7765775235284</v>
      </c>
      <c r="D126" s="5">
        <f t="shared" si="9"/>
        <v>3388.2609943232378</v>
      </c>
      <c r="E126" s="5">
        <f t="shared" si="11"/>
        <v>4356.3355641298776</v>
      </c>
      <c r="F126" s="5">
        <f t="shared" si="12"/>
        <v>54942.275148209694</v>
      </c>
      <c r="G126" s="605">
        <f t="shared" si="13"/>
        <v>100</v>
      </c>
      <c r="H126" s="606">
        <f t="shared" si="14"/>
        <v>0</v>
      </c>
      <c r="I126" s="12">
        <f t="shared" si="4"/>
        <v>100</v>
      </c>
      <c r="J126" s="12" cm="1">
        <f t="array" ref="J126">SUMPRODUCT(C126:F126*91.25)</f>
        <v>6166277.9059320036</v>
      </c>
      <c r="K126" s="12">
        <f t="shared" si="5"/>
        <v>6268687.1706662811</v>
      </c>
      <c r="L126" s="12">
        <f t="shared" si="6"/>
        <v>-102409.2647342775</v>
      </c>
      <c r="M126" s="12">
        <f t="shared" si="7"/>
        <v>676156.4828418633</v>
      </c>
      <c r="N126" s="12">
        <f t="shared" si="8"/>
        <v>-778565.7475761408</v>
      </c>
      <c r="O126" s="12">
        <f t="shared" si="10"/>
        <v>-9263735.8938452601</v>
      </c>
    </row>
    <row r="127" spans="1:15" ht="13.5" thickBot="1">
      <c r="A127" s="548">
        <f t="shared" ca="1" si="15"/>
        <v>2026</v>
      </c>
      <c r="B127" s="548" t="str">
        <f t="shared" si="16"/>
        <v>Jun</v>
      </c>
      <c r="C127" s="604">
        <f>IF('DATA TABLES'!$C$45="Exclude Dec",IF(B127="Dec",0,IF(B127="Jan",C125*(1+'DATA TABLES'!$C$46),C126*(1+'DATA TABLES'!$C$46))),C126*(1+'DATA TABLES'!$C$46))</f>
        <v>4937.6643432987639</v>
      </c>
      <c r="D127" s="5">
        <f t="shared" si="9"/>
        <v>3422.1436042664695</v>
      </c>
      <c r="E127" s="5">
        <f t="shared" si="11"/>
        <v>4399.8989197711753</v>
      </c>
      <c r="F127" s="5">
        <f t="shared" si="12"/>
        <v>56333.680176722592</v>
      </c>
      <c r="G127" s="605">
        <f t="shared" si="13"/>
        <v>100</v>
      </c>
      <c r="H127" s="606">
        <f t="shared" si="14"/>
        <v>0</v>
      </c>
      <c r="I127" s="12">
        <f t="shared" si="4"/>
        <v>100</v>
      </c>
      <c r="J127" s="12" cm="1">
        <f t="array" ref="J127">SUMPRODUCT(C127:F127*91.25)</f>
        <v>6304771.5677703843</v>
      </c>
      <c r="K127" s="12">
        <f t="shared" si="5"/>
        <v>6415572.2700760234</v>
      </c>
      <c r="L127" s="12">
        <f t="shared" si="6"/>
        <v>-110800.70230563916</v>
      </c>
      <c r="M127" s="12">
        <f t="shared" si="7"/>
        <v>691333.87044058996</v>
      </c>
      <c r="N127" s="12">
        <f t="shared" si="8"/>
        <v>-802134.57274622913</v>
      </c>
      <c r="O127" s="12">
        <f t="shared" si="10"/>
        <v>-10065870.466591489</v>
      </c>
    </row>
    <row r="128" spans="1:15" ht="13.5" thickBot="1">
      <c r="A128" s="548">
        <f t="shared" ca="1" si="15"/>
        <v>2026</v>
      </c>
      <c r="B128" s="548" t="str">
        <f t="shared" si="16"/>
        <v>Jul</v>
      </c>
      <c r="C128" s="604">
        <f>IF('DATA TABLES'!$C$45="Exclude Dec",IF(B128="Dec",0,IF(B128="Jan",C126*(1+'DATA TABLES'!$C$46),C127*(1+'DATA TABLES'!$C$46))),C127*(1+'DATA TABLES'!$C$46))</f>
        <v>4987.0409867317512</v>
      </c>
      <c r="D128" s="5">
        <f t="shared" si="9"/>
        <v>3456.3650403091347</v>
      </c>
      <c r="E128" s="5">
        <f t="shared" si="11"/>
        <v>4443.8979089688874</v>
      </c>
      <c r="F128" s="5">
        <f t="shared" si="12"/>
        <v>57696.900141669081</v>
      </c>
      <c r="G128" s="605">
        <f t="shared" si="13"/>
        <v>100</v>
      </c>
      <c r="H128" s="606">
        <f t="shared" si="14"/>
        <v>0</v>
      </c>
      <c r="I128" s="12">
        <f t="shared" si="4"/>
        <v>100</v>
      </c>
      <c r="J128" s="12" cm="1">
        <f t="array" ref="J128">SUMPRODUCT(C128:F128*91.25)</f>
        <v>6440808.6220881958</v>
      </c>
      <c r="K128" s="12">
        <f t="shared" si="5"/>
        <v>6559716.3090947103</v>
      </c>
      <c r="L128" s="12">
        <f t="shared" si="6"/>
        <v>-118907.68700651452</v>
      </c>
      <c r="M128" s="12">
        <f t="shared" si="7"/>
        <v>706242.04077678849</v>
      </c>
      <c r="N128" s="12">
        <f t="shared" si="8"/>
        <v>-825149.72778330301</v>
      </c>
      <c r="O128" s="12">
        <f t="shared" si="10"/>
        <v>-10891020.194374792</v>
      </c>
    </row>
    <row r="129" spans="1:15" ht="13.5" thickBot="1">
      <c r="A129" s="548">
        <f t="shared" ca="1" si="15"/>
        <v>2026</v>
      </c>
      <c r="B129" s="548" t="str">
        <f t="shared" si="16"/>
        <v>Aug</v>
      </c>
      <c r="C129" s="604">
        <f>IF('DATA TABLES'!$C$45="Exclude Dec",IF(B129="Dec",0,IF(B129="Jan",C127*(1+'DATA TABLES'!$C$46),C128*(1+'DATA TABLES'!$C$46))),C128*(1+'DATA TABLES'!$C$46))</f>
        <v>5036.9113965990691</v>
      </c>
      <c r="D129" s="5">
        <f t="shared" si="9"/>
        <v>3490.9286907122255</v>
      </c>
      <c r="E129" s="5">
        <f t="shared" si="11"/>
        <v>4488.3368880585758</v>
      </c>
      <c r="F129" s="5">
        <f t="shared" si="12"/>
        <v>59033.75814810607</v>
      </c>
      <c r="G129" s="605">
        <f t="shared" si="13"/>
        <v>100</v>
      </c>
      <c r="H129" s="606">
        <f t="shared" si="14"/>
        <v>0.1</v>
      </c>
      <c r="I129" s="12">
        <f t="shared" si="4"/>
        <v>100.1</v>
      </c>
      <c r="J129" s="12" cm="1">
        <f t="array" ref="J129">SUMPRODUCT(C129:F129*91.25)</f>
        <v>6574556.5800171793</v>
      </c>
      <c r="K129" s="12">
        <f t="shared" si="5"/>
        <v>6701302.3726876872</v>
      </c>
      <c r="L129" s="12">
        <f t="shared" si="6"/>
        <v>-126745.79267050792</v>
      </c>
      <c r="M129" s="12">
        <f t="shared" si="7"/>
        <v>720899.75123475946</v>
      </c>
      <c r="N129" s="12">
        <f t="shared" si="8"/>
        <v>-847645.54390526738</v>
      </c>
      <c r="O129" s="12">
        <f t="shared" si="10"/>
        <v>-11738665.73828006</v>
      </c>
    </row>
    <row r="130" spans="1:15" ht="13.5" thickBot="1">
      <c r="A130" s="548">
        <f t="shared" ca="1" si="15"/>
        <v>2026</v>
      </c>
      <c r="B130" s="548" t="str">
        <f t="shared" si="16"/>
        <v>Sep</v>
      </c>
      <c r="C130" s="604">
        <f>IF('DATA TABLES'!$C$45="Exclude Dec",IF(B130="Dec",0,IF(B130="Jan",C128*(1+'DATA TABLES'!$C$46),C129*(1+'DATA TABLES'!$C$46))),C129*(1+'DATA TABLES'!$C$46))</f>
        <v>5087.2805105650596</v>
      </c>
      <c r="D130" s="5">
        <f t="shared" si="9"/>
        <v>3525.8379776193483</v>
      </c>
      <c r="E130" s="5">
        <f t="shared" si="11"/>
        <v>4533.220256939162</v>
      </c>
      <c r="F130" s="5">
        <f t="shared" si="12"/>
        <v>60345.990284356412</v>
      </c>
      <c r="G130" s="605">
        <f t="shared" ref="G130:G161" si="17">INDEX($B$50:$M$50,,MATCH($B130,$B$49:$M$49,FALSE))</f>
        <v>100</v>
      </c>
      <c r="H130" s="606">
        <f t="shared" ref="H130:H161" si="18">VLOOKUP($C130,$C$60:$D$64,2,TRUE)</f>
        <v>0.1</v>
      </c>
      <c r="I130" s="12">
        <f t="shared" si="4"/>
        <v>100.1</v>
      </c>
      <c r="J130" s="12" cm="1">
        <f t="array" ref="J130">SUMPRODUCT(C130:F130*91.25)</f>
        <v>6706175.0239400491</v>
      </c>
      <c r="K130" s="12">
        <f t="shared" si="5"/>
        <v>6840504.8518914916</v>
      </c>
      <c r="L130" s="12">
        <f t="shared" si="6"/>
        <v>-134329.82795144245</v>
      </c>
      <c r="M130" s="12">
        <f t="shared" si="7"/>
        <v>735323.69029479986</v>
      </c>
      <c r="N130" s="12">
        <f t="shared" si="8"/>
        <v>-869653.51824624231</v>
      </c>
      <c r="O130" s="12">
        <f t="shared" si="10"/>
        <v>-12608319.256526303</v>
      </c>
    </row>
    <row r="131" spans="1:15" ht="13.5" thickBot="1">
      <c r="A131" s="548">
        <f t="shared" ca="1" si="15"/>
        <v>2026</v>
      </c>
      <c r="B131" s="548" t="str">
        <f t="shared" si="16"/>
        <v>Oct</v>
      </c>
      <c r="C131" s="604">
        <f>IF('DATA TABLES'!$C$45="Exclude Dec",IF(B131="Dec",0,IF(B131="Jan",C129*(1+'DATA TABLES'!$C$46),C130*(1+'DATA TABLES'!$C$46))),C130*(1+'DATA TABLES'!$C$46))</f>
        <v>5138.1533156707101</v>
      </c>
      <c r="D131" s="5">
        <f t="shared" si="9"/>
        <v>3561.0963573955414</v>
      </c>
      <c r="E131" s="5">
        <f t="shared" si="11"/>
        <v>4578.5524595085535</v>
      </c>
      <c r="F131" s="5">
        <f t="shared" si="12"/>
        <v>61635.250014230791</v>
      </c>
      <c r="G131" s="605">
        <f t="shared" si="17"/>
        <v>110</v>
      </c>
      <c r="H131" s="606">
        <f t="shared" si="18"/>
        <v>0.1</v>
      </c>
      <c r="I131" s="12">
        <f t="shared" si="4"/>
        <v>110.1</v>
      </c>
      <c r="J131" s="12" cm="1">
        <f t="array" ref="J131">SUMPRODUCT(C131:F131*91.25)</f>
        <v>6835816.0083960108</v>
      </c>
      <c r="K131" s="12">
        <f t="shared" si="5"/>
        <v>6977489.8831134876</v>
      </c>
      <c r="L131" s="12">
        <f t="shared" si="6"/>
        <v>-141673.87471747678</v>
      </c>
      <c r="M131" s="12">
        <f t="shared" si="7"/>
        <v>749570.92146805592</v>
      </c>
      <c r="N131" s="12">
        <f t="shared" si="8"/>
        <v>-891244.7961855327</v>
      </c>
      <c r="O131" s="12">
        <f t="shared" si="10"/>
        <v>-13499564.052711835</v>
      </c>
    </row>
    <row r="132" spans="1:15" ht="13.5" thickBot="1">
      <c r="A132" s="548">
        <f t="shared" ca="1" si="15"/>
        <v>2026</v>
      </c>
      <c r="B132" s="548" t="str">
        <f t="shared" si="16"/>
        <v>Nov</v>
      </c>
      <c r="C132" s="604">
        <f>IF('DATA TABLES'!$C$45="Exclude Dec",IF(B132="Dec",0,IF(B132="Jan",C130*(1+'DATA TABLES'!$C$46),C131*(1+'DATA TABLES'!$C$46))),C131*(1+'DATA TABLES'!$C$46))</f>
        <v>5189.5348488274176</v>
      </c>
      <c r="D132" s="5">
        <f t="shared" si="9"/>
        <v>3596.7073209694968</v>
      </c>
      <c r="E132" s="5">
        <f t="shared" si="11"/>
        <v>4624.3379841036394</v>
      </c>
      <c r="F132" s="5">
        <f t="shared" si="12"/>
        <v>62903.112350052375</v>
      </c>
      <c r="G132" s="605">
        <f t="shared" si="17"/>
        <v>110</v>
      </c>
      <c r="H132" s="606">
        <f t="shared" si="18"/>
        <v>0.1</v>
      </c>
      <c r="I132" s="12">
        <f t="shared" si="4"/>
        <v>110.1</v>
      </c>
      <c r="J132" s="12" cm="1">
        <f t="array" ref="J132">SUMPRODUCT(C132:F132*91.25)</f>
        <v>6963624.4409857038</v>
      </c>
      <c r="K132" s="12">
        <f t="shared" si="5"/>
        <v>7112415.7655125512</v>
      </c>
      <c r="L132" s="12">
        <f t="shared" si="6"/>
        <v>-148791.32452684734</v>
      </c>
      <c r="M132" s="12">
        <f t="shared" si="7"/>
        <v>763577.32503952936</v>
      </c>
      <c r="N132" s="12">
        <f t="shared" si="8"/>
        <v>-912368.6495663767</v>
      </c>
      <c r="O132" s="12">
        <f t="shared" si="10"/>
        <v>-14411932.702278212</v>
      </c>
    </row>
    <row r="133" spans="1:15" ht="13.5" thickBot="1">
      <c r="A133" s="548">
        <f t="shared" ca="1" si="15"/>
        <v>2026</v>
      </c>
      <c r="B133" s="548" t="str">
        <f t="shared" si="16"/>
        <v>Dec</v>
      </c>
      <c r="C133" s="604">
        <f>IF('DATA TABLES'!$C$45="Exclude Dec",IF(B133="Dec",0,IF(B133="Jan",C131*(1+'DATA TABLES'!$C$46),C132*(1+'DATA TABLES'!$C$46))),C132*(1+'DATA TABLES'!$C$46))</f>
        <v>5241.4301973156917</v>
      </c>
      <c r="D133" s="5">
        <f t="shared" si="9"/>
        <v>3632.6743941791919</v>
      </c>
      <c r="E133" s="5">
        <f t="shared" si="11"/>
        <v>4670.581363944676</v>
      </c>
      <c r="F133" s="5">
        <f t="shared" si="12"/>
        <v>64151.077817448218</v>
      </c>
      <c r="G133" s="605">
        <f t="shared" si="17"/>
        <v>150</v>
      </c>
      <c r="H133" s="606">
        <f t="shared" si="18"/>
        <v>0.1</v>
      </c>
      <c r="I133" s="12">
        <f t="shared" si="4"/>
        <v>150.1</v>
      </c>
      <c r="J133" s="12" cm="1">
        <f t="array" ref="J133">SUMPRODUCT(C133:F133*91.25)</f>
        <v>7089738.4442760097</v>
      </c>
      <c r="K133" s="12">
        <f t="shared" si="5"/>
        <v>7245433.3575572092</v>
      </c>
      <c r="L133" s="12">
        <f t="shared" si="6"/>
        <v>-155694.91328119952</v>
      </c>
      <c r="M133" s="12">
        <f t="shared" si="7"/>
        <v>777558.03772887774</v>
      </c>
      <c r="N133" s="12">
        <f t="shared" si="8"/>
        <v>-933252.95101007726</v>
      </c>
      <c r="O133" s="12">
        <f t="shared" si="10"/>
        <v>-15345185.65328829</v>
      </c>
    </row>
    <row r="134" spans="1:15" ht="13.5" thickBot="1">
      <c r="A134" s="548">
        <f t="shared" ca="1" si="15"/>
        <v>2027</v>
      </c>
      <c r="B134" s="548" t="str">
        <f t="shared" si="16"/>
        <v>Jan</v>
      </c>
      <c r="C134" s="604">
        <f>IF('DATA TABLES'!$C$45="Exclude Dec",IF(B134="Dec",0,IF(B134="Jan",C132*(1+'DATA TABLES'!$C$46),C133*(1+'DATA TABLES'!$C$46))),C133*(1+'DATA TABLES'!$C$46))</f>
        <v>5293.844499288849</v>
      </c>
      <c r="D134" s="5">
        <f t="shared" si="9"/>
        <v>3669.0011381209838</v>
      </c>
      <c r="E134" s="5">
        <f t="shared" si="11"/>
        <v>4717.2871775841222</v>
      </c>
      <c r="F134" s="5">
        <f t="shared" si="12"/>
        <v>65380.576222323252</v>
      </c>
      <c r="G134" s="605">
        <f t="shared" si="17"/>
        <v>100</v>
      </c>
      <c r="H134" s="606">
        <f t="shared" si="18"/>
        <v>0.1</v>
      </c>
      <c r="I134" s="12">
        <f t="shared" si="4"/>
        <v>100.1</v>
      </c>
      <c r="J134" s="12" cm="1">
        <f t="array" ref="J134">SUMPRODUCT(C134:F134*91.25)</f>
        <v>7214289.6996551948</v>
      </c>
      <c r="K134" s="12">
        <f t="shared" si="5"/>
        <v>7376686.4538028352</v>
      </c>
      <c r="L134" s="12">
        <f t="shared" si="6"/>
        <v>-162396.75414764043</v>
      </c>
      <c r="M134" s="12">
        <f t="shared" si="7"/>
        <v>791007.4903731721</v>
      </c>
      <c r="N134" s="12">
        <f t="shared" si="8"/>
        <v>-953404.24452081253</v>
      </c>
      <c r="O134" s="12">
        <f t="shared" si="10"/>
        <v>-16298589.897809103</v>
      </c>
    </row>
    <row r="135" spans="1:15" ht="13.5" thickBot="1">
      <c r="A135" s="548">
        <f t="shared" ca="1" si="15"/>
        <v>2027</v>
      </c>
      <c r="B135" s="548" t="str">
        <f t="shared" si="16"/>
        <v>Feb</v>
      </c>
      <c r="C135" s="604">
        <f>IF('DATA TABLES'!$C$45="Exclude Dec",IF(B135="Dec",0,IF(B135="Jan",C133*(1+'DATA TABLES'!$C$46),C134*(1+'DATA TABLES'!$C$46))),C134*(1+'DATA TABLES'!$C$46))</f>
        <v>5346.7829442817374</v>
      </c>
      <c r="D135" s="5">
        <f t="shared" si="9"/>
        <v>3705.6911495021941</v>
      </c>
      <c r="E135" s="5">
        <f t="shared" si="11"/>
        <v>4764.4600493599646</v>
      </c>
      <c r="F135" s="5">
        <f t="shared" si="12"/>
        <v>66592.970229912011</v>
      </c>
      <c r="G135" s="605">
        <f t="shared" si="17"/>
        <v>100</v>
      </c>
      <c r="H135" s="606">
        <f t="shared" si="18"/>
        <v>0.1</v>
      </c>
      <c r="I135" s="12">
        <f t="shared" si="4"/>
        <v>100.1</v>
      </c>
      <c r="J135" s="12" cm="1">
        <f t="array" ref="J135">SUMPRODUCT(C135:F135*91.25)</f>
        <v>7337403.7740413509</v>
      </c>
      <c r="K135" s="12">
        <f t="shared" si="5"/>
        <v>7506312.1428774176</v>
      </c>
      <c r="L135" s="12">
        <f t="shared" si="6"/>
        <v>-168908.36883606669</v>
      </c>
      <c r="M135" s="12">
        <f t="shared" si="7"/>
        <v>804499.44373055908</v>
      </c>
      <c r="N135" s="12">
        <f t="shared" si="8"/>
        <v>-973407.81256662577</v>
      </c>
      <c r="O135" s="12">
        <f t="shared" si="10"/>
        <v>-17271997.71037573</v>
      </c>
    </row>
    <row r="136" spans="1:15" ht="13.5" thickBot="1">
      <c r="A136" s="548">
        <f t="shared" ca="1" si="15"/>
        <v>2027</v>
      </c>
      <c r="B136" s="548" t="str">
        <f t="shared" si="16"/>
        <v>Mar</v>
      </c>
      <c r="C136" s="604">
        <f>IF('DATA TABLES'!$C$45="Exclude Dec",IF(B136="Dec",0,IF(B136="Jan",C134*(1+'DATA TABLES'!$C$46),C135*(1+'DATA TABLES'!$C$46))),C135*(1+'DATA TABLES'!$C$46))</f>
        <v>5400.2507737245551</v>
      </c>
      <c r="D136" s="5">
        <f t="shared" si="9"/>
        <v>3742.7480609972158</v>
      </c>
      <c r="E136" s="5">
        <f t="shared" si="11"/>
        <v>4812.1046498535634</v>
      </c>
      <c r="F136" s="5">
        <f t="shared" si="12"/>
        <v>67789.558765308364</v>
      </c>
      <c r="G136" s="605">
        <f t="shared" si="17"/>
        <v>100</v>
      </c>
      <c r="H136" s="606">
        <f t="shared" si="18"/>
        <v>0.1</v>
      </c>
      <c r="I136" s="12">
        <f t="shared" si="4"/>
        <v>100.1</v>
      </c>
      <c r="J136" s="12" cm="1">
        <f t="array" ref="J136">SUMPRODUCT(C136:F136*91.25)</f>
        <v>7459200.4303018879</v>
      </c>
      <c r="K136" s="12">
        <f t="shared" si="5"/>
        <v>7634441.1476159152</v>
      </c>
      <c r="L136" s="12">
        <f t="shared" si="6"/>
        <v>-175240.71731402725</v>
      </c>
      <c r="M136" s="12">
        <f t="shared" si="7"/>
        <v>817847.02249883697</v>
      </c>
      <c r="N136" s="12">
        <f t="shared" si="8"/>
        <v>-993087.73981286422</v>
      </c>
      <c r="O136" s="12">
        <f t="shared" si="10"/>
        <v>-18265085.450188596</v>
      </c>
    </row>
    <row r="137" spans="1:15" ht="13.5" thickBot="1">
      <c r="A137" s="548">
        <f t="shared" ca="1" si="15"/>
        <v>2027</v>
      </c>
      <c r="B137" s="548" t="str">
        <f t="shared" si="16"/>
        <v>Apr</v>
      </c>
      <c r="C137" s="604">
        <f>IF('DATA TABLES'!$C$45="Exclude Dec",IF(B137="Dec",0,IF(B137="Jan",C135*(1+'DATA TABLES'!$C$46),C136*(1+'DATA TABLES'!$C$46))),C136*(1+'DATA TABLES'!$C$46))</f>
        <v>5454.2532814618007</v>
      </c>
      <c r="D137" s="5">
        <f t="shared" si="9"/>
        <v>3780.1755416071883</v>
      </c>
      <c r="E137" s="5">
        <f t="shared" si="11"/>
        <v>4860.2256963520995</v>
      </c>
      <c r="F137" s="5">
        <f t="shared" si="12"/>
        <v>68971.580244403827</v>
      </c>
      <c r="G137" s="605">
        <f t="shared" si="17"/>
        <v>100</v>
      </c>
      <c r="H137" s="606">
        <f t="shared" si="18"/>
        <v>0.1</v>
      </c>
      <c r="I137" s="12">
        <f t="shared" si="4"/>
        <v>100.1</v>
      </c>
      <c r="J137" s="12" cm="1">
        <f t="array" ref="J137">SUMPRODUCT(C137:F137*91.25)</f>
        <v>7579793.922199023</v>
      </c>
      <c r="K137" s="12">
        <f t="shared" si="5"/>
        <v>7761198.148236312</v>
      </c>
      <c r="L137" s="12">
        <f t="shared" si="6"/>
        <v>-181404.22603728902</v>
      </c>
      <c r="M137" s="12">
        <f t="shared" si="7"/>
        <v>831062.74763824919</v>
      </c>
      <c r="N137" s="12">
        <f t="shared" si="8"/>
        <v>-1012466.9736755382</v>
      </c>
      <c r="O137" s="12">
        <f t="shared" si="10"/>
        <v>-19277552.423864134</v>
      </c>
    </row>
    <row r="138" spans="1:15" ht="13.5" thickBot="1">
      <c r="A138" s="548">
        <f t="shared" ca="1" si="15"/>
        <v>2027</v>
      </c>
      <c r="B138" s="548" t="str">
        <f t="shared" si="16"/>
        <v>May</v>
      </c>
      <c r="C138" s="604">
        <f>IF('DATA TABLES'!$C$45="Exclude Dec",IF(B138="Dec",0,IF(B138="Jan",C136*(1+'DATA TABLES'!$C$46),C137*(1+'DATA TABLES'!$C$46))),C137*(1+'DATA TABLES'!$C$46))</f>
        <v>5508.7958142764192</v>
      </c>
      <c r="D138" s="5">
        <f t="shared" si="9"/>
        <v>3817.9772970232602</v>
      </c>
      <c r="E138" s="5">
        <f t="shared" si="11"/>
        <v>4908.827953315621</v>
      </c>
      <c r="F138" s="5">
        <f t="shared" si="12"/>
        <v>70140.21564371814</v>
      </c>
      <c r="G138" s="605">
        <f t="shared" si="17"/>
        <v>100</v>
      </c>
      <c r="H138" s="606">
        <f t="shared" si="18"/>
        <v>0.1</v>
      </c>
      <c r="I138" s="12">
        <f t="shared" si="4"/>
        <v>100.1</v>
      </c>
      <c r="J138" s="12" cm="1">
        <f t="array" ref="J138">SUMPRODUCT(C138:F138*91.25)</f>
        <v>7699293.2746354267</v>
      </c>
      <c r="K138" s="12">
        <f t="shared" si="5"/>
        <v>7886702.0894057015</v>
      </c>
      <c r="L138" s="12">
        <f t="shared" si="6"/>
        <v>-187408.8147702748</v>
      </c>
      <c r="M138" s="12">
        <f t="shared" si="7"/>
        <v>844158.56708333443</v>
      </c>
      <c r="N138" s="12">
        <f t="shared" si="8"/>
        <v>-1031567.3818536092</v>
      </c>
      <c r="O138" s="12">
        <f t="shared" si="10"/>
        <v>-20309119.805717744</v>
      </c>
    </row>
    <row r="139" spans="1:15" ht="13.5" thickBot="1">
      <c r="A139" s="548">
        <f t="shared" ca="1" si="15"/>
        <v>2027</v>
      </c>
      <c r="B139" s="548" t="str">
        <f t="shared" si="16"/>
        <v>Jun</v>
      </c>
      <c r="C139" s="604">
        <f>IF('DATA TABLES'!$C$45="Exclude Dec",IF(B139="Dec",0,IF(B139="Jan",C137*(1+'DATA TABLES'!$C$46),C138*(1+'DATA TABLES'!$C$46))),C138*(1+'DATA TABLES'!$C$46))</f>
        <v>5563.8837724191835</v>
      </c>
      <c r="D139" s="5">
        <f t="shared" si="9"/>
        <v>3856.1570699934932</v>
      </c>
      <c r="E139" s="5">
        <f t="shared" si="11"/>
        <v>4957.9162328487773</v>
      </c>
      <c r="F139" s="5">
        <f t="shared" si="12"/>
        <v>71296.591417182062</v>
      </c>
      <c r="G139" s="605">
        <f t="shared" si="17"/>
        <v>100</v>
      </c>
      <c r="H139" s="606">
        <f t="shared" si="18"/>
        <v>0.1</v>
      </c>
      <c r="I139" s="12">
        <f t="shared" si="4"/>
        <v>100.1</v>
      </c>
      <c r="J139" s="12" cm="1">
        <f t="array" ref="J139">SUMPRODUCT(C139:F139*91.25)</f>
        <v>7817802.5499354713</v>
      </c>
      <c r="K139" s="12">
        <f t="shared" si="5"/>
        <v>8011066.4720024336</v>
      </c>
      <c r="L139" s="12">
        <f t="shared" si="6"/>
        <v>-193263.92206696235</v>
      </c>
      <c r="M139" s="12">
        <f t="shared" si="7"/>
        <v>857145.88492443517</v>
      </c>
      <c r="N139" s="12">
        <f t="shared" si="8"/>
        <v>-1050409.8069913974</v>
      </c>
      <c r="O139" s="12">
        <f t="shared" si="10"/>
        <v>-21359529.612709142</v>
      </c>
    </row>
    <row r="140" spans="1:15" ht="13.5" thickBot="1">
      <c r="A140" s="548">
        <f t="shared" ca="1" si="15"/>
        <v>2027</v>
      </c>
      <c r="B140" s="548" t="str">
        <f t="shared" si="16"/>
        <v>Jul</v>
      </c>
      <c r="C140" s="604">
        <f>IF('DATA TABLES'!$C$45="Exclude Dec",IF(B140="Dec",0,IF(B140="Jan",C138*(1+'DATA TABLES'!$C$46),C139*(1+'DATA TABLES'!$C$46))),C139*(1+'DATA TABLES'!$C$46))</f>
        <v>5619.5226101433755</v>
      </c>
      <c r="D140" s="5">
        <f t="shared" si="9"/>
        <v>3894.7186406934284</v>
      </c>
      <c r="E140" s="5">
        <f t="shared" si="11"/>
        <v>5007.495395177265</v>
      </c>
      <c r="F140" s="5">
        <f t="shared" si="12"/>
        <v>72441.782267529285</v>
      </c>
      <c r="G140" s="605">
        <f t="shared" si="17"/>
        <v>100</v>
      </c>
      <c r="H140" s="606">
        <f t="shared" si="18"/>
        <v>0.1</v>
      </c>
      <c r="I140" s="12">
        <f t="shared" si="4"/>
        <v>100.1</v>
      </c>
      <c r="J140" s="12" cm="1">
        <f t="array" ref="J140">SUMPRODUCT(C140:F140*91.25)</f>
        <v>7935421.1008608304</v>
      </c>
      <c r="K140" s="12">
        <f t="shared" si="5"/>
        <v>8134399.6303399978</v>
      </c>
      <c r="L140" s="12">
        <f t="shared" si="6"/>
        <v>-198978.52947916742</v>
      </c>
      <c r="M140" s="12">
        <f t="shared" si="7"/>
        <v>870035.58913543343</v>
      </c>
      <c r="N140" s="12">
        <f t="shared" si="8"/>
        <v>-1069014.118614601</v>
      </c>
      <c r="O140" s="12">
        <f t="shared" si="10"/>
        <v>-22428543.731323741</v>
      </c>
    </row>
    <row r="141" spans="1:15" ht="13.5" thickBot="1">
      <c r="A141" s="548">
        <f t="shared" ca="1" si="15"/>
        <v>2027</v>
      </c>
      <c r="B141" s="548" t="str">
        <f t="shared" si="16"/>
        <v>Aug</v>
      </c>
      <c r="C141" s="604">
        <f>IF('DATA TABLES'!$C$45="Exclude Dec",IF(B141="Dec",0,IF(B141="Jan",C139*(1+'DATA TABLES'!$C$46),C140*(1+'DATA TABLES'!$C$46))),C140*(1+'DATA TABLES'!$C$46))</f>
        <v>5675.7178362448094</v>
      </c>
      <c r="D141" s="5">
        <f t="shared" si="9"/>
        <v>3933.6658271003625</v>
      </c>
      <c r="E141" s="5">
        <f t="shared" si="11"/>
        <v>5057.5703491290378</v>
      </c>
      <c r="F141" s="5">
        <f t="shared" si="12"/>
        <v>73576.81377957121</v>
      </c>
      <c r="G141" s="605">
        <f t="shared" si="17"/>
        <v>100</v>
      </c>
      <c r="H141" s="606">
        <f t="shared" si="18"/>
        <v>0.1</v>
      </c>
      <c r="I141" s="12">
        <f t="shared" si="4"/>
        <v>100.1</v>
      </c>
      <c r="J141" s="12" cm="1">
        <f t="array" ref="J141">SUMPRODUCT(C141:F141*91.25)</f>
        <v>8052243.8110241443</v>
      </c>
      <c r="K141" s="12">
        <f t="shared" si="5"/>
        <v>8256804.9955800613</v>
      </c>
      <c r="L141" s="12">
        <f t="shared" si="6"/>
        <v>-204561.18455591705</v>
      </c>
      <c r="M141" s="12">
        <f t="shared" si="7"/>
        <v>882838.07792045421</v>
      </c>
      <c r="N141" s="12">
        <f t="shared" si="8"/>
        <v>-1087399.2624763711</v>
      </c>
      <c r="O141" s="12">
        <f t="shared" si="10"/>
        <v>-23515942.993800111</v>
      </c>
    </row>
    <row r="142" spans="1:15" ht="13.5" thickBot="1">
      <c r="A142" s="548">
        <f t="shared" ref="A142:A173" ca="1" si="19">A130+1</f>
        <v>2027</v>
      </c>
      <c r="B142" s="548" t="str">
        <f t="shared" si="16"/>
        <v>Sep</v>
      </c>
      <c r="C142" s="604">
        <f>IF('DATA TABLES'!$C$45="Exclude Dec",IF(B142="Dec",0,IF(B142="Jan",C140*(1+'DATA TABLES'!$C$46),C141*(1+'DATA TABLES'!$C$46))),C141*(1+'DATA TABLES'!$C$46))</f>
        <v>5732.4750146072574</v>
      </c>
      <c r="D142" s="5">
        <f t="shared" si="9"/>
        <v>3973.0024853713662</v>
      </c>
      <c r="E142" s="5">
        <f t="shared" si="11"/>
        <v>5108.1460526203282</v>
      </c>
      <c r="F142" s="5">
        <f t="shared" si="12"/>
        <v>74702.664922265234</v>
      </c>
      <c r="G142" s="605">
        <f t="shared" si="17"/>
        <v>100</v>
      </c>
      <c r="H142" s="606">
        <f t="shared" si="18"/>
        <v>0.1</v>
      </c>
      <c r="I142" s="12">
        <f t="shared" si="4"/>
        <v>100.1</v>
      </c>
      <c r="J142" s="12" cm="1">
        <f t="array" ref="J142">SUMPRODUCT(C142:F142*91.25)</f>
        <v>8168361.3233313579</v>
      </c>
      <c r="K142" s="12">
        <f t="shared" si="5"/>
        <v>8378381.3460256932</v>
      </c>
      <c r="L142" s="12">
        <f t="shared" si="6"/>
        <v>-210020.02269433532</v>
      </c>
      <c r="M142" s="12">
        <f t="shared" si="7"/>
        <v>895563.28474864189</v>
      </c>
      <c r="N142" s="12">
        <f t="shared" si="8"/>
        <v>-1105583.3074429771</v>
      </c>
      <c r="O142" s="12">
        <f t="shared" si="10"/>
        <v>-24621526.301243089</v>
      </c>
    </row>
    <row r="143" spans="1:15" ht="13.5" thickBot="1">
      <c r="A143" s="548">
        <f t="shared" ca="1" si="19"/>
        <v>2027</v>
      </c>
      <c r="B143" s="548" t="str">
        <f t="shared" si="16"/>
        <v>Oct</v>
      </c>
      <c r="C143" s="604">
        <f>IF('DATA TABLES'!$C$45="Exclude Dec",IF(B143="Dec",0,IF(B143="Jan",C141*(1+'DATA TABLES'!$C$46),C142*(1+'DATA TABLES'!$C$46))),C142*(1+'DATA TABLES'!$C$46))</f>
        <v>5789.7997647533302</v>
      </c>
      <c r="D143" s="5">
        <f t="shared" si="9"/>
        <v>4012.7325102250797</v>
      </c>
      <c r="E143" s="5">
        <f t="shared" si="11"/>
        <v>5159.2275131465321</v>
      </c>
      <c r="F143" s="5">
        <f t="shared" si="12"/>
        <v>75820.270426141287</v>
      </c>
      <c r="G143" s="605">
        <f t="shared" si="17"/>
        <v>110</v>
      </c>
      <c r="H143" s="606">
        <f t="shared" si="18"/>
        <v>0.1</v>
      </c>
      <c r="I143" s="12">
        <f t="shared" si="4"/>
        <v>110.1</v>
      </c>
      <c r="J143" s="12" cm="1">
        <f t="array" ref="J143">SUMPRODUCT(C143:F143*91.25)</f>
        <v>8283860.2570517939</v>
      </c>
      <c r="K143" s="12">
        <f t="shared" si="5"/>
        <v>8499223.0449512899</v>
      </c>
      <c r="L143" s="12">
        <f t="shared" si="6"/>
        <v>-215362.78789949603</v>
      </c>
      <c r="M143" s="12">
        <f t="shared" si="7"/>
        <v>908260.70214266225</v>
      </c>
      <c r="N143" s="12">
        <f t="shared" si="8"/>
        <v>-1123623.4900421584</v>
      </c>
      <c r="O143" s="12">
        <f t="shared" si="10"/>
        <v>-25745149.791285247</v>
      </c>
    </row>
    <row r="144" spans="1:15" ht="13.5" thickBot="1">
      <c r="A144" s="548">
        <f t="shared" ca="1" si="19"/>
        <v>2027</v>
      </c>
      <c r="B144" s="548" t="str">
        <f t="shared" si="16"/>
        <v>Nov</v>
      </c>
      <c r="C144" s="604">
        <f>IF('DATA TABLES'!$C$45="Exclude Dec",IF(B144="Dec",0,IF(B144="Jan",C142*(1+'DATA TABLES'!$C$46),C143*(1+'DATA TABLES'!$C$46))),C143*(1+'DATA TABLES'!$C$46))</f>
        <v>5847.6977624008632</v>
      </c>
      <c r="D144" s="5">
        <f t="shared" si="9"/>
        <v>4052.859835327331</v>
      </c>
      <c r="E144" s="5">
        <f t="shared" si="11"/>
        <v>5210.8197882779978</v>
      </c>
      <c r="F144" s="5">
        <f t="shared" si="12"/>
        <v>76930.523042323417</v>
      </c>
      <c r="G144" s="605">
        <f t="shared" si="17"/>
        <v>110</v>
      </c>
      <c r="H144" s="606">
        <f t="shared" si="18"/>
        <v>0.1</v>
      </c>
      <c r="I144" s="12">
        <f t="shared" si="4"/>
        <v>110.1</v>
      </c>
      <c r="J144" s="12" cm="1">
        <f t="array" ref="J144">SUMPRODUCT(C144:F144*91.25)</f>
        <v>8398823.4140850771</v>
      </c>
      <c r="K144" s="12">
        <f t="shared" si="5"/>
        <v>8619420.2665928751</v>
      </c>
      <c r="L144" s="12">
        <f t="shared" si="6"/>
        <v>-220596.852507798</v>
      </c>
      <c r="M144" s="12">
        <f t="shared" si="7"/>
        <v>920859.40428329608</v>
      </c>
      <c r="N144" s="12">
        <f t="shared" si="8"/>
        <v>-1141456.2567910941</v>
      </c>
      <c r="O144" s="12">
        <f t="shared" si="10"/>
        <v>-26886606.048076339</v>
      </c>
    </row>
    <row r="145" spans="1:15" ht="13.5" thickBot="1">
      <c r="A145" s="548">
        <f t="shared" ca="1" si="19"/>
        <v>2027</v>
      </c>
      <c r="B145" s="548" t="str">
        <f t="shared" si="16"/>
        <v>Dec</v>
      </c>
      <c r="C145" s="604">
        <f>IF('DATA TABLES'!$C$45="Exclude Dec",IF(B145="Dec",0,IF(B145="Jan",C143*(1+'DATA TABLES'!$C$46),C144*(1+'DATA TABLES'!$C$46))),C144*(1+'DATA TABLES'!$C$46))</f>
        <v>5906.1747400248723</v>
      </c>
      <c r="D145" s="5">
        <f t="shared" si="9"/>
        <v>4093.3884336806041</v>
      </c>
      <c r="E145" s="5">
        <f t="shared" si="11"/>
        <v>5262.9279861607774</v>
      </c>
      <c r="F145" s="5">
        <f t="shared" si="12"/>
        <v>78034.275689071335</v>
      </c>
      <c r="G145" s="605">
        <f t="shared" si="17"/>
        <v>150</v>
      </c>
      <c r="H145" s="606">
        <f t="shared" si="18"/>
        <v>0.1</v>
      </c>
      <c r="I145" s="12">
        <f t="shared" si="4"/>
        <v>150.1</v>
      </c>
      <c r="J145" s="12" cm="1">
        <f t="array" ref="J145">SUMPRODUCT(C145:F145*91.25)</f>
        <v>8513329.9749655556</v>
      </c>
      <c r="K145" s="12">
        <f t="shared" si="5"/>
        <v>8739059.2108912729</v>
      </c>
      <c r="L145" s="12">
        <f t="shared" si="6"/>
        <v>-225729.23592571728</v>
      </c>
      <c r="M145" s="12">
        <f t="shared" si="7"/>
        <v>933568.06848937599</v>
      </c>
      <c r="N145" s="12">
        <f t="shared" si="8"/>
        <v>-1159297.3044150933</v>
      </c>
      <c r="O145" s="12">
        <f t="shared" si="10"/>
        <v>-28045903.352491431</v>
      </c>
    </row>
    <row r="146" spans="1:15" ht="13.5" thickBot="1">
      <c r="A146" s="548">
        <f t="shared" ca="1" si="19"/>
        <v>2028</v>
      </c>
      <c r="B146" s="548" t="str">
        <f t="shared" si="16"/>
        <v>Jan</v>
      </c>
      <c r="C146" s="604">
        <f>IF('DATA TABLES'!$C$45="Exclude Dec",IF(B146="Dec",0,IF(B146="Jan",C144*(1+'DATA TABLES'!$C$46),C145*(1+'DATA TABLES'!$C$46))),C145*(1+'DATA TABLES'!$C$46))</f>
        <v>5965.2364874251207</v>
      </c>
      <c r="D146" s="5">
        <f t="shared" si="9"/>
        <v>4134.32231801741</v>
      </c>
      <c r="E146" s="5">
        <f t="shared" si="11"/>
        <v>5315.5572660223852</v>
      </c>
      <c r="F146" s="5">
        <f t="shared" si="12"/>
        <v>79132.343491470499</v>
      </c>
      <c r="G146" s="605">
        <f t="shared" si="17"/>
        <v>100</v>
      </c>
      <c r="H146" s="606">
        <f t="shared" si="18"/>
        <v>0.1</v>
      </c>
      <c r="I146" s="12">
        <f t="shared" si="4"/>
        <v>100.1</v>
      </c>
      <c r="J146" s="12" cm="1">
        <f t="array" ref="J146">SUMPRODUCT(C146:F146*91.25)</f>
        <v>8627455.6851178557</v>
      </c>
      <c r="K146" s="12">
        <f t="shared" si="5"/>
        <v>8858222.3075510301</v>
      </c>
      <c r="L146" s="12">
        <f t="shared" si="6"/>
        <v>-230766.6224331744</v>
      </c>
      <c r="M146" s="12">
        <f t="shared" si="7"/>
        <v>945874.99562935415</v>
      </c>
      <c r="N146" s="12">
        <f t="shared" si="8"/>
        <v>-1176641.6180625285</v>
      </c>
      <c r="O146" s="12">
        <f t="shared" si="10"/>
        <v>-29222544.970553961</v>
      </c>
    </row>
    <row r="147" spans="1:15" ht="13.5" thickBot="1">
      <c r="A147" s="548">
        <f t="shared" ca="1" si="19"/>
        <v>2028</v>
      </c>
      <c r="B147" s="548" t="str">
        <f t="shared" si="16"/>
        <v>Feb</v>
      </c>
      <c r="C147" s="604">
        <f>IF('DATA TABLES'!$C$45="Exclude Dec",IF(B147="Dec",0,IF(B147="Jan",C145*(1+'DATA TABLES'!$C$46),C146*(1+'DATA TABLES'!$C$46))),C146*(1+'DATA TABLES'!$C$46))</f>
        <v>6024.888852299372</v>
      </c>
      <c r="D147" s="5">
        <f t="shared" si="9"/>
        <v>4175.6655411975844</v>
      </c>
      <c r="E147" s="5">
        <f t="shared" si="11"/>
        <v>5368.7128386826089</v>
      </c>
      <c r="F147" s="5">
        <f t="shared" si="12"/>
        <v>80225.505719618232</v>
      </c>
      <c r="G147" s="605">
        <f t="shared" si="17"/>
        <v>100</v>
      </c>
      <c r="H147" s="606">
        <f t="shared" si="18"/>
        <v>0.1</v>
      </c>
      <c r="I147" s="12">
        <f t="shared" si="4"/>
        <v>100.1</v>
      </c>
      <c r="J147" s="12" cm="1">
        <f t="array" ref="J147">SUMPRODUCT(C147:F147*91.25)</f>
        <v>8741273.0318515487</v>
      </c>
      <c r="K147" s="12">
        <f t="shared" si="5"/>
        <v>8976988.4099498428</v>
      </c>
      <c r="L147" s="12">
        <f t="shared" si="6"/>
        <v>-235715.37809829414</v>
      </c>
      <c r="M147" s="12">
        <f t="shared" si="7"/>
        <v>958348.12951797806</v>
      </c>
      <c r="N147" s="12">
        <f t="shared" si="8"/>
        <v>-1194063.5076162722</v>
      </c>
      <c r="O147" s="12">
        <f t="shared" si="10"/>
        <v>-30416608.478170231</v>
      </c>
    </row>
    <row r="148" spans="1:15" ht="13.5" thickBot="1">
      <c r="A148" s="548">
        <f t="shared" ca="1" si="19"/>
        <v>2028</v>
      </c>
      <c r="B148" s="548" t="str">
        <f t="shared" si="16"/>
        <v>Mar</v>
      </c>
      <c r="C148" s="604">
        <f>IF('DATA TABLES'!$C$45="Exclude Dec",IF(B148="Dec",0,IF(B148="Jan",C146*(1+'DATA TABLES'!$C$46),C147*(1+'DATA TABLES'!$C$46))),C147*(1+'DATA TABLES'!$C$46))</f>
        <v>6085.1377408223661</v>
      </c>
      <c r="D148" s="5">
        <f t="shared" si="9"/>
        <v>4217.4221966095602</v>
      </c>
      <c r="E148" s="5">
        <f t="shared" si="11"/>
        <v>5422.3999670694348</v>
      </c>
      <c r="F148" s="5">
        <f t="shared" si="12"/>
        <v>81314.507630385793</v>
      </c>
      <c r="G148" s="605">
        <f t="shared" si="17"/>
        <v>100</v>
      </c>
      <c r="H148" s="606">
        <f t="shared" si="18"/>
        <v>0.1</v>
      </c>
      <c r="I148" s="12">
        <f t="shared" si="4"/>
        <v>100.1</v>
      </c>
      <c r="J148" s="12" cm="1">
        <f t="array" ref="J148">SUMPRODUCT(C148:F148*91.25)</f>
        <v>8854851.4125584532</v>
      </c>
      <c r="K148" s="12">
        <f t="shared" si="5"/>
        <v>9095432.9794064797</v>
      </c>
      <c r="L148" s="12">
        <f t="shared" si="6"/>
        <v>-240581.56684802659</v>
      </c>
      <c r="M148" s="12">
        <f t="shared" si="7"/>
        <v>970795.07534887153</v>
      </c>
      <c r="N148" s="12">
        <f t="shared" si="8"/>
        <v>-1211376.6421968981</v>
      </c>
      <c r="O148" s="12">
        <f t="shared" si="10"/>
        <v>-31627985.120367128</v>
      </c>
    </row>
    <row r="149" spans="1:15" ht="13.5" thickBot="1">
      <c r="A149" s="548">
        <f t="shared" ca="1" si="19"/>
        <v>2028</v>
      </c>
      <c r="B149" s="548" t="str">
        <f t="shared" si="16"/>
        <v>Apr</v>
      </c>
      <c r="C149" s="604">
        <f>IF('DATA TABLES'!$C$45="Exclude Dec",IF(B149="Dec",0,IF(B149="Jan",C147*(1+'DATA TABLES'!$C$46),C148*(1+'DATA TABLES'!$C$46))),C148*(1+'DATA TABLES'!$C$46))</f>
        <v>6145.9891182305901</v>
      </c>
      <c r="D149" s="5">
        <f t="shared" si="9"/>
        <v>4259.5964185756557</v>
      </c>
      <c r="E149" s="5">
        <f t="shared" si="11"/>
        <v>5476.6239667401296</v>
      </c>
      <c r="F149" s="5">
        <f t="shared" si="12"/>
        <v>82400.062217582454</v>
      </c>
      <c r="G149" s="605">
        <f t="shared" si="17"/>
        <v>100</v>
      </c>
      <c r="H149" s="606">
        <f t="shared" si="18"/>
        <v>0.1</v>
      </c>
      <c r="I149" s="12">
        <f t="shared" si="4"/>
        <v>100.1</v>
      </c>
      <c r="J149" s="12" cm="1">
        <f t="array" ref="J149">SUMPRODUCT(C149:F149*91.25)</f>
        <v>8968257.2945530061</v>
      </c>
      <c r="K149" s="12">
        <f t="shared" si="5"/>
        <v>9213628.2602898236</v>
      </c>
      <c r="L149" s="12">
        <f t="shared" si="6"/>
        <v>-245370.96573681757</v>
      </c>
      <c r="M149" s="12">
        <f t="shared" si="7"/>
        <v>983223.11721128831</v>
      </c>
      <c r="N149" s="12">
        <f t="shared" si="8"/>
        <v>-1228594.0829481059</v>
      </c>
      <c r="O149" s="12">
        <f t="shared" si="10"/>
        <v>-32856579.203315236</v>
      </c>
    </row>
    <row r="150" spans="1:15" ht="13.5" thickBot="1">
      <c r="A150" s="548">
        <f t="shared" ca="1" si="19"/>
        <v>2028</v>
      </c>
      <c r="B150" s="548" t="str">
        <f t="shared" si="16"/>
        <v>May</v>
      </c>
      <c r="C150" s="604">
        <f>IF('DATA TABLES'!$C$45="Exclude Dec",IF(B150="Dec",0,IF(B150="Jan",C148*(1+'DATA TABLES'!$C$46),C149*(1+'DATA TABLES'!$C$46))),C149*(1+'DATA TABLES'!$C$46))</f>
        <v>6207.449009412896</v>
      </c>
      <c r="D150" s="5">
        <f t="shared" si="9"/>
        <v>4302.1923827614128</v>
      </c>
      <c r="E150" s="5">
        <f t="shared" si="11"/>
        <v>5531.390206407531</v>
      </c>
      <c r="F150" s="5">
        <f t="shared" si="12"/>
        <v>83482.85187510644</v>
      </c>
      <c r="G150" s="605">
        <f t="shared" si="17"/>
        <v>100</v>
      </c>
      <c r="H150" s="606">
        <f t="shared" si="18"/>
        <v>0.1</v>
      </c>
      <c r="I150" s="12">
        <f t="shared" si="4"/>
        <v>100.1</v>
      </c>
      <c r="J150" s="12" cm="1">
        <f t="array" ref="J150">SUMPRODUCT(C150:F150*91.25)</f>
        <v>9081554.3669740558</v>
      </c>
      <c r="K150" s="12">
        <f t="shared" si="5"/>
        <v>9331643.446427539</v>
      </c>
      <c r="L150" s="12">
        <f t="shared" si="6"/>
        <v>-250089.07945348322</v>
      </c>
      <c r="M150" s="12">
        <f t="shared" si="7"/>
        <v>995639.23473688273</v>
      </c>
      <c r="N150" s="12">
        <f t="shared" si="8"/>
        <v>-1245728.3141903658</v>
      </c>
      <c r="O150" s="12">
        <f t="shared" si="10"/>
        <v>-34102307.517505601</v>
      </c>
    </row>
    <row r="151" spans="1:15" ht="13.5" thickBot="1">
      <c r="A151" s="548">
        <f t="shared" ca="1" si="19"/>
        <v>2028</v>
      </c>
      <c r="B151" s="548" t="str">
        <f t="shared" si="16"/>
        <v>Jun</v>
      </c>
      <c r="C151" s="604">
        <f>IF('DATA TABLES'!$C$45="Exclude Dec",IF(B151="Dec",0,IF(B151="Jan",C149*(1+'DATA TABLES'!$C$46),C150*(1+'DATA TABLES'!$C$46))),C150*(1+'DATA TABLES'!$C$46))</f>
        <v>6269.523499507025</v>
      </c>
      <c r="D151" s="5">
        <f t="shared" si="9"/>
        <v>4345.2143065890268</v>
      </c>
      <c r="E151" s="5">
        <f t="shared" si="11"/>
        <v>5586.7041084716066</v>
      </c>
      <c r="F151" s="5">
        <f t="shared" si="12"/>
        <v>84563.529977438273</v>
      </c>
      <c r="G151" s="605">
        <f t="shared" si="17"/>
        <v>100</v>
      </c>
      <c r="H151" s="606">
        <f t="shared" si="18"/>
        <v>0.1</v>
      </c>
      <c r="I151" s="12">
        <f t="shared" si="4"/>
        <v>100.1</v>
      </c>
      <c r="J151" s="12" cm="1">
        <f t="array" ref="J151">SUMPRODUCT(C151:F151*91.25)</f>
        <v>9194803.685145542</v>
      </c>
      <c r="K151" s="12">
        <f t="shared" si="5"/>
        <v>9449544.8392498903</v>
      </c>
      <c r="L151" s="12">
        <f t="shared" si="6"/>
        <v>-254741.15410434827</v>
      </c>
      <c r="M151" s="12">
        <f t="shared" si="7"/>
        <v>1008050.1189200594</v>
      </c>
      <c r="N151" s="12">
        <f t="shared" si="8"/>
        <v>-1262791.2730244077</v>
      </c>
      <c r="O151" s="12">
        <f t="shared" si="10"/>
        <v>-35365098.790530011</v>
      </c>
    </row>
    <row r="152" spans="1:15" ht="13.5" thickBot="1">
      <c r="A152" s="548">
        <f t="shared" ca="1" si="19"/>
        <v>2028</v>
      </c>
      <c r="B152" s="548" t="str">
        <f t="shared" si="16"/>
        <v>Jul</v>
      </c>
      <c r="C152" s="604">
        <f>IF('DATA TABLES'!$C$45="Exclude Dec",IF(B152="Dec",0,IF(B152="Jan",C150*(1+'DATA TABLES'!$C$46),C151*(1+'DATA TABLES'!$C$46))),C151*(1+'DATA TABLES'!$C$46))</f>
        <v>6332.2187345020957</v>
      </c>
      <c r="D152" s="5">
        <f t="shared" si="9"/>
        <v>4388.6664496549174</v>
      </c>
      <c r="E152" s="5">
        <f t="shared" si="11"/>
        <v>5642.5711495563228</v>
      </c>
      <c r="F152" s="5">
        <f t="shared" si="12"/>
        <v>85642.722381614381</v>
      </c>
      <c r="G152" s="605">
        <f t="shared" si="17"/>
        <v>100</v>
      </c>
      <c r="H152" s="606">
        <f t="shared" si="18"/>
        <v>0.1</v>
      </c>
      <c r="I152" s="12">
        <f t="shared" si="4"/>
        <v>100.1</v>
      </c>
      <c r="J152" s="12" cm="1">
        <f t="array" ref="J152">SUMPRODUCT(C152:F152*91.25)</f>
        <v>9308063.8077736534</v>
      </c>
      <c r="K152" s="12">
        <f t="shared" si="5"/>
        <v>9567395.9980825614</v>
      </c>
      <c r="L152" s="12">
        <f t="shared" si="6"/>
        <v>-259332.190308908</v>
      </c>
      <c r="M152" s="12">
        <f t="shared" si="7"/>
        <v>1020462.1871532773</v>
      </c>
      <c r="N152" s="12">
        <f t="shared" si="8"/>
        <v>-1279794.3774621855</v>
      </c>
      <c r="O152" s="12">
        <f t="shared" si="10"/>
        <v>-36644893.167992197</v>
      </c>
    </row>
    <row r="153" spans="1:15" ht="13.5" thickBot="1">
      <c r="A153" s="548">
        <f t="shared" ca="1" si="19"/>
        <v>2028</v>
      </c>
      <c r="B153" s="548" t="str">
        <f t="shared" ref="B153:B184" si="20">B141</f>
        <v>Aug</v>
      </c>
      <c r="C153" s="604">
        <f>IF('DATA TABLES'!$C$45="Exclude Dec",IF(B153="Dec",0,IF(B153="Jan",C151*(1+'DATA TABLES'!$C$46),C152*(1+'DATA TABLES'!$C$46))),C152*(1+'DATA TABLES'!$C$46))</f>
        <v>6395.5409218471168</v>
      </c>
      <c r="D153" s="5">
        <f t="shared" si="9"/>
        <v>4432.5531141514666</v>
      </c>
      <c r="E153" s="5">
        <f t="shared" si="11"/>
        <v>5698.9968610518863</v>
      </c>
      <c r="F153" s="5">
        <f t="shared" si="12"/>
        <v>86721.028854612159</v>
      </c>
      <c r="G153" s="605">
        <f t="shared" si="17"/>
        <v>100</v>
      </c>
      <c r="H153" s="606">
        <f t="shared" si="18"/>
        <v>0.1</v>
      </c>
      <c r="I153" s="12">
        <f t="shared" si="4"/>
        <v>100.1</v>
      </c>
      <c r="J153" s="12" cm="1">
        <f t="array" ref="J153">SUMPRODUCT(C153:F153*91.25)</f>
        <v>9421390.9273392148</v>
      </c>
      <c r="K153" s="12">
        <f t="shared" si="5"/>
        <v>9685257.8829815518</v>
      </c>
      <c r="L153" s="12">
        <f t="shared" si="6"/>
        <v>-263866.95564233698</v>
      </c>
      <c r="M153" s="12">
        <f t="shared" si="7"/>
        <v>1032881.5975166262</v>
      </c>
      <c r="N153" s="12">
        <f t="shared" si="8"/>
        <v>-1296748.5531589631</v>
      </c>
      <c r="O153" s="12">
        <f t="shared" si="10"/>
        <v>-37941641.721151158</v>
      </c>
    </row>
    <row r="154" spans="1:15" ht="13.5" thickBot="1">
      <c r="A154" s="548">
        <f t="shared" ca="1" si="19"/>
        <v>2028</v>
      </c>
      <c r="B154" s="548" t="str">
        <f t="shared" si="20"/>
        <v>Sep</v>
      </c>
      <c r="C154" s="604">
        <f>IF('DATA TABLES'!$C$45="Exclude Dec",IF(B154="Dec",0,IF(B154="Jan",C152*(1+'DATA TABLES'!$C$46),C153*(1+'DATA TABLES'!$C$46))),C153*(1+'DATA TABLES'!$C$46))</f>
        <v>6459.4963310655876</v>
      </c>
      <c r="D154" s="5">
        <f t="shared" si="9"/>
        <v>4476.8786452929817</v>
      </c>
      <c r="E154" s="5">
        <f t="shared" si="11"/>
        <v>5755.9868296624054</v>
      </c>
      <c r="F154" s="5">
        <f t="shared" si="12"/>
        <v>87799.024429880839</v>
      </c>
      <c r="G154" s="605">
        <f t="shared" si="17"/>
        <v>100</v>
      </c>
      <c r="H154" s="606">
        <f t="shared" si="18"/>
        <v>0.1</v>
      </c>
      <c r="I154" s="12">
        <f t="shared" si="4"/>
        <v>100.1</v>
      </c>
      <c r="J154" s="12" cm="1">
        <f t="array" ref="J154">SUMPRODUCT(C154:F154*91.25)</f>
        <v>9534838.9940260407</v>
      </c>
      <c r="K154" s="12">
        <f t="shared" si="5"/>
        <v>9803188.990483623</v>
      </c>
      <c r="L154" s="12">
        <f t="shared" si="6"/>
        <v>-268349.99645758234</v>
      </c>
      <c r="M154" s="12">
        <f t="shared" si="7"/>
        <v>1045314.2623590181</v>
      </c>
      <c r="N154" s="12">
        <f t="shared" si="8"/>
        <v>-1313664.2588166003</v>
      </c>
      <c r="O154" s="12">
        <f t="shared" si="10"/>
        <v>-39255305.979967758</v>
      </c>
    </row>
    <row r="155" spans="1:15" ht="13.5" thickBot="1">
      <c r="A155" s="548">
        <f t="shared" ca="1" si="19"/>
        <v>2028</v>
      </c>
      <c r="B155" s="548" t="str">
        <f t="shared" si="20"/>
        <v>Oct</v>
      </c>
      <c r="C155" s="604">
        <f>IF('DATA TABLES'!$C$45="Exclude Dec",IF(B155="Dec",0,IF(B155="Jan",C153*(1+'DATA TABLES'!$C$46),C154*(1+'DATA TABLES'!$C$46))),C154*(1+'DATA TABLES'!$C$46))</f>
        <v>6524.0912943762432</v>
      </c>
      <c r="D155" s="5">
        <f t="shared" si="9"/>
        <v>4521.6474317459106</v>
      </c>
      <c r="E155" s="5">
        <f t="shared" si="11"/>
        <v>5813.5466979590292</v>
      </c>
      <c r="F155" s="5">
        <f t="shared" si="12"/>
        <v>88877.260696566082</v>
      </c>
      <c r="G155" s="605">
        <f t="shared" si="17"/>
        <v>110</v>
      </c>
      <c r="H155" s="606">
        <f t="shared" si="18"/>
        <v>0.1</v>
      </c>
      <c r="I155" s="12">
        <f t="shared" si="4"/>
        <v>110.1</v>
      </c>
      <c r="J155" s="12" cm="1">
        <f t="array" ref="J155">SUMPRODUCT(C155:F155*91.25)</f>
        <v>9648459.8335090633</v>
      </c>
      <c r="K155" s="12">
        <f t="shared" si="5"/>
        <v>9921245.4826271012</v>
      </c>
      <c r="L155" s="12">
        <f t="shared" si="6"/>
        <v>-272785.64911803789</v>
      </c>
      <c r="M155" s="12">
        <f t="shared" si="7"/>
        <v>1057805.8612064726</v>
      </c>
      <c r="N155" s="12">
        <f t="shared" si="8"/>
        <v>-1330591.5103245105</v>
      </c>
      <c r="O155" s="12">
        <f t="shared" si="10"/>
        <v>-40585897.490292266</v>
      </c>
    </row>
    <row r="156" spans="1:15" ht="13.5" thickBot="1">
      <c r="A156" s="548">
        <f t="shared" ca="1" si="19"/>
        <v>2028</v>
      </c>
      <c r="B156" s="548" t="str">
        <f t="shared" si="20"/>
        <v>Nov</v>
      </c>
      <c r="C156" s="604">
        <f>IF('DATA TABLES'!$C$45="Exclude Dec",IF(B156="Dec",0,IF(B156="Jan",C154*(1+'DATA TABLES'!$C$46),C155*(1+'DATA TABLES'!$C$46))),C155*(1+'DATA TABLES'!$C$46))</f>
        <v>6589.3322073200061</v>
      </c>
      <c r="D156" s="5">
        <f t="shared" si="9"/>
        <v>4566.8639060633695</v>
      </c>
      <c r="E156" s="5">
        <f t="shared" si="11"/>
        <v>5871.6821649386193</v>
      </c>
      <c r="F156" s="5">
        <f t="shared" si="12"/>
        <v>89956.267024798843</v>
      </c>
      <c r="G156" s="605">
        <f t="shared" si="17"/>
        <v>110</v>
      </c>
      <c r="H156" s="606">
        <f t="shared" si="18"/>
        <v>0.1</v>
      </c>
      <c r="I156" s="12">
        <f t="shared" si="4"/>
        <v>110.1</v>
      </c>
      <c r="J156" s="12" cm="1">
        <f t="array" ref="J156">SUMPRODUCT(C156:F156*91.25)</f>
        <v>9762303.2589097768</v>
      </c>
      <c r="K156" s="12">
        <f t="shared" si="5"/>
        <v>10039481.309580082</v>
      </c>
      <c r="L156" s="12">
        <f t="shared" si="6"/>
        <v>-277178.05067030527</v>
      </c>
      <c r="M156" s="12">
        <f t="shared" si="7"/>
        <v>1070281.8530312083</v>
      </c>
      <c r="N156" s="12">
        <f t="shared" si="8"/>
        <v>-1347459.9037015135</v>
      </c>
      <c r="O156" s="12">
        <f t="shared" si="10"/>
        <v>-41933357.39399378</v>
      </c>
    </row>
    <row r="157" spans="1:15" ht="13.5" thickBot="1">
      <c r="A157" s="548">
        <f t="shared" ca="1" si="19"/>
        <v>2028</v>
      </c>
      <c r="B157" s="548" t="str">
        <f t="shared" si="20"/>
        <v>Dec</v>
      </c>
      <c r="C157" s="604">
        <f>IF('DATA TABLES'!$C$45="Exclude Dec",IF(B157="Dec",0,IF(B157="Jan",C155*(1+'DATA TABLES'!$C$46),C156*(1+'DATA TABLES'!$C$46))),C156*(1+'DATA TABLES'!$C$46))</f>
        <v>6655.2255293932058</v>
      </c>
      <c r="D157" s="5">
        <f t="shared" si="9"/>
        <v>4612.5325451240042</v>
      </c>
      <c r="E157" s="5">
        <f t="shared" si="11"/>
        <v>5930.3989865880058</v>
      </c>
      <c r="F157" s="5">
        <f t="shared" si="12"/>
        <v>91036.55173025059</v>
      </c>
      <c r="G157" s="605">
        <f t="shared" si="17"/>
        <v>150</v>
      </c>
      <c r="H157" s="606">
        <f t="shared" si="18"/>
        <v>0.1</v>
      </c>
      <c r="I157" s="12">
        <f t="shared" si="4"/>
        <v>150.1</v>
      </c>
      <c r="J157" s="12" cm="1">
        <f t="array" ref="J157">SUMPRODUCT(C157:F157*91.25)</f>
        <v>9876417.1772112176</v>
      </c>
      <c r="K157" s="12">
        <f t="shared" si="5"/>
        <v>10157948.326196259</v>
      </c>
      <c r="L157" s="12">
        <f t="shared" si="6"/>
        <v>-281531.14898504131</v>
      </c>
      <c r="M157" s="12">
        <f t="shared" si="7"/>
        <v>1082947.487913558</v>
      </c>
      <c r="N157" s="12">
        <f t="shared" si="8"/>
        <v>-1364478.6368985993</v>
      </c>
      <c r="O157" s="12">
        <f t="shared" si="10"/>
        <v>-43297836.03089238</v>
      </c>
    </row>
    <row r="158" spans="1:15" ht="13.5" thickBot="1">
      <c r="A158" s="548">
        <f t="shared" ca="1" si="19"/>
        <v>2029</v>
      </c>
      <c r="B158" s="548" t="str">
        <f t="shared" si="20"/>
        <v>Jan</v>
      </c>
      <c r="C158" s="604">
        <f>IF('DATA TABLES'!$C$45="Exclude Dec",IF(B158="Dec",0,IF(B158="Jan",C156*(1+'DATA TABLES'!$C$46),C157*(1+'DATA TABLES'!$C$46))),C157*(1+'DATA TABLES'!$C$46))</f>
        <v>6721.7777846871377</v>
      </c>
      <c r="D158" s="5">
        <f t="shared" si="9"/>
        <v>4658.6578705752436</v>
      </c>
      <c r="E158" s="5">
        <f t="shared" si="11"/>
        <v>5989.7029764538856</v>
      </c>
      <c r="F158" s="5">
        <f t="shared" si="12"/>
        <v>92118.603180996652</v>
      </c>
      <c r="G158" s="605">
        <f t="shared" si="17"/>
        <v>100</v>
      </c>
      <c r="H158" s="606">
        <f t="shared" si="18"/>
        <v>0.1</v>
      </c>
      <c r="I158" s="12">
        <f t="shared" si="4"/>
        <v>100.1</v>
      </c>
      <c r="J158" s="12" cm="1">
        <f t="array" ref="J158">SUMPRODUCT(C158:F158*91.25)</f>
        <v>9990847.6904100534</v>
      </c>
      <c r="K158" s="12">
        <f t="shared" si="5"/>
        <v>10276696.402802577</v>
      </c>
      <c r="L158" s="12">
        <f t="shared" si="6"/>
        <v>-285848.71239252388</v>
      </c>
      <c r="M158" s="12">
        <f t="shared" si="7"/>
        <v>1095287.8181271292</v>
      </c>
      <c r="N158" s="12">
        <f t="shared" si="8"/>
        <v>-1381136.5305196531</v>
      </c>
      <c r="O158" s="12">
        <f t="shared" si="10"/>
        <v>-44678972.561412036</v>
      </c>
    </row>
    <row r="159" spans="1:15" ht="13.5" thickBot="1">
      <c r="A159" s="548">
        <f t="shared" ca="1" si="19"/>
        <v>2029</v>
      </c>
      <c r="B159" s="548" t="str">
        <f t="shared" si="20"/>
        <v>Feb</v>
      </c>
      <c r="C159" s="604">
        <f>IF('DATA TABLES'!$C$45="Exclude Dec",IF(B159="Dec",0,IF(B159="Jan",C157*(1+'DATA TABLES'!$C$46),C158*(1+'DATA TABLES'!$C$46))),C158*(1+'DATA TABLES'!$C$46))</f>
        <v>6788.995562534009</v>
      </c>
      <c r="D159" s="5">
        <f t="shared" si="9"/>
        <v>4705.2444492809964</v>
      </c>
      <c r="E159" s="5">
        <f t="shared" si="11"/>
        <v>6049.6000062184239</v>
      </c>
      <c r="F159" s="5">
        <f t="shared" si="12"/>
        <v>93202.890849578005</v>
      </c>
      <c r="G159" s="605">
        <f t="shared" si="17"/>
        <v>100</v>
      </c>
      <c r="H159" s="606">
        <f t="shared" si="18"/>
        <v>0.1</v>
      </c>
      <c r="I159" s="12">
        <f t="shared" si="4"/>
        <v>100.1</v>
      </c>
      <c r="J159" s="12" cm="1">
        <f t="array" ref="J159">SUMPRODUCT(C159:F159*91.25)</f>
        <v>10105639.191669544</v>
      </c>
      <c r="K159" s="12">
        <f t="shared" si="5"/>
        <v>10395773.530507743</v>
      </c>
      <c r="L159" s="12">
        <f t="shared" si="6"/>
        <v>-290134.33883819915</v>
      </c>
      <c r="M159" s="12">
        <f t="shared" si="7"/>
        <v>1107867.7086761142</v>
      </c>
      <c r="N159" s="12">
        <f t="shared" si="8"/>
        <v>-1398002.0475143134</v>
      </c>
      <c r="O159" s="12">
        <f t="shared" si="10"/>
        <v>-46076974.608926348</v>
      </c>
    </row>
    <row r="160" spans="1:15" ht="13.5" thickBot="1">
      <c r="A160" s="548">
        <f t="shared" ca="1" si="19"/>
        <v>2029</v>
      </c>
      <c r="B160" s="548" t="str">
        <f t="shared" si="20"/>
        <v>Mar</v>
      </c>
      <c r="C160" s="604">
        <f>IF('DATA TABLES'!$C$45="Exclude Dec",IF(B160="Dec",0,IF(B160="Jan",C158*(1+'DATA TABLES'!$C$46),C159*(1+'DATA TABLES'!$C$46))),C159*(1+'DATA TABLES'!$C$46))</f>
        <v>6856.885518159349</v>
      </c>
      <c r="D160" s="5">
        <f t="shared" si="9"/>
        <v>4752.296893773806</v>
      </c>
      <c r="E160" s="5">
        <f t="shared" si="11"/>
        <v>6110.096006280608</v>
      </c>
      <c r="F160" s="5">
        <f t="shared" si="12"/>
        <v>94289.866313006598</v>
      </c>
      <c r="G160" s="605">
        <f t="shared" si="17"/>
        <v>100</v>
      </c>
      <c r="H160" s="606">
        <f t="shared" si="18"/>
        <v>0.1</v>
      </c>
      <c r="I160" s="12">
        <f t="shared" si="4"/>
        <v>100.1</v>
      </c>
      <c r="J160" s="12" cm="1">
        <f t="array" ref="J160">SUMPRODUCT(C160:F160*91.25)</f>
        <v>10220834.456723858</v>
      </c>
      <c r="K160" s="12">
        <f t="shared" si="5"/>
        <v>10515225.921306102</v>
      </c>
      <c r="L160" s="12">
        <f t="shared" si="6"/>
        <v>-294391.46458224393</v>
      </c>
      <c r="M160" s="12">
        <f t="shared" si="7"/>
        <v>1120491.8473122034</v>
      </c>
      <c r="N160" s="12">
        <f t="shared" si="8"/>
        <v>-1414883.3118944473</v>
      </c>
      <c r="O160" s="12">
        <f t="shared" si="10"/>
        <v>-47491857.920820795</v>
      </c>
    </row>
    <row r="161" spans="1:15" ht="13.5" thickBot="1">
      <c r="A161" s="548">
        <f t="shared" ca="1" si="19"/>
        <v>2029</v>
      </c>
      <c r="B161" s="548" t="str">
        <f t="shared" si="20"/>
        <v>Apr</v>
      </c>
      <c r="C161" s="604">
        <f>IF('DATA TABLES'!$C$45="Exclude Dec",IF(B161="Dec",0,IF(B161="Jan",C159*(1+'DATA TABLES'!$C$46),C160*(1+'DATA TABLES'!$C$46))),C160*(1+'DATA TABLES'!$C$46))</f>
        <v>6925.4543733409428</v>
      </c>
      <c r="D161" s="5">
        <f t="shared" si="9"/>
        <v>4799.8198627115444</v>
      </c>
      <c r="E161" s="5">
        <f t="shared" si="11"/>
        <v>6171.1969663434138</v>
      </c>
      <c r="F161" s="5">
        <f t="shared" si="12"/>
        <v>95379.964203322845</v>
      </c>
      <c r="G161" s="605">
        <f t="shared" si="17"/>
        <v>100</v>
      </c>
      <c r="H161" s="606">
        <f t="shared" si="18"/>
        <v>0.1</v>
      </c>
      <c r="I161" s="12">
        <f t="shared" si="4"/>
        <v>100.1</v>
      </c>
      <c r="J161" s="12" cm="1">
        <f t="array" ref="J161">SUMPRODUCT(C161:F161*91.25)</f>
        <v>10336474.730771836</v>
      </c>
      <c r="K161" s="12">
        <f t="shared" si="5"/>
        <v>10635098.103237782</v>
      </c>
      <c r="L161" s="12">
        <f t="shared" si="6"/>
        <v>-298623.37246594578</v>
      </c>
      <c r="M161" s="12">
        <f t="shared" si="7"/>
        <v>1133164.7540571874</v>
      </c>
      <c r="N161" s="12">
        <f t="shared" si="8"/>
        <v>-1431788.1265231331</v>
      </c>
      <c r="O161" s="12">
        <f t="shared" si="10"/>
        <v>-48923646.047343925</v>
      </c>
    </row>
    <row r="162" spans="1:15" ht="13.5" thickBot="1">
      <c r="A162" s="548">
        <f t="shared" ca="1" si="19"/>
        <v>2029</v>
      </c>
      <c r="B162" s="548" t="str">
        <f t="shared" si="20"/>
        <v>May</v>
      </c>
      <c r="C162" s="604">
        <f>IF('DATA TABLES'!$C$45="Exclude Dec",IF(B162="Dec",0,IF(B162="Jan",C160*(1+'DATA TABLES'!$C$46),C161*(1+'DATA TABLES'!$C$46))),C161*(1+'DATA TABLES'!$C$46))</f>
        <v>6994.708917074352</v>
      </c>
      <c r="D162" s="5">
        <f t="shared" si="9"/>
        <v>4847.8180613386594</v>
      </c>
      <c r="E162" s="5">
        <f t="shared" si="11"/>
        <v>6232.9089360068483</v>
      </c>
      <c r="F162" s="5">
        <f t="shared" si="12"/>
        <v>96473.603111182936</v>
      </c>
      <c r="G162" s="605">
        <f t="shared" ref="G162:G193" si="21">INDEX($B$50:$M$50,,MATCH($B162,$B$49:$M$49,FALSE))</f>
        <v>100</v>
      </c>
      <c r="H162" s="606">
        <f t="shared" ref="H162:H193" si="22">VLOOKUP($C162,$C$60:$D$64,2,TRUE)</f>
        <v>0.1</v>
      </c>
      <c r="I162" s="12">
        <f t="shared" si="4"/>
        <v>100.1</v>
      </c>
      <c r="J162" s="12" cm="1">
        <f t="array" ref="J162">SUMPRODUCT(C162:F162*91.25)</f>
        <v>10452599.811086254</v>
      </c>
      <c r="K162" s="12">
        <f t="shared" si="5"/>
        <v>10755433.010852845</v>
      </c>
      <c r="L162" s="12">
        <f t="shared" si="6"/>
        <v>-302833.19976659119</v>
      </c>
      <c r="M162" s="12">
        <f t="shared" si="7"/>
        <v>1145890.7902560281</v>
      </c>
      <c r="N162" s="12">
        <f t="shared" si="8"/>
        <v>-1448723.9900226193</v>
      </c>
      <c r="O162" s="12">
        <f t="shared" si="10"/>
        <v>-50372370.037366547</v>
      </c>
    </row>
    <row r="163" spans="1:15" ht="13.5" thickBot="1">
      <c r="A163" s="548">
        <f t="shared" ca="1" si="19"/>
        <v>2029</v>
      </c>
      <c r="B163" s="548" t="str">
        <f t="shared" si="20"/>
        <v>Jun</v>
      </c>
      <c r="C163" s="604">
        <f>IF('DATA TABLES'!$C$45="Exclude Dec",IF(B163="Dec",0,IF(B163="Jan",C161*(1+'DATA TABLES'!$C$46),C162*(1+'DATA TABLES'!$C$46))),C162*(1+'DATA TABLES'!$C$46))</f>
        <v>7064.6560062450953</v>
      </c>
      <c r="D163" s="5">
        <f t="shared" si="9"/>
        <v>4896.2962419520463</v>
      </c>
      <c r="E163" s="5">
        <f t="shared" si="11"/>
        <v>6295.2380253669171</v>
      </c>
      <c r="F163" s="5">
        <f t="shared" si="12"/>
        <v>97571.186444830295</v>
      </c>
      <c r="G163" s="605">
        <f t="shared" si="21"/>
        <v>100</v>
      </c>
      <c r="H163" s="606">
        <f t="shared" si="22"/>
        <v>0.1</v>
      </c>
      <c r="I163" s="12">
        <f t="shared" ref="I163:I217" si="23">G163*1+H163</f>
        <v>100.1</v>
      </c>
      <c r="J163" s="12" cm="1">
        <f t="array" ref="J163">SUMPRODUCT(C163:F163*91.25)</f>
        <v>10569248.125553485</v>
      </c>
      <c r="K163" s="12">
        <f t="shared" ref="K163:K217" si="24">100*(D163+E163+F163)</f>
        <v>10876272.071214925</v>
      </c>
      <c r="L163" s="12">
        <f t="shared" ref="L163:L217" si="25">J163-K163</f>
        <v>-307023.94566144049</v>
      </c>
      <c r="M163" s="12">
        <f t="shared" ref="M163:M217" si="26">(I163*4)+(10*(C163+D163+E163+F163))</f>
        <v>1158674.1671839436</v>
      </c>
      <c r="N163" s="12">
        <f t="shared" ref="N163:N217" si="27">L163-M163</f>
        <v>-1465698.1128453841</v>
      </c>
      <c r="O163" s="12">
        <f t="shared" si="10"/>
        <v>-51838068.15021193</v>
      </c>
    </row>
    <row r="164" spans="1:15" ht="13.5" thickBot="1">
      <c r="A164" s="548">
        <f t="shared" ca="1" si="19"/>
        <v>2029</v>
      </c>
      <c r="B164" s="548" t="str">
        <f t="shared" si="20"/>
        <v>Jul</v>
      </c>
      <c r="C164" s="604">
        <f>IF('DATA TABLES'!$C$45="Exclude Dec",IF(B164="Dec",0,IF(B164="Jan",C162*(1+'DATA TABLES'!$C$46),C163*(1+'DATA TABLES'!$C$46))),C163*(1+'DATA TABLES'!$C$46))</f>
        <v>7135.3025663075459</v>
      </c>
      <c r="D164" s="5">
        <f t="shared" ref="D164:D217" si="28">C163*(1-30%)</f>
        <v>4945.2592043715667</v>
      </c>
      <c r="E164" s="5">
        <f t="shared" si="11"/>
        <v>6358.1904056205858</v>
      </c>
      <c r="F164" s="5">
        <f t="shared" si="12"/>
        <v>98673.103246687344</v>
      </c>
      <c r="G164" s="605">
        <f t="shared" si="21"/>
        <v>100</v>
      </c>
      <c r="H164" s="606">
        <f t="shared" si="22"/>
        <v>0.1</v>
      </c>
      <c r="I164" s="12">
        <f t="shared" si="23"/>
        <v>100.1</v>
      </c>
      <c r="J164" s="12" cm="1">
        <f t="array" ref="J164">SUMPRODUCT(C164:F164*91.25)</f>
        <v>10686456.807347568</v>
      </c>
      <c r="K164" s="12">
        <f t="shared" si="24"/>
        <v>10997655.28566795</v>
      </c>
      <c r="L164" s="12">
        <f t="shared" si="25"/>
        <v>-311198.47832038254</v>
      </c>
      <c r="M164" s="12">
        <f t="shared" si="26"/>
        <v>1171518.9542298703</v>
      </c>
      <c r="N164" s="12">
        <f t="shared" si="27"/>
        <v>-1482717.4325502529</v>
      </c>
      <c r="O164" s="12">
        <f t="shared" ref="O164:O217" si="29">O163+N164</f>
        <v>-53320785.582762182</v>
      </c>
    </row>
    <row r="165" spans="1:15" ht="13.5" thickBot="1">
      <c r="A165" s="548">
        <f t="shared" ca="1" si="19"/>
        <v>2029</v>
      </c>
      <c r="B165" s="548" t="str">
        <f t="shared" si="20"/>
        <v>Aug</v>
      </c>
      <c r="C165" s="604">
        <f>IF('DATA TABLES'!$C$45="Exclude Dec",IF(B165="Dec",0,IF(B165="Jan",C163*(1+'DATA TABLES'!$C$46),C164*(1+'DATA TABLES'!$C$46))),C164*(1+'DATA TABLES'!$C$46))</f>
        <v>7206.6555919706216</v>
      </c>
      <c r="D165" s="5">
        <f t="shared" si="28"/>
        <v>4994.7117964152822</v>
      </c>
      <c r="E165" s="5">
        <f t="shared" ref="E165:E217" si="30">C164*(1-10%)</f>
        <v>6421.7723096767913</v>
      </c>
      <c r="F165" s="5">
        <f t="shared" si="12"/>
        <v>99779.728969692529</v>
      </c>
      <c r="G165" s="605">
        <f t="shared" si="21"/>
        <v>100</v>
      </c>
      <c r="H165" s="606">
        <f t="shared" si="22"/>
        <v>0.1</v>
      </c>
      <c r="I165" s="12">
        <f t="shared" si="23"/>
        <v>100.1</v>
      </c>
      <c r="J165" s="12" cm="1">
        <f t="array" ref="J165">SUMPRODUCT(C165:F165*91.25)</f>
        <v>10804261.765932664</v>
      </c>
      <c r="K165" s="12">
        <f t="shared" si="24"/>
        <v>11119621.307578459</v>
      </c>
      <c r="L165" s="12">
        <f t="shared" si="25"/>
        <v>-315359.54164579511</v>
      </c>
      <c r="M165" s="12">
        <f t="shared" si="26"/>
        <v>1184429.0866775522</v>
      </c>
      <c r="N165" s="12">
        <f t="shared" si="27"/>
        <v>-1499788.6283233473</v>
      </c>
      <c r="O165" s="12">
        <f t="shared" si="29"/>
        <v>-54820574.211085528</v>
      </c>
    </row>
    <row r="166" spans="1:15" ht="13.5" thickBot="1">
      <c r="A166" s="548">
        <f t="shared" ca="1" si="19"/>
        <v>2029</v>
      </c>
      <c r="B166" s="548" t="str">
        <f t="shared" si="20"/>
        <v>Sep</v>
      </c>
      <c r="C166" s="604">
        <f>IF('DATA TABLES'!$C$45="Exclude Dec",IF(B166="Dec",0,IF(B166="Jan",C164*(1+'DATA TABLES'!$C$46),C165*(1+'DATA TABLES'!$C$46))),C165*(1+'DATA TABLES'!$C$46))</f>
        <v>7278.7221478903275</v>
      </c>
      <c r="D166" s="5">
        <f t="shared" si="28"/>
        <v>5044.6589143794345</v>
      </c>
      <c r="E166" s="5">
        <f t="shared" si="30"/>
        <v>6485.9900327735595</v>
      </c>
      <c r="F166" s="5">
        <f t="shared" ref="F166:F217" si="31">(E165+F165)*(1-5%)</f>
        <v>100891.42621540085</v>
      </c>
      <c r="G166" s="605">
        <f t="shared" si="21"/>
        <v>100</v>
      </c>
      <c r="H166" s="606">
        <f t="shared" si="22"/>
        <v>0.1</v>
      </c>
      <c r="I166" s="12">
        <f t="shared" si="23"/>
        <v>100.1</v>
      </c>
      <c r="J166" s="12" cm="1">
        <f t="array" ref="J166">SUMPRODUCT(C166:F166*91.25)</f>
        <v>10922697.75457803</v>
      </c>
      <c r="K166" s="12">
        <f t="shared" si="24"/>
        <v>11242207.516255384</v>
      </c>
      <c r="L166" s="12">
        <f t="shared" si="25"/>
        <v>-319509.76167735457</v>
      </c>
      <c r="M166" s="12">
        <f t="shared" si="26"/>
        <v>1197408.3731044417</v>
      </c>
      <c r="N166" s="12">
        <f t="shared" si="27"/>
        <v>-1516918.1347817963</v>
      </c>
      <c r="O166" s="12">
        <f t="shared" si="29"/>
        <v>-56337492.345867321</v>
      </c>
    </row>
    <row r="167" spans="1:15" ht="13.5" thickBot="1">
      <c r="A167" s="548">
        <f t="shared" ca="1" si="19"/>
        <v>2029</v>
      </c>
      <c r="B167" s="548" t="str">
        <f t="shared" si="20"/>
        <v>Oct</v>
      </c>
      <c r="C167" s="604">
        <f>IF('DATA TABLES'!$C$45="Exclude Dec",IF(B167="Dec",0,IF(B167="Jan",C165*(1+'DATA TABLES'!$C$46),C166*(1+'DATA TABLES'!$C$46))),C166*(1+'DATA TABLES'!$C$46))</f>
        <v>7351.5093693692306</v>
      </c>
      <c r="D167" s="5">
        <f t="shared" si="28"/>
        <v>5095.1055035232293</v>
      </c>
      <c r="E167" s="5">
        <f t="shared" si="30"/>
        <v>6550.8499331012945</v>
      </c>
      <c r="F167" s="5">
        <f t="shared" si="31"/>
        <v>102008.54543576569</v>
      </c>
      <c r="G167" s="605">
        <f t="shared" si="21"/>
        <v>110</v>
      </c>
      <c r="H167" s="606">
        <f t="shared" si="22"/>
        <v>0.1</v>
      </c>
      <c r="I167" s="12">
        <f t="shared" si="23"/>
        <v>110.1</v>
      </c>
      <c r="J167" s="12" cm="1">
        <f t="array" ref="J167">SUMPRODUCT(C167:F167*91.25)</f>
        <v>11041798.434560549</v>
      </c>
      <c r="K167" s="12">
        <f t="shared" si="24"/>
        <v>11365450.087239021</v>
      </c>
      <c r="L167" s="12">
        <f t="shared" si="25"/>
        <v>-323651.65267847292</v>
      </c>
      <c r="M167" s="12">
        <f t="shared" si="26"/>
        <v>1210500.5024175944</v>
      </c>
      <c r="N167" s="12">
        <f t="shared" si="27"/>
        <v>-1534152.1550960673</v>
      </c>
      <c r="O167" s="12">
        <f t="shared" si="29"/>
        <v>-57871644.50096339</v>
      </c>
    </row>
    <row r="168" spans="1:15" ht="13.5" thickBot="1">
      <c r="A168" s="548">
        <f t="shared" ca="1" si="19"/>
        <v>2029</v>
      </c>
      <c r="B168" s="548" t="str">
        <f t="shared" si="20"/>
        <v>Nov</v>
      </c>
      <c r="C168" s="604">
        <f>IF('DATA TABLES'!$C$45="Exclude Dec",IF(B168="Dec",0,IF(B168="Jan",C166*(1+'DATA TABLES'!$C$46),C167*(1+'DATA TABLES'!$C$46))),C167*(1+'DATA TABLES'!$C$46))</f>
        <v>7425.0244630629231</v>
      </c>
      <c r="D168" s="5">
        <f t="shared" si="28"/>
        <v>5146.0565585584609</v>
      </c>
      <c r="E168" s="5">
        <f t="shared" si="30"/>
        <v>6616.3584324323074</v>
      </c>
      <c r="F168" s="5">
        <f t="shared" si="31"/>
        <v>103131.42560042364</v>
      </c>
      <c r="G168" s="605">
        <f t="shared" si="21"/>
        <v>110</v>
      </c>
      <c r="H168" s="606">
        <f t="shared" si="22"/>
        <v>0.1</v>
      </c>
      <c r="I168" s="12">
        <f t="shared" si="23"/>
        <v>110.1</v>
      </c>
      <c r="J168" s="12" cm="1">
        <f t="array" ref="J168">SUMPRODUCT(C168:F168*91.25)</f>
        <v>11161596.436221056</v>
      </c>
      <c r="K168" s="12">
        <f t="shared" si="24"/>
        <v>11489384.05914144</v>
      </c>
      <c r="L168" s="12">
        <f t="shared" si="25"/>
        <v>-327787.62292038463</v>
      </c>
      <c r="M168" s="12">
        <f t="shared" si="26"/>
        <v>1223629.0505447732</v>
      </c>
      <c r="N168" s="12">
        <f t="shared" si="27"/>
        <v>-1551416.6734651579</v>
      </c>
      <c r="O168" s="12">
        <f t="shared" si="29"/>
        <v>-59423061.174428545</v>
      </c>
    </row>
    <row r="169" spans="1:15" ht="13.5" thickBot="1">
      <c r="A169" s="548">
        <f t="shared" ca="1" si="19"/>
        <v>2029</v>
      </c>
      <c r="B169" s="548" t="str">
        <f t="shared" si="20"/>
        <v>Dec</v>
      </c>
      <c r="C169" s="604">
        <f>IF('DATA TABLES'!$C$45="Exclude Dec",IF(B169="Dec",0,IF(B169="Jan",C167*(1+'DATA TABLES'!$C$46),C168*(1+'DATA TABLES'!$C$46))),C168*(1+'DATA TABLES'!$C$46))</f>
        <v>7499.274707693552</v>
      </c>
      <c r="D169" s="5">
        <f t="shared" si="28"/>
        <v>5197.5171241440457</v>
      </c>
      <c r="E169" s="5">
        <f t="shared" si="30"/>
        <v>6682.5220167566313</v>
      </c>
      <c r="F169" s="5">
        <f t="shared" si="31"/>
        <v>104260.39483121314</v>
      </c>
      <c r="G169" s="605">
        <f t="shared" si="21"/>
        <v>150</v>
      </c>
      <c r="H169" s="606">
        <f t="shared" si="22"/>
        <v>0.1</v>
      </c>
      <c r="I169" s="12">
        <f t="shared" si="23"/>
        <v>150.1</v>
      </c>
      <c r="J169" s="12" cm="1">
        <f t="array" ref="J169">SUMPRODUCT(C169:F169*91.25)</f>
        <v>11282123.417032421</v>
      </c>
      <c r="K169" s="12">
        <f t="shared" si="24"/>
        <v>11614043.397211382</v>
      </c>
      <c r="L169" s="12">
        <f t="shared" si="25"/>
        <v>-331919.98017896153</v>
      </c>
      <c r="M169" s="12">
        <f t="shared" si="26"/>
        <v>1236997.4867980736</v>
      </c>
      <c r="N169" s="12">
        <f t="shared" si="27"/>
        <v>-1568917.4669770352</v>
      </c>
      <c r="O169" s="12">
        <f t="shared" si="29"/>
        <v>-60991978.641405582</v>
      </c>
    </row>
    <row r="170" spans="1:15" ht="13.5" thickBot="1">
      <c r="A170" s="548">
        <f t="shared" ca="1" si="19"/>
        <v>2030</v>
      </c>
      <c r="B170" s="548" t="str">
        <f t="shared" si="20"/>
        <v>Jan</v>
      </c>
      <c r="C170" s="604">
        <f>IF('DATA TABLES'!$C$45="Exclude Dec",IF(B170="Dec",0,IF(B170="Jan",C168*(1+'DATA TABLES'!$C$46),C169*(1+'DATA TABLES'!$C$46))),C169*(1+'DATA TABLES'!$C$46))</f>
        <v>7574.2674547704873</v>
      </c>
      <c r="D170" s="5">
        <f t="shared" si="28"/>
        <v>5249.4922953854857</v>
      </c>
      <c r="E170" s="5">
        <f t="shared" si="30"/>
        <v>6749.3472369241972</v>
      </c>
      <c r="F170" s="5">
        <f t="shared" si="31"/>
        <v>105395.77100557128</v>
      </c>
      <c r="G170" s="605">
        <f t="shared" si="21"/>
        <v>100</v>
      </c>
      <c r="H170" s="606">
        <f t="shared" si="22"/>
        <v>0.1</v>
      </c>
      <c r="I170" s="12">
        <f t="shared" si="23"/>
        <v>100.1</v>
      </c>
      <c r="J170" s="12" cm="1">
        <f t="array" ref="J170">SUMPRODUCT(C170:F170*91.25)</f>
        <v>11403410.116829444</v>
      </c>
      <c r="K170" s="12">
        <f t="shared" si="24"/>
        <v>11739461.053788096</v>
      </c>
      <c r="L170" s="12">
        <f t="shared" si="25"/>
        <v>-336050.93695865199</v>
      </c>
      <c r="M170" s="12">
        <f t="shared" si="26"/>
        <v>1250089.1799265144</v>
      </c>
      <c r="N170" s="12">
        <f t="shared" si="27"/>
        <v>-1586140.1168851664</v>
      </c>
      <c r="O170" s="12">
        <f t="shared" si="29"/>
        <v>-62578118.758290745</v>
      </c>
    </row>
    <row r="171" spans="1:15" ht="13.5" thickBot="1">
      <c r="A171" s="548">
        <f t="shared" ca="1" si="19"/>
        <v>2030</v>
      </c>
      <c r="B171" s="548" t="str">
        <f t="shared" si="20"/>
        <v>Feb</v>
      </c>
      <c r="C171" s="604">
        <f>IF('DATA TABLES'!$C$45="Exclude Dec",IF(B171="Dec",0,IF(B171="Jan",C169*(1+'DATA TABLES'!$C$46),C170*(1+'DATA TABLES'!$C$46))),C170*(1+'DATA TABLES'!$C$46))</f>
        <v>7650.0101293181924</v>
      </c>
      <c r="D171" s="5">
        <f t="shared" si="28"/>
        <v>5301.9872183393409</v>
      </c>
      <c r="E171" s="5">
        <f t="shared" si="30"/>
        <v>6816.8407092934385</v>
      </c>
      <c r="F171" s="5">
        <f t="shared" si="31"/>
        <v>106537.8623303707</v>
      </c>
      <c r="G171" s="605">
        <f t="shared" si="21"/>
        <v>100</v>
      </c>
      <c r="H171" s="606">
        <f t="shared" si="22"/>
        <v>0.1</v>
      </c>
      <c r="I171" s="12">
        <f t="shared" si="23"/>
        <v>100.1</v>
      </c>
      <c r="J171" s="12" cm="1">
        <f t="array" ref="J171">SUMPRODUCT(C171:F171*91.25)</f>
        <v>11525486.410343101</v>
      </c>
      <c r="K171" s="12">
        <f t="shared" si="24"/>
        <v>11865669.025800347</v>
      </c>
      <c r="L171" s="12">
        <f t="shared" si="25"/>
        <v>-340182.61545724608</v>
      </c>
      <c r="M171" s="12">
        <f t="shared" si="26"/>
        <v>1263467.4038732166</v>
      </c>
      <c r="N171" s="12">
        <f t="shared" si="27"/>
        <v>-1603650.0193304627</v>
      </c>
      <c r="O171" s="12">
        <f t="shared" si="29"/>
        <v>-64181768.77762121</v>
      </c>
    </row>
    <row r="172" spans="1:15" ht="13.5" thickBot="1">
      <c r="A172" s="548">
        <f t="shared" ca="1" si="19"/>
        <v>2030</v>
      </c>
      <c r="B172" s="548" t="str">
        <f t="shared" si="20"/>
        <v>Mar</v>
      </c>
      <c r="C172" s="604">
        <f>IF('DATA TABLES'!$C$45="Exclude Dec",IF(B172="Dec",0,IF(B172="Jan",C170*(1+'DATA TABLES'!$C$46),C171*(1+'DATA TABLES'!$C$46))),C171*(1+'DATA TABLES'!$C$46))</f>
        <v>7726.510230611374</v>
      </c>
      <c r="D172" s="5">
        <f t="shared" si="28"/>
        <v>5355.007090522734</v>
      </c>
      <c r="E172" s="5">
        <f t="shared" si="30"/>
        <v>6885.0091163863735</v>
      </c>
      <c r="F172" s="5">
        <f t="shared" si="31"/>
        <v>107686.96788768092</v>
      </c>
      <c r="G172" s="605">
        <f t="shared" si="21"/>
        <v>100</v>
      </c>
      <c r="H172" s="606">
        <f t="shared" si="22"/>
        <v>0.1</v>
      </c>
      <c r="I172" s="12">
        <f t="shared" si="23"/>
        <v>100.1</v>
      </c>
      <c r="J172" s="12" cm="1">
        <f t="array" ref="J172">SUMPRODUCT(C172:F172*91.25)</f>
        <v>11648381.357174627</v>
      </c>
      <c r="K172" s="12">
        <f t="shared" si="24"/>
        <v>11992698.409459002</v>
      </c>
      <c r="L172" s="12">
        <f t="shared" si="25"/>
        <v>-344317.05228437483</v>
      </c>
      <c r="M172" s="12">
        <f t="shared" si="26"/>
        <v>1276935.3432520139</v>
      </c>
      <c r="N172" s="12">
        <f t="shared" si="27"/>
        <v>-1621252.3955363887</v>
      </c>
      <c r="O172" s="12">
        <f t="shared" si="29"/>
        <v>-65803021.173157595</v>
      </c>
    </row>
    <row r="173" spans="1:15" ht="13.5" thickBot="1">
      <c r="A173" s="548">
        <f t="shared" ca="1" si="19"/>
        <v>2030</v>
      </c>
      <c r="B173" s="548" t="str">
        <f t="shared" si="20"/>
        <v>Apr</v>
      </c>
      <c r="C173" s="604">
        <f>IF('DATA TABLES'!$C$45="Exclude Dec",IF(B173="Dec",0,IF(B173="Jan",C171*(1+'DATA TABLES'!$C$46),C172*(1+'DATA TABLES'!$C$46))),C172*(1+'DATA TABLES'!$C$46))</f>
        <v>7803.7753329174875</v>
      </c>
      <c r="D173" s="5">
        <f t="shared" si="28"/>
        <v>5408.5571614279615</v>
      </c>
      <c r="E173" s="5">
        <f t="shared" si="30"/>
        <v>6953.8592075502365</v>
      </c>
      <c r="F173" s="5">
        <f t="shared" si="31"/>
        <v>108843.37815386392</v>
      </c>
      <c r="G173" s="605">
        <f t="shared" si="21"/>
        <v>100</v>
      </c>
      <c r="H173" s="606">
        <f t="shared" si="22"/>
        <v>0.1</v>
      </c>
      <c r="I173" s="12">
        <f t="shared" si="23"/>
        <v>100.1</v>
      </c>
      <c r="J173" s="12" cm="1">
        <f t="array" ref="J173">SUMPRODUCT(C173:F173*91.25)</f>
        <v>11772123.249338064</v>
      </c>
      <c r="K173" s="12">
        <f t="shared" si="24"/>
        <v>12120579.452284211</v>
      </c>
      <c r="L173" s="12">
        <f t="shared" si="25"/>
        <v>-348456.20294614695</v>
      </c>
      <c r="M173" s="12">
        <f t="shared" si="26"/>
        <v>1290496.0985575959</v>
      </c>
      <c r="N173" s="12">
        <f t="shared" si="27"/>
        <v>-1638952.3015037428</v>
      </c>
      <c r="O173" s="12">
        <f t="shared" si="29"/>
        <v>-67441973.474661335</v>
      </c>
    </row>
    <row r="174" spans="1:15" ht="13.5" thickBot="1">
      <c r="A174" s="548">
        <f t="shared" ref="A174:A205" ca="1" si="32">A162+1</f>
        <v>2030</v>
      </c>
      <c r="B174" s="548" t="str">
        <f t="shared" si="20"/>
        <v>May</v>
      </c>
      <c r="C174" s="604">
        <f>IF('DATA TABLES'!$C$45="Exclude Dec",IF(B174="Dec",0,IF(B174="Jan",C172*(1+'DATA TABLES'!$C$46),C173*(1+'DATA TABLES'!$C$46))),C173*(1+'DATA TABLES'!$C$46))</f>
        <v>7881.8130862466624</v>
      </c>
      <c r="D174" s="5">
        <f t="shared" si="28"/>
        <v>5462.6427330422412</v>
      </c>
      <c r="E174" s="5">
        <f t="shared" si="30"/>
        <v>7023.397799625739</v>
      </c>
      <c r="F174" s="5">
        <f t="shared" si="31"/>
        <v>110007.37549334344</v>
      </c>
      <c r="G174" s="605">
        <f t="shared" si="21"/>
        <v>100</v>
      </c>
      <c r="H174" s="606">
        <f t="shared" si="22"/>
        <v>0.1</v>
      </c>
      <c r="I174" s="12">
        <f t="shared" si="23"/>
        <v>100.1</v>
      </c>
      <c r="J174" s="12" cm="1">
        <f t="array" ref="J174">SUMPRODUCT(C174:F174*91.25)</f>
        <v>11896739.65649355</v>
      </c>
      <c r="K174" s="12">
        <f t="shared" si="24"/>
        <v>12249341.602601141</v>
      </c>
      <c r="L174" s="12">
        <f t="shared" si="25"/>
        <v>-352601.94610759057</v>
      </c>
      <c r="M174" s="12">
        <f t="shared" si="26"/>
        <v>1304152.6911225808</v>
      </c>
      <c r="N174" s="12">
        <f t="shared" si="27"/>
        <v>-1656754.6372301714</v>
      </c>
      <c r="O174" s="12">
        <f t="shared" si="29"/>
        <v>-69098728.111891508</v>
      </c>
    </row>
    <row r="175" spans="1:15" ht="13.5" thickBot="1">
      <c r="A175" s="548">
        <f t="shared" ca="1" si="32"/>
        <v>2030</v>
      </c>
      <c r="B175" s="548" t="str">
        <f t="shared" si="20"/>
        <v>Jun</v>
      </c>
      <c r="C175" s="604">
        <f>IF('DATA TABLES'!$C$45="Exclude Dec",IF(B175="Dec",0,IF(B175="Jan",C173*(1+'DATA TABLES'!$C$46),C174*(1+'DATA TABLES'!$C$46))),C174*(1+'DATA TABLES'!$C$46))</f>
        <v>7960.6312171091295</v>
      </c>
      <c r="D175" s="5">
        <f t="shared" si="28"/>
        <v>5517.2691603726635</v>
      </c>
      <c r="E175" s="5">
        <f t="shared" si="30"/>
        <v>7093.6317776219967</v>
      </c>
      <c r="F175" s="5">
        <f t="shared" si="31"/>
        <v>111179.23462832072</v>
      </c>
      <c r="G175" s="605">
        <f t="shared" si="21"/>
        <v>100</v>
      </c>
      <c r="H175" s="606">
        <f t="shared" si="22"/>
        <v>0.1</v>
      </c>
      <c r="I175" s="12">
        <f t="shared" si="23"/>
        <v>100.1</v>
      </c>
      <c r="J175" s="12" cm="1">
        <f t="array" ref="J175">SUMPRODUCT(C175:F175*91.25)</f>
        <v>12022257.468987487</v>
      </c>
      <c r="K175" s="12">
        <f t="shared" si="24"/>
        <v>12379013.556631539</v>
      </c>
      <c r="L175" s="12">
        <f t="shared" si="25"/>
        <v>-356756.08764405176</v>
      </c>
      <c r="M175" s="12">
        <f t="shared" si="26"/>
        <v>1317908.067834245</v>
      </c>
      <c r="N175" s="12">
        <f t="shared" si="27"/>
        <v>-1674664.1554782968</v>
      </c>
      <c r="O175" s="12">
        <f t="shared" si="29"/>
        <v>-70773392.267369807</v>
      </c>
    </row>
    <row r="176" spans="1:15" ht="13.5" thickBot="1">
      <c r="A176" s="548">
        <f t="shared" ca="1" si="32"/>
        <v>2030</v>
      </c>
      <c r="B176" s="548" t="str">
        <f t="shared" si="20"/>
        <v>Jul</v>
      </c>
      <c r="C176" s="604">
        <f>IF('DATA TABLES'!$C$45="Exclude Dec",IF(B176="Dec",0,IF(B176="Jan",C174*(1+'DATA TABLES'!$C$46),C175*(1+'DATA TABLES'!$C$46))),C175*(1+'DATA TABLES'!$C$46))</f>
        <v>8040.2375292802208</v>
      </c>
      <c r="D176" s="5">
        <f t="shared" si="28"/>
        <v>5572.4418519763904</v>
      </c>
      <c r="E176" s="5">
        <f t="shared" si="30"/>
        <v>7164.5680953982164</v>
      </c>
      <c r="F176" s="5">
        <f t="shared" si="31"/>
        <v>112359.22308564557</v>
      </c>
      <c r="G176" s="605">
        <f t="shared" si="21"/>
        <v>100</v>
      </c>
      <c r="H176" s="606">
        <f t="shared" si="22"/>
        <v>0.1</v>
      </c>
      <c r="I176" s="12">
        <f t="shared" si="23"/>
        <v>100.1</v>
      </c>
      <c r="J176" s="12" cm="1">
        <f t="array" ref="J176">SUMPRODUCT(C176:F176*91.25)</f>
        <v>12148702.938809913</v>
      </c>
      <c r="K176" s="12">
        <f t="shared" si="24"/>
        <v>12509623.303302018</v>
      </c>
      <c r="L176" s="12">
        <f t="shared" si="25"/>
        <v>-360920.36449210532</v>
      </c>
      <c r="M176" s="12">
        <f t="shared" si="26"/>
        <v>1331765.105623004</v>
      </c>
      <c r="N176" s="12">
        <f t="shared" si="27"/>
        <v>-1692685.4701151093</v>
      </c>
      <c r="O176" s="12">
        <f t="shared" si="29"/>
        <v>-72466077.737484917</v>
      </c>
    </row>
    <row r="177" spans="1:15" ht="13.5" thickBot="1">
      <c r="A177" s="548">
        <f t="shared" ca="1" si="32"/>
        <v>2030</v>
      </c>
      <c r="B177" s="548" t="str">
        <f t="shared" si="20"/>
        <v>Aug</v>
      </c>
      <c r="C177" s="604">
        <f>IF('DATA TABLES'!$C$45="Exclude Dec",IF(B177="Dec",0,IF(B177="Jan",C175*(1+'DATA TABLES'!$C$46),C176*(1+'DATA TABLES'!$C$46))),C176*(1+'DATA TABLES'!$C$46))</f>
        <v>8120.6399045730232</v>
      </c>
      <c r="D177" s="5">
        <f t="shared" si="28"/>
        <v>5628.1662704961545</v>
      </c>
      <c r="E177" s="5">
        <f t="shared" si="30"/>
        <v>7236.2137763521987</v>
      </c>
      <c r="F177" s="5">
        <f t="shared" si="31"/>
        <v>113547.60162199161</v>
      </c>
      <c r="G177" s="605">
        <f t="shared" si="21"/>
        <v>100</v>
      </c>
      <c r="H177" s="606">
        <f t="shared" si="22"/>
        <v>0.1</v>
      </c>
      <c r="I177" s="12">
        <f t="shared" si="23"/>
        <v>100.1</v>
      </c>
      <c r="J177" s="12" cm="1">
        <f t="array" ref="J177">SUMPRODUCT(C177:F177*91.25)</f>
        <v>12276101.718573933</v>
      </c>
      <c r="K177" s="12">
        <f t="shared" si="24"/>
        <v>12641198.166883996</v>
      </c>
      <c r="L177" s="12">
        <f t="shared" si="25"/>
        <v>-365096.44831006229</v>
      </c>
      <c r="M177" s="12">
        <f t="shared" si="26"/>
        <v>1345726.6157341297</v>
      </c>
      <c r="N177" s="12">
        <f t="shared" si="27"/>
        <v>-1710823.064044192</v>
      </c>
      <c r="O177" s="12">
        <f t="shared" si="29"/>
        <v>-74176900.801529109</v>
      </c>
    </row>
    <row r="178" spans="1:15" ht="13.5" thickBot="1">
      <c r="A178" s="548">
        <f t="shared" ca="1" si="32"/>
        <v>2030</v>
      </c>
      <c r="B178" s="548" t="str">
        <f t="shared" si="20"/>
        <v>Sep</v>
      </c>
      <c r="C178" s="604">
        <f>IF('DATA TABLES'!$C$45="Exclude Dec",IF(B178="Dec",0,IF(B178="Jan",C176*(1+'DATA TABLES'!$C$46),C177*(1+'DATA TABLES'!$C$46))),C177*(1+'DATA TABLES'!$C$46))</f>
        <v>8201.8463036187532</v>
      </c>
      <c r="D178" s="5">
        <f t="shared" si="28"/>
        <v>5684.447933201116</v>
      </c>
      <c r="E178" s="5">
        <f t="shared" si="30"/>
        <v>7308.5759141157214</v>
      </c>
      <c r="F178" s="5">
        <f t="shared" si="31"/>
        <v>114744.62462842661</v>
      </c>
      <c r="G178" s="605">
        <f t="shared" si="21"/>
        <v>100</v>
      </c>
      <c r="H178" s="606">
        <f t="shared" si="22"/>
        <v>0.1</v>
      </c>
      <c r="I178" s="12">
        <f t="shared" si="23"/>
        <v>100.1</v>
      </c>
      <c r="J178" s="12" cm="1">
        <f t="array" ref="J178">SUMPRODUCT(C178:F178*91.25)</f>
        <v>12404478.8986168</v>
      </c>
      <c r="K178" s="12">
        <f t="shared" si="24"/>
        <v>12773764.847574346</v>
      </c>
      <c r="L178" s="12">
        <f t="shared" si="25"/>
        <v>-369285.94895754568</v>
      </c>
      <c r="M178" s="12">
        <f t="shared" si="26"/>
        <v>1359795.3477936219</v>
      </c>
      <c r="N178" s="12">
        <f t="shared" si="27"/>
        <v>-1729081.2967511676</v>
      </c>
      <c r="O178" s="12">
        <f t="shared" si="29"/>
        <v>-75905982.098280281</v>
      </c>
    </row>
    <row r="179" spans="1:15" ht="13.5" thickBot="1">
      <c r="A179" s="548">
        <f t="shared" ca="1" si="32"/>
        <v>2030</v>
      </c>
      <c r="B179" s="548" t="str">
        <f t="shared" si="20"/>
        <v>Oct</v>
      </c>
      <c r="C179" s="604">
        <f>IF('DATA TABLES'!$C$45="Exclude Dec",IF(B179="Dec",0,IF(B179="Jan",C177*(1+'DATA TABLES'!$C$46),C178*(1+'DATA TABLES'!$C$46))),C178*(1+'DATA TABLES'!$C$46))</f>
        <v>8283.8647666549405</v>
      </c>
      <c r="D179" s="5">
        <f t="shared" si="28"/>
        <v>5741.2924125331265</v>
      </c>
      <c r="E179" s="5">
        <f t="shared" si="30"/>
        <v>7381.6616732568782</v>
      </c>
      <c r="F179" s="5">
        <f t="shared" si="31"/>
        <v>115950.54051541521</v>
      </c>
      <c r="G179" s="605">
        <f t="shared" si="21"/>
        <v>110</v>
      </c>
      <c r="H179" s="606">
        <f t="shared" si="22"/>
        <v>0.1</v>
      </c>
      <c r="I179" s="12">
        <f t="shared" si="23"/>
        <v>110.1</v>
      </c>
      <c r="J179" s="12" cm="1">
        <f t="array" ref="J179">SUMPRODUCT(C179:F179*91.25)</f>
        <v>12533859.042317238</v>
      </c>
      <c r="K179" s="12">
        <f t="shared" si="24"/>
        <v>12907349.460120521</v>
      </c>
      <c r="L179" s="12">
        <f t="shared" si="25"/>
        <v>-373490.41780328378</v>
      </c>
      <c r="M179" s="12">
        <f t="shared" si="26"/>
        <v>1374013.9936786015</v>
      </c>
      <c r="N179" s="12">
        <f t="shared" si="27"/>
        <v>-1747504.4114818852</v>
      </c>
      <c r="O179" s="12">
        <f t="shared" si="29"/>
        <v>-77653486.509762168</v>
      </c>
    </row>
    <row r="180" spans="1:15" ht="13.5" thickBot="1">
      <c r="A180" s="548">
        <f t="shared" ca="1" si="32"/>
        <v>2030</v>
      </c>
      <c r="B180" s="548" t="str">
        <f t="shared" si="20"/>
        <v>Nov</v>
      </c>
      <c r="C180" s="604">
        <f>IF('DATA TABLES'!$C$45="Exclude Dec",IF(B180="Dec",0,IF(B180="Jan",C178*(1+'DATA TABLES'!$C$46),C179*(1+'DATA TABLES'!$C$46))),C179*(1+'DATA TABLES'!$C$46))</f>
        <v>8366.7034143214896</v>
      </c>
      <c r="D180" s="5">
        <f t="shared" si="28"/>
        <v>5798.7053366584578</v>
      </c>
      <c r="E180" s="5">
        <f t="shared" si="30"/>
        <v>7455.4782899894462</v>
      </c>
      <c r="F180" s="5">
        <f t="shared" si="31"/>
        <v>117165.59207923849</v>
      </c>
      <c r="G180" s="605">
        <f t="shared" si="21"/>
        <v>110</v>
      </c>
      <c r="H180" s="606">
        <f t="shared" si="22"/>
        <v>0.1</v>
      </c>
      <c r="I180" s="12">
        <f t="shared" si="23"/>
        <v>110.1</v>
      </c>
      <c r="J180" s="12" cm="1">
        <f t="array" ref="J180">SUMPRODUCT(C180:F180*91.25)</f>
        <v>12664266.21971897</v>
      </c>
      <c r="K180" s="12">
        <f t="shared" si="24"/>
        <v>13041977.570588639</v>
      </c>
      <c r="L180" s="12">
        <f t="shared" si="25"/>
        <v>-377711.35086966865</v>
      </c>
      <c r="M180" s="12">
        <f t="shared" si="26"/>
        <v>1388305.1912020789</v>
      </c>
      <c r="N180" s="12">
        <f t="shared" si="27"/>
        <v>-1766016.5420717476</v>
      </c>
      <c r="O180" s="12">
        <f t="shared" si="29"/>
        <v>-79419503.051833913</v>
      </c>
    </row>
    <row r="181" spans="1:15" ht="13.5" thickBot="1">
      <c r="A181" s="548">
        <f t="shared" ca="1" si="32"/>
        <v>2030</v>
      </c>
      <c r="B181" s="548" t="str">
        <f t="shared" si="20"/>
        <v>Dec</v>
      </c>
      <c r="C181" s="604">
        <f>IF('DATA TABLES'!$C$45="Exclude Dec",IF(B181="Dec",0,IF(B181="Jan",C179*(1+'DATA TABLES'!$C$46),C180*(1+'DATA TABLES'!$C$46))),C180*(1+'DATA TABLES'!$C$46))</f>
        <v>8450.3704484647042</v>
      </c>
      <c r="D181" s="5">
        <f t="shared" si="28"/>
        <v>5856.6923900250422</v>
      </c>
      <c r="E181" s="5">
        <f t="shared" si="30"/>
        <v>7530.0330728893405</v>
      </c>
      <c r="F181" s="5">
        <f t="shared" si="31"/>
        <v>118390.01685076654</v>
      </c>
      <c r="G181" s="605">
        <f t="shared" si="21"/>
        <v>150</v>
      </c>
      <c r="H181" s="606">
        <f t="shared" si="22"/>
        <v>0.1</v>
      </c>
      <c r="I181" s="12">
        <f t="shared" si="23"/>
        <v>150.1</v>
      </c>
      <c r="J181" s="12" cm="1">
        <f t="array" ref="J181">SUMPRODUCT(C181:F181*91.25)</f>
        <v>12795724.039545789</v>
      </c>
      <c r="K181" s="12">
        <f t="shared" si="24"/>
        <v>13177674.231368091</v>
      </c>
      <c r="L181" s="12">
        <f t="shared" si="25"/>
        <v>-381950.1918223016</v>
      </c>
      <c r="M181" s="12">
        <f t="shared" si="26"/>
        <v>1402871.5276214564</v>
      </c>
      <c r="N181" s="12">
        <f t="shared" si="27"/>
        <v>-1784821.719443758</v>
      </c>
      <c r="O181" s="12">
        <f t="shared" si="29"/>
        <v>-81204324.771277666</v>
      </c>
    </row>
    <row r="182" spans="1:15" ht="13.5" thickBot="1">
      <c r="A182" s="548">
        <f t="shared" ca="1" si="32"/>
        <v>2031</v>
      </c>
      <c r="B182" s="548" t="str">
        <f t="shared" si="20"/>
        <v>Jan</v>
      </c>
      <c r="C182" s="604">
        <f>IF('DATA TABLES'!$C$45="Exclude Dec",IF(B182="Dec",0,IF(B182="Jan",C180*(1+'DATA TABLES'!$C$46),C181*(1+'DATA TABLES'!$C$46))),C181*(1+'DATA TABLES'!$C$46))</f>
        <v>8534.8741529493509</v>
      </c>
      <c r="D182" s="5">
        <f t="shared" si="28"/>
        <v>5915.2593139252922</v>
      </c>
      <c r="E182" s="5">
        <f t="shared" si="30"/>
        <v>7605.3334036182341</v>
      </c>
      <c r="F182" s="5">
        <f t="shared" si="31"/>
        <v>119624.04742747308</v>
      </c>
      <c r="G182" s="605">
        <f t="shared" si="21"/>
        <v>100</v>
      </c>
      <c r="H182" s="606">
        <f t="shared" si="22"/>
        <v>0.1</v>
      </c>
      <c r="I182" s="12">
        <f t="shared" si="23"/>
        <v>100.1</v>
      </c>
      <c r="J182" s="12" cm="1">
        <f t="array" ref="J182">SUMPRODUCT(C182:F182*91.25)</f>
        <v>12928255.679689394</v>
      </c>
      <c r="K182" s="12">
        <f t="shared" si="24"/>
        <v>13314464.014501661</v>
      </c>
      <c r="L182" s="12">
        <f t="shared" si="25"/>
        <v>-386208.33481226675</v>
      </c>
      <c r="M182" s="12">
        <f t="shared" si="26"/>
        <v>1417195.5429796595</v>
      </c>
      <c r="N182" s="12">
        <f t="shared" si="27"/>
        <v>-1803403.8777919263</v>
      </c>
      <c r="O182" s="12">
        <f t="shared" si="29"/>
        <v>-83007728.649069592</v>
      </c>
    </row>
    <row r="183" spans="1:15" ht="13.5" thickBot="1">
      <c r="A183" s="548">
        <f t="shared" ca="1" si="32"/>
        <v>2031</v>
      </c>
      <c r="B183" s="548" t="str">
        <f t="shared" si="20"/>
        <v>Feb</v>
      </c>
      <c r="C183" s="604">
        <f>IF('DATA TABLES'!$C$45="Exclude Dec",IF(B183="Dec",0,IF(B183="Jan",C181*(1+'DATA TABLES'!$C$46),C182*(1+'DATA TABLES'!$C$46))),C182*(1+'DATA TABLES'!$C$46))</f>
        <v>8620.222894478844</v>
      </c>
      <c r="D183" s="5">
        <f t="shared" si="28"/>
        <v>5974.4119070645456</v>
      </c>
      <c r="E183" s="5">
        <f t="shared" si="30"/>
        <v>7681.3867376544158</v>
      </c>
      <c r="F183" s="5">
        <f t="shared" si="31"/>
        <v>120867.91178953674</v>
      </c>
      <c r="G183" s="605">
        <f t="shared" si="21"/>
        <v>100</v>
      </c>
      <c r="H183" s="606">
        <f t="shared" si="22"/>
        <v>0.1</v>
      </c>
      <c r="I183" s="12">
        <f t="shared" si="23"/>
        <v>100.1</v>
      </c>
      <c r="J183" s="12" cm="1">
        <f t="array" ref="J183">SUMPRODUCT(C183:F183*91.25)</f>
        <v>13061883.916247027</v>
      </c>
      <c r="K183" s="12">
        <f t="shared" si="24"/>
        <v>13452371.043425571</v>
      </c>
      <c r="L183" s="12">
        <f t="shared" si="25"/>
        <v>-390487.12717854418</v>
      </c>
      <c r="M183" s="12">
        <f t="shared" si="26"/>
        <v>1431839.7332873452</v>
      </c>
      <c r="N183" s="12">
        <f t="shared" si="27"/>
        <v>-1822326.8604658893</v>
      </c>
      <c r="O183" s="12">
        <f t="shared" si="29"/>
        <v>-84830055.509535477</v>
      </c>
    </row>
    <row r="184" spans="1:15" ht="13.5" thickBot="1">
      <c r="A184" s="548">
        <f t="shared" ca="1" si="32"/>
        <v>2031</v>
      </c>
      <c r="B184" s="548" t="str">
        <f t="shared" si="20"/>
        <v>Mar</v>
      </c>
      <c r="C184" s="604">
        <f>IF('DATA TABLES'!$C$45="Exclude Dec",IF(B184="Dec",0,IF(B184="Jan",C182*(1+'DATA TABLES'!$C$46),C183*(1+'DATA TABLES'!$C$46))),C183*(1+'DATA TABLES'!$C$46))</f>
        <v>8706.4251234236326</v>
      </c>
      <c r="D184" s="5">
        <f t="shared" si="28"/>
        <v>6034.1560261351906</v>
      </c>
      <c r="E184" s="5">
        <f t="shared" si="30"/>
        <v>7758.2006050309601</v>
      </c>
      <c r="F184" s="5">
        <f t="shared" si="31"/>
        <v>122121.8336008316</v>
      </c>
      <c r="G184" s="605">
        <f t="shared" si="21"/>
        <v>100</v>
      </c>
      <c r="H184" s="606">
        <f t="shared" si="22"/>
        <v>0.1</v>
      </c>
      <c r="I184" s="12">
        <f t="shared" si="23"/>
        <v>100.1</v>
      </c>
      <c r="J184" s="12" cm="1">
        <f t="array" ref="J184">SUMPRODUCT(C184:F184*91.25)</f>
        <v>13196631.151182201</v>
      </c>
      <c r="K184" s="12">
        <f t="shared" si="24"/>
        <v>13591419.023199774</v>
      </c>
      <c r="L184" s="12">
        <f t="shared" si="25"/>
        <v>-394787.87201757357</v>
      </c>
      <c r="M184" s="12">
        <f t="shared" si="26"/>
        <v>1446606.5535542136</v>
      </c>
      <c r="N184" s="12">
        <f t="shared" si="27"/>
        <v>-1841394.4255717872</v>
      </c>
      <c r="O184" s="12">
        <f t="shared" si="29"/>
        <v>-86671449.935107261</v>
      </c>
    </row>
    <row r="185" spans="1:15" ht="13.5" thickBot="1">
      <c r="A185" s="548">
        <f t="shared" ca="1" si="32"/>
        <v>2031</v>
      </c>
      <c r="B185" s="548" t="str">
        <f t="shared" ref="B185:B216" si="33">B173</f>
        <v>Apr</v>
      </c>
      <c r="C185" s="604">
        <f>IF('DATA TABLES'!$C$45="Exclude Dec",IF(B185="Dec",0,IF(B185="Jan",C183*(1+'DATA TABLES'!$C$46),C184*(1+'DATA TABLES'!$C$46))),C184*(1+'DATA TABLES'!$C$46))</f>
        <v>8793.4893746578691</v>
      </c>
      <c r="D185" s="5">
        <f t="shared" si="28"/>
        <v>6094.4975863965428</v>
      </c>
      <c r="E185" s="5">
        <f t="shared" si="30"/>
        <v>7835.7826110812694</v>
      </c>
      <c r="F185" s="5">
        <f t="shared" si="31"/>
        <v>123386.03249556942</v>
      </c>
      <c r="G185" s="605">
        <f t="shared" si="21"/>
        <v>100</v>
      </c>
      <c r="H185" s="606">
        <f t="shared" si="22"/>
        <v>0.1</v>
      </c>
      <c r="I185" s="12">
        <f t="shared" si="23"/>
        <v>100.1</v>
      </c>
      <c r="J185" s="12" cm="1">
        <f t="array" ref="J185">SUMPRODUCT(C185:F185*91.25)</f>
        <v>13332519.438678091</v>
      </c>
      <c r="K185" s="12">
        <f t="shared" si="24"/>
        <v>13731631.269304723</v>
      </c>
      <c r="L185" s="12">
        <f t="shared" si="25"/>
        <v>-399111.83062663116</v>
      </c>
      <c r="M185" s="12">
        <f t="shared" si="26"/>
        <v>1461498.4206770509</v>
      </c>
      <c r="N185" s="12">
        <f t="shared" si="27"/>
        <v>-1860610.2513036821</v>
      </c>
      <c r="O185" s="12">
        <f t="shared" si="29"/>
        <v>-88532060.186410949</v>
      </c>
    </row>
    <row r="186" spans="1:15" ht="13.5" thickBot="1">
      <c r="A186" s="548">
        <f t="shared" ca="1" si="32"/>
        <v>2031</v>
      </c>
      <c r="B186" s="548" t="str">
        <f t="shared" si="33"/>
        <v>May</v>
      </c>
      <c r="C186" s="604">
        <f>IF('DATA TABLES'!$C$45="Exclude Dec",IF(B186="Dec",0,IF(B186="Jan",C184*(1+'DATA TABLES'!$C$46),C185*(1+'DATA TABLES'!$C$46))),C185*(1+'DATA TABLES'!$C$46))</f>
        <v>8881.4242684044475</v>
      </c>
      <c r="D186" s="5">
        <f t="shared" si="28"/>
        <v>6155.4425622605077</v>
      </c>
      <c r="E186" s="5">
        <f t="shared" si="30"/>
        <v>7914.1404371920826</v>
      </c>
      <c r="F186" s="5">
        <f t="shared" si="31"/>
        <v>124660.72435131816</v>
      </c>
      <c r="G186" s="605">
        <f t="shared" si="21"/>
        <v>100</v>
      </c>
      <c r="H186" s="606">
        <f t="shared" si="22"/>
        <v>0.1</v>
      </c>
      <c r="I186" s="12">
        <f t="shared" si="23"/>
        <v>100.1</v>
      </c>
      <c r="J186" s="12" cm="1">
        <f t="array" ref="J186">SUMPRODUCT(C186:F186*91.25)</f>
        <v>13469570.510249738</v>
      </c>
      <c r="K186" s="12">
        <f t="shared" si="24"/>
        <v>13873030.735077074</v>
      </c>
      <c r="L186" s="12">
        <f t="shared" si="25"/>
        <v>-403460.22482733615</v>
      </c>
      <c r="M186" s="12">
        <f t="shared" si="26"/>
        <v>1476517.7161917519</v>
      </c>
      <c r="N186" s="12">
        <f t="shared" si="27"/>
        <v>-1879977.941019088</v>
      </c>
      <c r="O186" s="12">
        <f t="shared" si="29"/>
        <v>-90412038.127430037</v>
      </c>
    </row>
    <row r="187" spans="1:15" ht="13.5" thickBot="1">
      <c r="A187" s="548">
        <f t="shared" ca="1" si="32"/>
        <v>2031</v>
      </c>
      <c r="B187" s="548" t="str">
        <f t="shared" si="33"/>
        <v>Jun</v>
      </c>
      <c r="C187" s="604">
        <f>IF('DATA TABLES'!$C$45="Exclude Dec",IF(B187="Dec",0,IF(B187="Jan",C185*(1+'DATA TABLES'!$C$46),C186*(1+'DATA TABLES'!$C$46))),C186*(1+'DATA TABLES'!$C$46))</f>
        <v>8970.2385110884916</v>
      </c>
      <c r="D187" s="5">
        <f t="shared" si="28"/>
        <v>6216.9969878831125</v>
      </c>
      <c r="E187" s="5">
        <f t="shared" si="30"/>
        <v>7993.2818415640031</v>
      </c>
      <c r="F187" s="5">
        <f t="shared" si="31"/>
        <v>125946.12154908474</v>
      </c>
      <c r="G187" s="605">
        <f t="shared" si="21"/>
        <v>100</v>
      </c>
      <c r="H187" s="606">
        <f t="shared" si="22"/>
        <v>0.1</v>
      </c>
      <c r="I187" s="12">
        <f t="shared" si="23"/>
        <v>100.1</v>
      </c>
      <c r="J187" s="12" cm="1">
        <f t="array" ref="J187">SUMPRODUCT(C187:F187*91.25)</f>
        <v>13607805.798677858</v>
      </c>
      <c r="K187" s="12">
        <f t="shared" si="24"/>
        <v>14015640.037853187</v>
      </c>
      <c r="L187" s="12">
        <f t="shared" si="25"/>
        <v>-407834.23917532898</v>
      </c>
      <c r="M187" s="12">
        <f t="shared" si="26"/>
        <v>1491666.7888962033</v>
      </c>
      <c r="N187" s="12">
        <f t="shared" si="27"/>
        <v>-1899501.0280715323</v>
      </c>
      <c r="O187" s="12">
        <f t="shared" si="29"/>
        <v>-92311539.155501574</v>
      </c>
    </row>
    <row r="188" spans="1:15" ht="13.5" thickBot="1">
      <c r="A188" s="548">
        <f t="shared" ca="1" si="32"/>
        <v>2031</v>
      </c>
      <c r="B188" s="548" t="str">
        <f t="shared" si="33"/>
        <v>Jul</v>
      </c>
      <c r="C188" s="604">
        <f>IF('DATA TABLES'!$C$45="Exclude Dec",IF(B188="Dec",0,IF(B188="Jan",C186*(1+'DATA TABLES'!$C$46),C187*(1+'DATA TABLES'!$C$46))),C187*(1+'DATA TABLES'!$C$46))</f>
        <v>9059.9408961993759</v>
      </c>
      <c r="D188" s="5">
        <f t="shared" si="28"/>
        <v>6279.1669577619441</v>
      </c>
      <c r="E188" s="5">
        <f t="shared" si="30"/>
        <v>8073.2146599796424</v>
      </c>
      <c r="F188" s="5">
        <f t="shared" si="31"/>
        <v>127242.4332211163</v>
      </c>
      <c r="G188" s="605">
        <f t="shared" si="21"/>
        <v>100</v>
      </c>
      <c r="H188" s="606">
        <f t="shared" si="22"/>
        <v>0.1</v>
      </c>
      <c r="I188" s="12">
        <f t="shared" si="23"/>
        <v>100.1</v>
      </c>
      <c r="J188" s="12" cm="1">
        <f t="array" ref="J188">SUMPRODUCT(C188:F188*91.25)</f>
        <v>13747246.460823976</v>
      </c>
      <c r="K188" s="12">
        <f t="shared" si="24"/>
        <v>14159481.483885789</v>
      </c>
      <c r="L188" s="12">
        <f t="shared" si="25"/>
        <v>-412235.02306181379</v>
      </c>
      <c r="M188" s="12">
        <f t="shared" si="26"/>
        <v>1506947.9573505726</v>
      </c>
      <c r="N188" s="12">
        <f t="shared" si="27"/>
        <v>-1919182.9804123864</v>
      </c>
      <c r="O188" s="12">
        <f t="shared" si="29"/>
        <v>-94230722.135913968</v>
      </c>
    </row>
    <row r="189" spans="1:15" ht="13.5" thickBot="1">
      <c r="A189" s="548">
        <f t="shared" ca="1" si="32"/>
        <v>2031</v>
      </c>
      <c r="B189" s="548" t="str">
        <f t="shared" si="33"/>
        <v>Aug</v>
      </c>
      <c r="C189" s="604">
        <f>IF('DATA TABLES'!$C$45="Exclude Dec",IF(B189="Dec",0,IF(B189="Jan",C187*(1+'DATA TABLES'!$C$46),C188*(1+'DATA TABLES'!$C$46))),C188*(1+'DATA TABLES'!$C$46))</f>
        <v>9150.5403051613703</v>
      </c>
      <c r="D189" s="5">
        <f t="shared" si="28"/>
        <v>6341.9586273395626</v>
      </c>
      <c r="E189" s="5">
        <f t="shared" si="30"/>
        <v>8153.9468065794381</v>
      </c>
      <c r="F189" s="5">
        <f t="shared" si="31"/>
        <v>128549.86548704114</v>
      </c>
      <c r="G189" s="605">
        <f t="shared" si="21"/>
        <v>100</v>
      </c>
      <c r="H189" s="606">
        <f t="shared" si="22"/>
        <v>0.1</v>
      </c>
      <c r="I189" s="12">
        <f t="shared" si="23"/>
        <v>100.1</v>
      </c>
      <c r="J189" s="12" cm="1">
        <f t="array" ref="J189">SUMPRODUCT(C189:F189*91.25)</f>
        <v>13887913.39938359</v>
      </c>
      <c r="K189" s="12">
        <f t="shared" si="24"/>
        <v>14304577.092096014</v>
      </c>
      <c r="L189" s="12">
        <f t="shared" si="25"/>
        <v>-416663.69271242432</v>
      </c>
      <c r="M189" s="12">
        <f t="shared" si="26"/>
        <v>1522363.5122612149</v>
      </c>
      <c r="N189" s="12">
        <f t="shared" si="27"/>
        <v>-1939027.2049736392</v>
      </c>
      <c r="O189" s="12">
        <f t="shared" si="29"/>
        <v>-96169749.340887606</v>
      </c>
    </row>
    <row r="190" spans="1:15" ht="13.5" thickBot="1">
      <c r="A190" s="548">
        <f t="shared" ca="1" si="32"/>
        <v>2031</v>
      </c>
      <c r="B190" s="548" t="str">
        <f t="shared" si="33"/>
        <v>Sep</v>
      </c>
      <c r="C190" s="604">
        <f>IF('DATA TABLES'!$C$45="Exclude Dec",IF(B190="Dec",0,IF(B190="Jan",C188*(1+'DATA TABLES'!$C$46),C189*(1+'DATA TABLES'!$C$46))),C189*(1+'DATA TABLES'!$C$46))</f>
        <v>9242.0457082129833</v>
      </c>
      <c r="D190" s="5">
        <f t="shared" si="28"/>
        <v>6405.3782136129585</v>
      </c>
      <c r="E190" s="5">
        <f t="shared" si="30"/>
        <v>8235.4862746452327</v>
      </c>
      <c r="F190" s="5">
        <f t="shared" si="31"/>
        <v>129868.62167893954</v>
      </c>
      <c r="G190" s="605">
        <f t="shared" si="21"/>
        <v>100</v>
      </c>
      <c r="H190" s="606">
        <f t="shared" si="22"/>
        <v>0.1</v>
      </c>
      <c r="I190" s="12">
        <f t="shared" si="23"/>
        <v>100.1</v>
      </c>
      <c r="J190" s="12" cm="1">
        <f t="array" ref="J190">SUMPRODUCT(C190:F190*91.25)</f>
        <v>14029827.283631228</v>
      </c>
      <c r="K190" s="12">
        <f t="shared" si="24"/>
        <v>14450948.616719773</v>
      </c>
      <c r="L190" s="12">
        <f t="shared" si="25"/>
        <v>-421121.33308854513</v>
      </c>
      <c r="M190" s="12">
        <f t="shared" si="26"/>
        <v>1537915.7187541069</v>
      </c>
      <c r="N190" s="12">
        <f t="shared" si="27"/>
        <v>-1959037.051842652</v>
      </c>
      <c r="O190" s="12">
        <f t="shared" si="29"/>
        <v>-98128786.392730251</v>
      </c>
    </row>
    <row r="191" spans="1:15" ht="13.5" thickBot="1">
      <c r="A191" s="548">
        <f t="shared" ca="1" si="32"/>
        <v>2031</v>
      </c>
      <c r="B191" s="548" t="str">
        <f t="shared" si="33"/>
        <v>Oct</v>
      </c>
      <c r="C191" s="604">
        <f>IF('DATA TABLES'!$C$45="Exclude Dec",IF(B191="Dec",0,IF(B191="Jan",C189*(1+'DATA TABLES'!$C$46),C190*(1+'DATA TABLES'!$C$46))),C190*(1+'DATA TABLES'!$C$46))</f>
        <v>9334.4661652951127</v>
      </c>
      <c r="D191" s="5">
        <f t="shared" si="28"/>
        <v>6469.4319957490879</v>
      </c>
      <c r="E191" s="5">
        <f t="shared" si="30"/>
        <v>8317.8411373916861</v>
      </c>
      <c r="F191" s="5">
        <f t="shared" si="31"/>
        <v>131198.90255590554</v>
      </c>
      <c r="G191" s="605">
        <f t="shared" si="21"/>
        <v>110</v>
      </c>
      <c r="H191" s="606">
        <f t="shared" si="22"/>
        <v>0.1</v>
      </c>
      <c r="I191" s="12">
        <f t="shared" si="23"/>
        <v>110.1</v>
      </c>
      <c r="J191" s="12" cm="1">
        <f t="array" ref="J191">SUMPRODUCT(C191:F191*91.25)</f>
        <v>14173008.569208656</v>
      </c>
      <c r="K191" s="12">
        <f t="shared" si="24"/>
        <v>14598617.568904633</v>
      </c>
      <c r="L191" s="12">
        <f t="shared" si="25"/>
        <v>-425608.9996959772</v>
      </c>
      <c r="M191" s="12">
        <f t="shared" si="26"/>
        <v>1553646.8185434141</v>
      </c>
      <c r="N191" s="12">
        <f t="shared" si="27"/>
        <v>-1979255.8182393913</v>
      </c>
      <c r="O191" s="12">
        <f t="shared" si="29"/>
        <v>-100108042.21096964</v>
      </c>
    </row>
    <row r="192" spans="1:15" ht="13.5" thickBot="1">
      <c r="A192" s="548">
        <f t="shared" ca="1" si="32"/>
        <v>2031</v>
      </c>
      <c r="B192" s="548" t="str">
        <f t="shared" si="33"/>
        <v>Nov</v>
      </c>
      <c r="C192" s="604">
        <f>IF('DATA TABLES'!$C$45="Exclude Dec",IF(B192="Dec",0,IF(B192="Jan",C190*(1+'DATA TABLES'!$C$46),C191*(1+'DATA TABLES'!$C$46))),C191*(1+'DATA TABLES'!$C$46))</f>
        <v>9427.8108269480635</v>
      </c>
      <c r="D192" s="5">
        <f t="shared" si="28"/>
        <v>6534.1263157065787</v>
      </c>
      <c r="E192" s="5">
        <f t="shared" si="30"/>
        <v>8401.0195487656019</v>
      </c>
      <c r="F192" s="5">
        <f t="shared" si="31"/>
        <v>132540.90650863235</v>
      </c>
      <c r="G192" s="605">
        <f t="shared" si="21"/>
        <v>110</v>
      </c>
      <c r="H192" s="606">
        <f t="shared" si="22"/>
        <v>0.1</v>
      </c>
      <c r="I192" s="12">
        <f t="shared" si="23"/>
        <v>110.1</v>
      </c>
      <c r="J192" s="12" cm="1">
        <f t="array" ref="J192">SUMPRODUCT(C192:F192*91.25)</f>
        <v>14317477.517004799</v>
      </c>
      <c r="K192" s="12">
        <f t="shared" si="24"/>
        <v>14747605.237310452</v>
      </c>
      <c r="L192" s="12">
        <f t="shared" si="25"/>
        <v>-430127.72030565329</v>
      </c>
      <c r="M192" s="12">
        <f t="shared" si="26"/>
        <v>1569479.0320005259</v>
      </c>
      <c r="N192" s="12">
        <f t="shared" si="27"/>
        <v>-1999606.7523061791</v>
      </c>
      <c r="O192" s="12">
        <f t="shared" si="29"/>
        <v>-102107648.96327582</v>
      </c>
    </row>
    <row r="193" spans="1:15" ht="13.5" thickBot="1">
      <c r="A193" s="548">
        <f t="shared" ca="1" si="32"/>
        <v>2031</v>
      </c>
      <c r="B193" s="548" t="str">
        <f t="shared" si="33"/>
        <v>Dec</v>
      </c>
      <c r="C193" s="604">
        <f>IF('DATA TABLES'!$C$45="Exclude Dec",IF(B193="Dec",0,IF(B193="Jan",C191*(1+'DATA TABLES'!$C$46),C192*(1+'DATA TABLES'!$C$46))),C192*(1+'DATA TABLES'!$C$46))</f>
        <v>9522.0889352175436</v>
      </c>
      <c r="D193" s="5">
        <f t="shared" si="28"/>
        <v>6599.4675788636441</v>
      </c>
      <c r="E193" s="5">
        <f t="shared" si="30"/>
        <v>8485.0297442532574</v>
      </c>
      <c r="F193" s="5">
        <f t="shared" si="31"/>
        <v>133894.82975452807</v>
      </c>
      <c r="G193" s="605">
        <f t="shared" si="21"/>
        <v>150</v>
      </c>
      <c r="H193" s="606">
        <f t="shared" si="22"/>
        <v>0.1</v>
      </c>
      <c r="I193" s="12">
        <f t="shared" si="23"/>
        <v>150.1</v>
      </c>
      <c r="J193" s="12" cm="1">
        <f t="array" ref="J193">SUMPRODUCT(C193:F193*91.25)</f>
        <v>14463254.211173704</v>
      </c>
      <c r="K193" s="12">
        <f t="shared" si="24"/>
        <v>14897932.707764497</v>
      </c>
      <c r="L193" s="12">
        <f t="shared" si="25"/>
        <v>-434678.49659079313</v>
      </c>
      <c r="M193" s="12">
        <f t="shared" si="26"/>
        <v>1585614.560128625</v>
      </c>
      <c r="N193" s="12">
        <f t="shared" si="27"/>
        <v>-2020293.0567194181</v>
      </c>
      <c r="O193" s="12">
        <f t="shared" si="29"/>
        <v>-104127942.01999524</v>
      </c>
    </row>
    <row r="194" spans="1:15" ht="13.5" thickBot="1">
      <c r="A194" s="548">
        <f t="shared" ca="1" si="32"/>
        <v>2032</v>
      </c>
      <c r="B194" s="548" t="str">
        <f t="shared" si="33"/>
        <v>Jan</v>
      </c>
      <c r="C194" s="604">
        <f>IF('DATA TABLES'!$C$45="Exclude Dec",IF(B194="Dec",0,IF(B194="Jan",C192*(1+'DATA TABLES'!$C$46),C193*(1+'DATA TABLES'!$C$46))),C193*(1+'DATA TABLES'!$C$46))</f>
        <v>9617.3098245697183</v>
      </c>
      <c r="D194" s="5">
        <f t="shared" si="28"/>
        <v>6665.4622546522805</v>
      </c>
      <c r="E194" s="5">
        <f t="shared" si="30"/>
        <v>8569.8800416957893</v>
      </c>
      <c r="F194" s="5">
        <f t="shared" si="31"/>
        <v>135260.86652384224</v>
      </c>
      <c r="G194" s="605">
        <f t="shared" ref="G194:G217" si="34">INDEX($B$50:$M$50,,MATCH($B194,$B$49:$M$49,FALSE))</f>
        <v>100</v>
      </c>
      <c r="H194" s="606">
        <f t="shared" ref="H194:H217" si="35">VLOOKUP($C194,$C$60:$D$64,2,TRUE)</f>
        <v>0.1</v>
      </c>
      <c r="I194" s="12">
        <f t="shared" si="23"/>
        <v>100.1</v>
      </c>
      <c r="J194" s="12" cm="1">
        <f t="array" ref="J194">SUMPRODUCT(C194:F194*91.25)</f>
        <v>14610358.576334354</v>
      </c>
      <c r="K194" s="12">
        <f t="shared" si="24"/>
        <v>15049620.882019032</v>
      </c>
      <c r="L194" s="12">
        <f t="shared" si="25"/>
        <v>-439262.30568467826</v>
      </c>
      <c r="M194" s="12">
        <f t="shared" si="26"/>
        <v>1601535.5864476</v>
      </c>
      <c r="N194" s="12">
        <f t="shared" si="27"/>
        <v>-2040797.8921322783</v>
      </c>
      <c r="O194" s="12">
        <f t="shared" si="29"/>
        <v>-106168739.91212752</v>
      </c>
    </row>
    <row r="195" spans="1:15" ht="13.5" thickBot="1">
      <c r="A195" s="548">
        <f t="shared" ca="1" si="32"/>
        <v>2032</v>
      </c>
      <c r="B195" s="548" t="str">
        <f t="shared" si="33"/>
        <v>Feb</v>
      </c>
      <c r="C195" s="604">
        <f>IF('DATA TABLES'!$C$45="Exclude Dec",IF(B195="Dec",0,IF(B195="Jan",C193*(1+'DATA TABLES'!$C$46),C194*(1+'DATA TABLES'!$C$46))),C194*(1+'DATA TABLES'!$C$46))</f>
        <v>9713.4829228154158</v>
      </c>
      <c r="D195" s="5">
        <f t="shared" si="28"/>
        <v>6732.1168771988023</v>
      </c>
      <c r="E195" s="5">
        <f t="shared" si="30"/>
        <v>8655.5788421127472</v>
      </c>
      <c r="F195" s="5">
        <f t="shared" si="31"/>
        <v>136639.20923726112</v>
      </c>
      <c r="G195" s="605">
        <f t="shared" si="34"/>
        <v>100</v>
      </c>
      <c r="H195" s="606">
        <f t="shared" si="35"/>
        <v>0.1</v>
      </c>
      <c r="I195" s="12">
        <f t="shared" si="23"/>
        <v>100.1</v>
      </c>
      <c r="J195" s="12" cm="1">
        <f t="array" ref="J195">SUMPRODUCT(C195:F195*91.25)</f>
        <v>14758810.393994162</v>
      </c>
      <c r="K195" s="12">
        <f t="shared" si="24"/>
        <v>15202690.495657265</v>
      </c>
      <c r="L195" s="12">
        <f t="shared" si="25"/>
        <v>-443880.10166310333</v>
      </c>
      <c r="M195" s="12">
        <f t="shared" si="26"/>
        <v>1617804.2787938807</v>
      </c>
      <c r="N195" s="12">
        <f t="shared" si="27"/>
        <v>-2061684.380456984</v>
      </c>
      <c r="O195" s="12">
        <f t="shared" si="29"/>
        <v>-108230424.29258451</v>
      </c>
    </row>
    <row r="196" spans="1:15" ht="13.5" thickBot="1">
      <c r="A196" s="548">
        <f t="shared" ca="1" si="32"/>
        <v>2032</v>
      </c>
      <c r="B196" s="548" t="str">
        <f t="shared" si="33"/>
        <v>Mar</v>
      </c>
      <c r="C196" s="604">
        <f>IF('DATA TABLES'!$C$45="Exclude Dec",IF(B196="Dec",0,IF(B196="Jan",C194*(1+'DATA TABLES'!$C$46),C195*(1+'DATA TABLES'!$C$46))),C195*(1+'DATA TABLES'!$C$46))</f>
        <v>9810.6177520435704</v>
      </c>
      <c r="D196" s="5">
        <f t="shared" si="28"/>
        <v>6799.4380459707909</v>
      </c>
      <c r="E196" s="5">
        <f t="shared" si="30"/>
        <v>8742.1346305338739</v>
      </c>
      <c r="F196" s="5">
        <f t="shared" si="31"/>
        <v>138030.04867540515</v>
      </c>
      <c r="G196" s="605">
        <f t="shared" si="34"/>
        <v>100</v>
      </c>
      <c r="H196" s="606">
        <f t="shared" si="35"/>
        <v>0.1</v>
      </c>
      <c r="I196" s="12">
        <f t="shared" si="23"/>
        <v>100.1</v>
      </c>
      <c r="J196" s="12" cm="1">
        <f t="array" ref="J196">SUMPRODUCT(C196:F196*91.25)</f>
        <v>14908629.318235748</v>
      </c>
      <c r="K196" s="12">
        <f t="shared" si="24"/>
        <v>15357162.135190982</v>
      </c>
      <c r="L196" s="12">
        <f t="shared" si="25"/>
        <v>-448532.81695523486</v>
      </c>
      <c r="M196" s="12">
        <f t="shared" si="26"/>
        <v>1634222.7910395337</v>
      </c>
      <c r="N196" s="12">
        <f t="shared" si="27"/>
        <v>-2082755.6079947685</v>
      </c>
      <c r="O196" s="12">
        <f t="shared" si="29"/>
        <v>-110313179.90057927</v>
      </c>
    </row>
    <row r="197" spans="1:15" ht="13.5" thickBot="1">
      <c r="A197" s="548">
        <f t="shared" ca="1" si="32"/>
        <v>2032</v>
      </c>
      <c r="B197" s="548" t="str">
        <f t="shared" si="33"/>
        <v>Apr</v>
      </c>
      <c r="C197" s="604">
        <f>IF('DATA TABLES'!$C$45="Exclude Dec",IF(B197="Dec",0,IF(B197="Jan",C195*(1+'DATA TABLES'!$C$46),C196*(1+'DATA TABLES'!$C$46))),C196*(1+'DATA TABLES'!$C$46))</f>
        <v>9908.7239295640065</v>
      </c>
      <c r="D197" s="5">
        <f t="shared" si="28"/>
        <v>6867.4324264304987</v>
      </c>
      <c r="E197" s="5">
        <f t="shared" si="30"/>
        <v>8829.5559768392141</v>
      </c>
      <c r="F197" s="5">
        <f t="shared" si="31"/>
        <v>139433.57414064207</v>
      </c>
      <c r="G197" s="605">
        <f t="shared" si="34"/>
        <v>100</v>
      </c>
      <c r="H197" s="606">
        <f t="shared" si="35"/>
        <v>0.1</v>
      </c>
      <c r="I197" s="12">
        <f t="shared" si="23"/>
        <v>100.1</v>
      </c>
      <c r="J197" s="12" cm="1">
        <f t="array" ref="J197">SUMPRODUCT(C197:F197*91.25)</f>
        <v>15059834.890704665</v>
      </c>
      <c r="K197" s="12">
        <f t="shared" si="24"/>
        <v>15513056.254391177</v>
      </c>
      <c r="L197" s="12">
        <f t="shared" si="25"/>
        <v>-453221.36368651129</v>
      </c>
      <c r="M197" s="12">
        <f t="shared" si="26"/>
        <v>1650793.2647347581</v>
      </c>
      <c r="N197" s="12">
        <f t="shared" si="27"/>
        <v>-2104014.6284212694</v>
      </c>
      <c r="O197" s="12">
        <f t="shared" si="29"/>
        <v>-112417194.52900055</v>
      </c>
    </row>
    <row r="198" spans="1:15" ht="13.5" thickBot="1">
      <c r="A198" s="548">
        <f t="shared" ca="1" si="32"/>
        <v>2032</v>
      </c>
      <c r="B198" s="548" t="str">
        <f t="shared" si="33"/>
        <v>May</v>
      </c>
      <c r="C198" s="604">
        <f>IF('DATA TABLES'!$C$45="Exclude Dec",IF(B198="Dec",0,IF(B198="Jan",C196*(1+'DATA TABLES'!$C$46),C197*(1+'DATA TABLES'!$C$46))),C197*(1+'DATA TABLES'!$C$46))</f>
        <v>10007.811168859647</v>
      </c>
      <c r="D198" s="5">
        <f t="shared" si="28"/>
        <v>6936.1067506948038</v>
      </c>
      <c r="E198" s="5">
        <f t="shared" si="30"/>
        <v>8917.8515366076062</v>
      </c>
      <c r="F198" s="5">
        <f t="shared" si="31"/>
        <v>140849.97361160722</v>
      </c>
      <c r="G198" s="605">
        <f t="shared" si="34"/>
        <v>100</v>
      </c>
      <c r="H198" s="606">
        <f t="shared" si="35"/>
        <v>0.2</v>
      </c>
      <c r="I198" s="12">
        <f t="shared" si="23"/>
        <v>100.2</v>
      </c>
      <c r="J198" s="12" cm="1">
        <f t="array" ref="J198">SUMPRODUCT(C198:F198*91.25)</f>
        <v>15212446.554933947</v>
      </c>
      <c r="K198" s="12">
        <f t="shared" si="24"/>
        <v>15670393.189890962</v>
      </c>
      <c r="L198" s="12">
        <f t="shared" si="25"/>
        <v>-457946.63495701551</v>
      </c>
      <c r="M198" s="12">
        <f t="shared" si="26"/>
        <v>1667518.2306776929</v>
      </c>
      <c r="N198" s="12">
        <f t="shared" si="27"/>
        <v>-2125464.8656347087</v>
      </c>
      <c r="O198" s="12">
        <f t="shared" si="29"/>
        <v>-114542659.39463526</v>
      </c>
    </row>
    <row r="199" spans="1:15" ht="13.5" thickBot="1">
      <c r="A199" s="548">
        <f t="shared" ca="1" si="32"/>
        <v>2032</v>
      </c>
      <c r="B199" s="548" t="str">
        <f t="shared" si="33"/>
        <v>Jun</v>
      </c>
      <c r="C199" s="604">
        <f>IF('DATA TABLES'!$C$45="Exclude Dec",IF(B199="Dec",0,IF(B199="Jan",C197*(1+'DATA TABLES'!$C$46),C198*(1+'DATA TABLES'!$C$46))),C198*(1+'DATA TABLES'!$C$46))</f>
        <v>10107.889280548245</v>
      </c>
      <c r="D199" s="5">
        <f t="shared" si="28"/>
        <v>7005.4678182017524</v>
      </c>
      <c r="E199" s="5">
        <f t="shared" si="30"/>
        <v>9007.0300519736829</v>
      </c>
      <c r="F199" s="5">
        <f t="shared" si="31"/>
        <v>142279.43389080407</v>
      </c>
      <c r="G199" s="605">
        <f t="shared" si="34"/>
        <v>100</v>
      </c>
      <c r="H199" s="606">
        <f t="shared" si="35"/>
        <v>0.2</v>
      </c>
      <c r="I199" s="12">
        <f t="shared" si="23"/>
        <v>100.2</v>
      </c>
      <c r="J199" s="12" cm="1">
        <f t="array" ref="J199">SUMPRODUCT(C199:F199*91.25)</f>
        <v>15366483.670039406</v>
      </c>
      <c r="K199" s="12">
        <f t="shared" si="24"/>
        <v>15829193.17609795</v>
      </c>
      <c r="L199" s="12">
        <f t="shared" si="25"/>
        <v>-462709.50605854392</v>
      </c>
      <c r="M199" s="12">
        <f t="shared" si="26"/>
        <v>1684399.0104152777</v>
      </c>
      <c r="N199" s="12">
        <f t="shared" si="27"/>
        <v>-2147108.5164738214</v>
      </c>
      <c r="O199" s="12">
        <f t="shared" si="29"/>
        <v>-116689767.91110907</v>
      </c>
    </row>
    <row r="200" spans="1:15" ht="13.5" thickBot="1">
      <c r="A200" s="548">
        <f t="shared" ca="1" si="32"/>
        <v>2032</v>
      </c>
      <c r="B200" s="548" t="str">
        <f t="shared" si="33"/>
        <v>Jul</v>
      </c>
      <c r="C200" s="604">
        <f>IF('DATA TABLES'!$C$45="Exclude Dec",IF(B200="Dec",0,IF(B200="Jan",C198*(1+'DATA TABLES'!$C$46),C199*(1+'DATA TABLES'!$C$46))),C199*(1+'DATA TABLES'!$C$46))</f>
        <v>10208.968173353727</v>
      </c>
      <c r="D200" s="5">
        <f t="shared" si="28"/>
        <v>7075.5224963837709</v>
      </c>
      <c r="E200" s="5">
        <f t="shared" si="30"/>
        <v>9097.1003524934204</v>
      </c>
      <c r="F200" s="5">
        <f t="shared" si="31"/>
        <v>143722.14074563884</v>
      </c>
      <c r="G200" s="605">
        <f t="shared" si="34"/>
        <v>100</v>
      </c>
      <c r="H200" s="606">
        <f t="shared" si="35"/>
        <v>0.2</v>
      </c>
      <c r="I200" s="12">
        <f t="shared" si="23"/>
        <v>100.2</v>
      </c>
      <c r="J200" s="12" cm="1">
        <f t="array" ref="J200">SUMPRODUCT(C200:F200*91.25)</f>
        <v>15521965.523818117</v>
      </c>
      <c r="K200" s="12">
        <f t="shared" si="24"/>
        <v>15989476.359451603</v>
      </c>
      <c r="L200" s="12">
        <f t="shared" si="25"/>
        <v>-467510.83563348651</v>
      </c>
      <c r="M200" s="12">
        <f t="shared" si="26"/>
        <v>1701438.1176786977</v>
      </c>
      <c r="N200" s="12">
        <f t="shared" si="27"/>
        <v>-2168948.9533121842</v>
      </c>
      <c r="O200" s="12">
        <f t="shared" si="29"/>
        <v>-118858716.86442126</v>
      </c>
    </row>
    <row r="201" spans="1:15" ht="13.5" thickBot="1">
      <c r="A201" s="548">
        <f t="shared" ca="1" si="32"/>
        <v>2032</v>
      </c>
      <c r="B201" s="548" t="str">
        <f t="shared" si="33"/>
        <v>Aug</v>
      </c>
      <c r="C201" s="604">
        <f>IF('DATA TABLES'!$C$45="Exclude Dec",IF(B201="Dec",0,IF(B201="Jan",C199*(1+'DATA TABLES'!$C$46),C200*(1+'DATA TABLES'!$C$46))),C200*(1+'DATA TABLES'!$C$46))</f>
        <v>10311.057855087265</v>
      </c>
      <c r="D201" s="5">
        <f t="shared" si="28"/>
        <v>7146.2777213476083</v>
      </c>
      <c r="E201" s="5">
        <f t="shared" si="30"/>
        <v>9188.071356018354</v>
      </c>
      <c r="F201" s="5">
        <f t="shared" si="31"/>
        <v>145178.27904322566</v>
      </c>
      <c r="G201" s="605">
        <f t="shared" si="34"/>
        <v>100</v>
      </c>
      <c r="H201" s="606">
        <f t="shared" si="35"/>
        <v>0.2</v>
      </c>
      <c r="I201" s="12">
        <f t="shared" si="23"/>
        <v>100.2</v>
      </c>
      <c r="J201" s="12" cm="1">
        <f t="array" ref="J201">SUMPRODUCT(C201:F201*91.25)</f>
        <v>15678911.345280699</v>
      </c>
      <c r="K201" s="12">
        <f t="shared" si="24"/>
        <v>16151262.812059164</v>
      </c>
      <c r="L201" s="12">
        <f t="shared" si="25"/>
        <v>-472351.46677846462</v>
      </c>
      <c r="M201" s="12">
        <f t="shared" si="26"/>
        <v>1718637.6597567888</v>
      </c>
      <c r="N201" s="12">
        <f t="shared" si="27"/>
        <v>-2190989.1265352536</v>
      </c>
      <c r="O201" s="12">
        <f t="shared" si="29"/>
        <v>-121049705.99095652</v>
      </c>
    </row>
    <row r="202" spans="1:15" ht="13.5" thickBot="1">
      <c r="A202" s="548">
        <f t="shared" ca="1" si="32"/>
        <v>2032</v>
      </c>
      <c r="B202" s="548" t="str">
        <f t="shared" si="33"/>
        <v>Sep</v>
      </c>
      <c r="C202" s="604">
        <f>IF('DATA TABLES'!$C$45="Exclude Dec",IF(B202="Dec",0,IF(B202="Jan",C200*(1+'DATA TABLES'!$C$46),C201*(1+'DATA TABLES'!$C$46))),C201*(1+'DATA TABLES'!$C$46))</f>
        <v>10414.168433638139</v>
      </c>
      <c r="D202" s="5">
        <f t="shared" si="28"/>
        <v>7217.7404985610847</v>
      </c>
      <c r="E202" s="5">
        <f t="shared" si="30"/>
        <v>9279.9520695785395</v>
      </c>
      <c r="F202" s="5">
        <f t="shared" si="31"/>
        <v>146648.03287928182</v>
      </c>
      <c r="G202" s="605">
        <f t="shared" si="34"/>
        <v>100</v>
      </c>
      <c r="H202" s="606">
        <f t="shared" si="35"/>
        <v>0.2</v>
      </c>
      <c r="I202" s="12">
        <f t="shared" si="23"/>
        <v>100.2</v>
      </c>
      <c r="J202" s="12" cm="1">
        <f t="array" ref="J202">SUMPRODUCT(C202:F202*91.25)</f>
        <v>15837340.316646688</v>
      </c>
      <c r="K202" s="12">
        <f t="shared" si="24"/>
        <v>16314572.544742143</v>
      </c>
      <c r="L202" s="12">
        <f t="shared" si="25"/>
        <v>-477232.2280954551</v>
      </c>
      <c r="M202" s="12">
        <f t="shared" si="26"/>
        <v>1735999.7388105958</v>
      </c>
      <c r="N202" s="12">
        <f t="shared" si="27"/>
        <v>-2213231.9669060512</v>
      </c>
      <c r="O202" s="12">
        <f t="shared" si="29"/>
        <v>-123262937.95786257</v>
      </c>
    </row>
    <row r="203" spans="1:15" ht="13.5" thickBot="1">
      <c r="A203" s="548">
        <f t="shared" ca="1" si="32"/>
        <v>2032</v>
      </c>
      <c r="B203" s="548" t="str">
        <f t="shared" si="33"/>
        <v>Oct</v>
      </c>
      <c r="C203" s="604">
        <f>IF('DATA TABLES'!$C$45="Exclude Dec",IF(B203="Dec",0,IF(B203="Jan",C201*(1+'DATA TABLES'!$C$46),C202*(1+'DATA TABLES'!$C$46))),C202*(1+'DATA TABLES'!$C$46))</f>
        <v>10518.310117974521</v>
      </c>
      <c r="D203" s="5">
        <f t="shared" si="28"/>
        <v>7289.9179035466968</v>
      </c>
      <c r="E203" s="5">
        <f t="shared" si="30"/>
        <v>9372.7515902743253</v>
      </c>
      <c r="F203" s="5">
        <f t="shared" si="31"/>
        <v>148131.58570141735</v>
      </c>
      <c r="G203" s="605">
        <f t="shared" si="34"/>
        <v>110</v>
      </c>
      <c r="H203" s="606">
        <f t="shared" si="35"/>
        <v>0.2</v>
      </c>
      <c r="I203" s="12">
        <f t="shared" si="23"/>
        <v>110.2</v>
      </c>
      <c r="J203" s="12" cm="1">
        <f t="array" ref="J203">SUMPRODUCT(C203:F203*91.25)</f>
        <v>15997271.584830677</v>
      </c>
      <c r="K203" s="12">
        <f t="shared" si="24"/>
        <v>16479425.519523837</v>
      </c>
      <c r="L203" s="12">
        <f t="shared" si="25"/>
        <v>-482153.93469315954</v>
      </c>
      <c r="M203" s="12">
        <f t="shared" si="26"/>
        <v>1753566.453132129</v>
      </c>
      <c r="N203" s="12">
        <f t="shared" si="27"/>
        <v>-2235720.3878252888</v>
      </c>
      <c r="O203" s="12">
        <f t="shared" si="29"/>
        <v>-125498658.34568787</v>
      </c>
    </row>
    <row r="204" spans="1:15" ht="13.5" thickBot="1">
      <c r="A204" s="548">
        <f t="shared" ca="1" si="32"/>
        <v>2032</v>
      </c>
      <c r="B204" s="548" t="str">
        <f t="shared" si="33"/>
        <v>Nov</v>
      </c>
      <c r="C204" s="604">
        <f>IF('DATA TABLES'!$C$45="Exclude Dec",IF(B204="Dec",0,IF(B204="Jan",C202*(1+'DATA TABLES'!$C$46),C203*(1+'DATA TABLES'!$C$46))),C203*(1+'DATA TABLES'!$C$46))</f>
        <v>10623.493219154267</v>
      </c>
      <c r="D204" s="5">
        <f t="shared" si="28"/>
        <v>7362.8170825821644</v>
      </c>
      <c r="E204" s="5">
        <f t="shared" si="30"/>
        <v>9466.4791061770684</v>
      </c>
      <c r="F204" s="5">
        <f t="shared" si="31"/>
        <v>149629.12042710709</v>
      </c>
      <c r="G204" s="605">
        <f t="shared" si="34"/>
        <v>110</v>
      </c>
      <c r="H204" s="606">
        <f t="shared" si="35"/>
        <v>0.2</v>
      </c>
      <c r="I204" s="12">
        <f t="shared" si="23"/>
        <v>110.2</v>
      </c>
      <c r="J204" s="12" cm="1">
        <f t="array" ref="J204">SUMPRODUCT(C204:F204*91.25)</f>
        <v>16158724.27244563</v>
      </c>
      <c r="K204" s="12">
        <f t="shared" si="24"/>
        <v>16645841.661586633</v>
      </c>
      <c r="L204" s="12">
        <f t="shared" si="25"/>
        <v>-487117.38914100267</v>
      </c>
      <c r="M204" s="12">
        <f t="shared" si="26"/>
        <v>1771259.898350206</v>
      </c>
      <c r="N204" s="12">
        <f t="shared" si="27"/>
        <v>-2258377.2874912089</v>
      </c>
      <c r="O204" s="12">
        <f t="shared" si="29"/>
        <v>-127757035.63317907</v>
      </c>
    </row>
    <row r="205" spans="1:15" ht="13.5" thickBot="1">
      <c r="A205" s="548">
        <f t="shared" ca="1" si="32"/>
        <v>2032</v>
      </c>
      <c r="B205" s="548" t="str">
        <f t="shared" si="33"/>
        <v>Dec</v>
      </c>
      <c r="C205" s="604">
        <f>IF('DATA TABLES'!$C$45="Exclude Dec",IF(B205="Dec",0,IF(B205="Jan",C203*(1+'DATA TABLES'!$C$46),C204*(1+'DATA TABLES'!$C$46))),C204*(1+'DATA TABLES'!$C$46))</f>
        <v>10729.728151345809</v>
      </c>
      <c r="D205" s="5">
        <f t="shared" si="28"/>
        <v>7436.4452534079865</v>
      </c>
      <c r="E205" s="5">
        <f t="shared" si="30"/>
        <v>9561.1438972388405</v>
      </c>
      <c r="F205" s="5">
        <f t="shared" si="31"/>
        <v>151140.81955661994</v>
      </c>
      <c r="G205" s="605">
        <f t="shared" si="34"/>
        <v>150</v>
      </c>
      <c r="H205" s="606">
        <f t="shared" si="35"/>
        <v>0.2</v>
      </c>
      <c r="I205" s="12">
        <f t="shared" si="23"/>
        <v>150.19999999999999</v>
      </c>
      <c r="J205" s="12" cm="1">
        <f t="array" ref="J205">SUMPRODUCT(C205:F205*91.25)</f>
        <v>16321717.488348398</v>
      </c>
      <c r="K205" s="12">
        <f t="shared" si="24"/>
        <v>16813840.870726675</v>
      </c>
      <c r="L205" s="12">
        <f t="shared" si="25"/>
        <v>-492123.38237827644</v>
      </c>
      <c r="M205" s="12">
        <f t="shared" si="26"/>
        <v>1789282.1685861258</v>
      </c>
      <c r="N205" s="12">
        <f t="shared" si="27"/>
        <v>-2281405.550964402</v>
      </c>
      <c r="O205" s="12">
        <f t="shared" si="29"/>
        <v>-130038441.18414347</v>
      </c>
    </row>
    <row r="206" spans="1:15" ht="13.5" thickBot="1">
      <c r="A206" s="548">
        <f t="shared" ref="A206:A217" ca="1" si="36">A194+1</f>
        <v>2033</v>
      </c>
      <c r="B206" s="548" t="str">
        <f t="shared" si="33"/>
        <v>Jan</v>
      </c>
      <c r="C206" s="604">
        <f>IF('DATA TABLES'!$C$45="Exclude Dec",IF(B206="Dec",0,IF(B206="Jan",C204*(1+'DATA TABLES'!$C$46),C205*(1+'DATA TABLES'!$C$46))),C205*(1+'DATA TABLES'!$C$46))</f>
        <v>10837.025432859267</v>
      </c>
      <c r="D206" s="5">
        <f t="shared" si="28"/>
        <v>7510.8097059420661</v>
      </c>
      <c r="E206" s="5">
        <f t="shared" si="30"/>
        <v>9656.7553362112285</v>
      </c>
      <c r="F206" s="5">
        <f t="shared" si="31"/>
        <v>152666.86528116584</v>
      </c>
      <c r="G206" s="605">
        <f t="shared" si="34"/>
        <v>100</v>
      </c>
      <c r="H206" s="606">
        <f t="shared" si="35"/>
        <v>0.2</v>
      </c>
      <c r="I206" s="12">
        <f t="shared" si="23"/>
        <v>100.2</v>
      </c>
      <c r="J206" s="12" cm="1">
        <f t="array" ref="J206">SUMPRODUCT(C206:F206*91.25)</f>
        <v>16486270.337751279</v>
      </c>
      <c r="K206" s="12">
        <f t="shared" si="24"/>
        <v>16983443.032331914</v>
      </c>
      <c r="L206" s="12">
        <f t="shared" si="25"/>
        <v>-497172.69458063506</v>
      </c>
      <c r="M206" s="12">
        <f t="shared" si="26"/>
        <v>1807115.3575617841</v>
      </c>
      <c r="N206" s="12">
        <f t="shared" si="27"/>
        <v>-2304288.0521424189</v>
      </c>
      <c r="O206" s="12">
        <f t="shared" si="29"/>
        <v>-132342729.2362859</v>
      </c>
    </row>
    <row r="207" spans="1:15" ht="13.5" thickBot="1">
      <c r="A207" s="548">
        <f t="shared" ca="1" si="36"/>
        <v>2033</v>
      </c>
      <c r="B207" s="548" t="str">
        <f t="shared" si="33"/>
        <v>Feb</v>
      </c>
      <c r="C207" s="604">
        <f>IF('DATA TABLES'!$C$45="Exclude Dec",IF(B207="Dec",0,IF(B207="Jan",C205*(1+'DATA TABLES'!$C$46),C206*(1+'DATA TABLES'!$C$46))),C206*(1+'DATA TABLES'!$C$46))</f>
        <v>10945.39568718786</v>
      </c>
      <c r="D207" s="5">
        <f t="shared" si="28"/>
        <v>7585.9178030014864</v>
      </c>
      <c r="E207" s="5">
        <f t="shared" si="30"/>
        <v>9753.3228895733409</v>
      </c>
      <c r="F207" s="5">
        <f t="shared" si="31"/>
        <v>154207.4395865082</v>
      </c>
      <c r="G207" s="605">
        <f t="shared" si="34"/>
        <v>100</v>
      </c>
      <c r="H207" s="606">
        <f t="shared" si="35"/>
        <v>0.2</v>
      </c>
      <c r="I207" s="12">
        <f t="shared" si="23"/>
        <v>100.2</v>
      </c>
      <c r="J207" s="12" cm="1">
        <f t="array" ref="J207">SUMPRODUCT(C207:F207*91.25)</f>
        <v>16652401.93192222</v>
      </c>
      <c r="K207" s="12">
        <f t="shared" si="24"/>
        <v>17154668.027908303</v>
      </c>
      <c r="L207" s="12">
        <f t="shared" si="25"/>
        <v>-502266.09598608315</v>
      </c>
      <c r="M207" s="12">
        <f t="shared" si="26"/>
        <v>1825321.559662709</v>
      </c>
      <c r="N207" s="12">
        <f t="shared" si="27"/>
        <v>-2327587.6556487922</v>
      </c>
      <c r="O207" s="12">
        <f t="shared" si="29"/>
        <v>-134670316.89193469</v>
      </c>
    </row>
    <row r="208" spans="1:15" ht="13.5" thickBot="1">
      <c r="A208" s="548">
        <f t="shared" ca="1" si="36"/>
        <v>2033</v>
      </c>
      <c r="B208" s="548" t="str">
        <f t="shared" si="33"/>
        <v>Mar</v>
      </c>
      <c r="C208" s="604">
        <f>IF('DATA TABLES'!$C$45="Exclude Dec",IF(B208="Dec",0,IF(B208="Jan",C206*(1+'DATA TABLES'!$C$46),C207*(1+'DATA TABLES'!$C$46))),C207*(1+'DATA TABLES'!$C$46))</f>
        <v>11054.849644059739</v>
      </c>
      <c r="D208" s="5">
        <f t="shared" si="28"/>
        <v>7661.7769810315012</v>
      </c>
      <c r="E208" s="5">
        <f t="shared" si="30"/>
        <v>9850.8561184690734</v>
      </c>
      <c r="F208" s="5">
        <f t="shared" si="31"/>
        <v>155762.72435227747</v>
      </c>
      <c r="G208" s="605">
        <f t="shared" si="34"/>
        <v>100</v>
      </c>
      <c r="H208" s="606">
        <f t="shared" si="35"/>
        <v>0.2</v>
      </c>
      <c r="I208" s="12">
        <f t="shared" si="23"/>
        <v>100.2</v>
      </c>
      <c r="J208" s="12" cm="1">
        <f t="array" ref="J208">SUMPRODUCT(C208:F208*91.25)</f>
        <v>16820131.397495199</v>
      </c>
      <c r="K208" s="12">
        <f t="shared" si="24"/>
        <v>17327535.745177805</v>
      </c>
      <c r="L208" s="12">
        <f t="shared" si="25"/>
        <v>-507404.34768260643</v>
      </c>
      <c r="M208" s="12">
        <f t="shared" si="26"/>
        <v>1843702.8709583778</v>
      </c>
      <c r="N208" s="12">
        <f t="shared" si="27"/>
        <v>-2351107.218640984</v>
      </c>
      <c r="O208" s="12">
        <f t="shared" si="29"/>
        <v>-137021424.11057568</v>
      </c>
    </row>
    <row r="209" spans="1:16" ht="13.5" thickBot="1">
      <c r="A209" s="548">
        <f t="shared" ca="1" si="36"/>
        <v>2033</v>
      </c>
      <c r="B209" s="548" t="str">
        <f t="shared" si="33"/>
        <v>Apr</v>
      </c>
      <c r="C209" s="604">
        <f>IF('DATA TABLES'!$C$45="Exclude Dec",IF(B209="Dec",0,IF(B209="Jan",C207*(1+'DATA TABLES'!$C$46),C208*(1+'DATA TABLES'!$C$46))),C208*(1+'DATA TABLES'!$C$46))</f>
        <v>11165.398140500336</v>
      </c>
      <c r="D209" s="5">
        <f t="shared" si="28"/>
        <v>7738.3947508418169</v>
      </c>
      <c r="E209" s="5">
        <f t="shared" si="30"/>
        <v>9949.3646796537651</v>
      </c>
      <c r="F209" s="5">
        <f t="shared" si="31"/>
        <v>157332.90144720918</v>
      </c>
      <c r="G209" s="605">
        <f t="shared" si="34"/>
        <v>100</v>
      </c>
      <c r="H209" s="606">
        <f t="shared" si="35"/>
        <v>0.2</v>
      </c>
      <c r="I209" s="12">
        <f t="shared" si="23"/>
        <v>100.2</v>
      </c>
      <c r="J209" s="12" cm="1">
        <f t="array" ref="J209">SUMPRODUCT(C209:F209*91.25)</f>
        <v>16989477.885411214</v>
      </c>
      <c r="K209" s="12">
        <f t="shared" si="24"/>
        <v>17502066.087770477</v>
      </c>
      <c r="L209" s="12">
        <f t="shared" si="25"/>
        <v>-512588.20235926285</v>
      </c>
      <c r="M209" s="12">
        <f t="shared" si="26"/>
        <v>1862261.3901820511</v>
      </c>
      <c r="N209" s="12">
        <f t="shared" si="27"/>
        <v>-2374849.5925413137</v>
      </c>
      <c r="O209" s="12">
        <f t="shared" si="29"/>
        <v>-139396273.70311698</v>
      </c>
    </row>
    <row r="210" spans="1:16" ht="13.5" thickBot="1">
      <c r="A210" s="548">
        <f t="shared" ca="1" si="36"/>
        <v>2033</v>
      </c>
      <c r="B210" s="548" t="str">
        <f t="shared" si="33"/>
        <v>May</v>
      </c>
      <c r="C210" s="604">
        <f>IF('DATA TABLES'!$C$45="Exclude Dec",IF(B210="Dec",0,IF(B210="Jan",C208*(1+'DATA TABLES'!$C$46),C209*(1+'DATA TABLES'!$C$46))),C209*(1+'DATA TABLES'!$C$46))</f>
        <v>11277.052121905339</v>
      </c>
      <c r="D210" s="5">
        <f t="shared" si="28"/>
        <v>7815.7786983502347</v>
      </c>
      <c r="E210" s="5">
        <f t="shared" si="30"/>
        <v>10048.858326450303</v>
      </c>
      <c r="F210" s="5">
        <f t="shared" si="31"/>
        <v>158918.15282051981</v>
      </c>
      <c r="G210" s="605">
        <f t="shared" si="34"/>
        <v>100</v>
      </c>
      <c r="H210" s="606">
        <f t="shared" si="35"/>
        <v>0.2</v>
      </c>
      <c r="I210" s="12">
        <f t="shared" si="23"/>
        <v>100.2</v>
      </c>
      <c r="J210" s="12" cm="1">
        <f t="array" ref="J210">SUMPRODUCT(C210:F210*91.25)</f>
        <v>17160460.579509344</v>
      </c>
      <c r="K210" s="12">
        <f t="shared" si="24"/>
        <v>17678278.984532032</v>
      </c>
      <c r="L210" s="12">
        <f t="shared" si="25"/>
        <v>-517818.40502268821</v>
      </c>
      <c r="M210" s="12">
        <f t="shared" si="26"/>
        <v>1880999.2196722568</v>
      </c>
      <c r="N210" s="12">
        <f t="shared" si="27"/>
        <v>-2398817.6246949453</v>
      </c>
      <c r="O210" s="12">
        <f t="shared" si="29"/>
        <v>-141795091.32781193</v>
      </c>
    </row>
    <row r="211" spans="1:16" ht="13.5" thickBot="1">
      <c r="A211" s="548">
        <f t="shared" ca="1" si="36"/>
        <v>2033</v>
      </c>
      <c r="B211" s="548" t="str">
        <f t="shared" si="33"/>
        <v>Jun</v>
      </c>
      <c r="C211" s="604">
        <f>IF('DATA TABLES'!$C$45="Exclude Dec",IF(B211="Dec",0,IF(B211="Jan",C209*(1+'DATA TABLES'!$C$46),C210*(1+'DATA TABLES'!$C$46))),C210*(1+'DATA TABLES'!$C$46))</f>
        <v>11389.822643124393</v>
      </c>
      <c r="D211" s="5">
        <f t="shared" si="28"/>
        <v>7893.9364853337365</v>
      </c>
      <c r="E211" s="5">
        <f t="shared" si="30"/>
        <v>10149.346909714804</v>
      </c>
      <c r="F211" s="5">
        <f t="shared" si="31"/>
        <v>160518.66058962161</v>
      </c>
      <c r="G211" s="605">
        <f t="shared" si="34"/>
        <v>100</v>
      </c>
      <c r="H211" s="606">
        <f t="shared" si="35"/>
        <v>0.2</v>
      </c>
      <c r="I211" s="12">
        <f t="shared" si="23"/>
        <v>100.2</v>
      </c>
      <c r="J211" s="12" cm="1">
        <f t="array" ref="J211">SUMPRODUCT(C211:F211*91.25)</f>
        <v>17333098.704786252</v>
      </c>
      <c r="K211" s="12">
        <f t="shared" si="24"/>
        <v>17856194.398467015</v>
      </c>
      <c r="L211" s="12">
        <f t="shared" si="25"/>
        <v>-523095.69368076324</v>
      </c>
      <c r="M211" s="12">
        <f t="shared" si="26"/>
        <v>1899918.4662779456</v>
      </c>
      <c r="N211" s="12">
        <f t="shared" si="27"/>
        <v>-2423014.159958709</v>
      </c>
      <c r="O211" s="12">
        <f t="shared" si="29"/>
        <v>-144218105.48777065</v>
      </c>
    </row>
    <row r="212" spans="1:16" ht="13.5" thickBot="1">
      <c r="A212" s="548">
        <f t="shared" ca="1" si="36"/>
        <v>2033</v>
      </c>
      <c r="B212" s="548" t="str">
        <f t="shared" si="33"/>
        <v>Jul</v>
      </c>
      <c r="C212" s="604">
        <f>IF('DATA TABLES'!$C$45="Exclude Dec",IF(B212="Dec",0,IF(B212="Jan",C210*(1+'DATA TABLES'!$C$46),C211*(1+'DATA TABLES'!$C$46))),C211*(1+'DATA TABLES'!$C$46))</f>
        <v>11503.720869555636</v>
      </c>
      <c r="D212" s="5">
        <f t="shared" si="28"/>
        <v>7972.8758501870743</v>
      </c>
      <c r="E212" s="5">
        <f t="shared" si="30"/>
        <v>10250.840378811954</v>
      </c>
      <c r="F212" s="5">
        <f t="shared" si="31"/>
        <v>162134.60712436959</v>
      </c>
      <c r="G212" s="605">
        <f t="shared" si="34"/>
        <v>100</v>
      </c>
      <c r="H212" s="606">
        <f t="shared" si="35"/>
        <v>0.2</v>
      </c>
      <c r="I212" s="12">
        <f t="shared" si="23"/>
        <v>100.2</v>
      </c>
      <c r="J212" s="12" cm="1">
        <f t="array" ref="J212">SUMPRODUCT(C212:F212*91.25)</f>
        <v>17507411.53534184</v>
      </c>
      <c r="K212" s="12">
        <f t="shared" si="24"/>
        <v>18035832.33533686</v>
      </c>
      <c r="L212" s="12">
        <f t="shared" si="25"/>
        <v>-528420.79999502003</v>
      </c>
      <c r="M212" s="12">
        <f t="shared" si="26"/>
        <v>1919021.2422292426</v>
      </c>
      <c r="N212" s="12">
        <f t="shared" si="27"/>
        <v>-2447442.0422242628</v>
      </c>
      <c r="O212" s="12">
        <f t="shared" si="29"/>
        <v>-146665547.5299949</v>
      </c>
    </row>
    <row r="213" spans="1:16" ht="13.5" thickBot="1">
      <c r="A213" s="548">
        <f t="shared" ca="1" si="36"/>
        <v>2033</v>
      </c>
      <c r="B213" s="548" t="str">
        <f t="shared" si="33"/>
        <v>Aug</v>
      </c>
      <c r="C213" s="604">
        <f>IF('DATA TABLES'!$C$45="Exclude Dec",IF(B213="Dec",0,IF(B213="Jan",C211*(1+'DATA TABLES'!$C$46),C212*(1+'DATA TABLES'!$C$46))),C212*(1+'DATA TABLES'!$C$46))</f>
        <v>11618.758078251192</v>
      </c>
      <c r="D213" s="5">
        <f t="shared" si="28"/>
        <v>8052.6046086889446</v>
      </c>
      <c r="E213" s="5">
        <f t="shared" si="30"/>
        <v>10353.348782600073</v>
      </c>
      <c r="F213" s="5">
        <f t="shared" si="31"/>
        <v>163766.17512802247</v>
      </c>
      <c r="G213" s="605">
        <f t="shared" si="34"/>
        <v>100</v>
      </c>
      <c r="H213" s="606">
        <f t="shared" si="35"/>
        <v>0.2</v>
      </c>
      <c r="I213" s="12">
        <f t="shared" si="23"/>
        <v>100.2</v>
      </c>
      <c r="J213" s="12" cm="1">
        <f t="array" ref="J213">SUMPRODUCT(C213:F213*91.25)</f>
        <v>17683418.402027596</v>
      </c>
      <c r="K213" s="12">
        <f t="shared" si="24"/>
        <v>18217212.851931147</v>
      </c>
      <c r="L213" s="12">
        <f t="shared" si="25"/>
        <v>-533794.44990355149</v>
      </c>
      <c r="M213" s="12">
        <f t="shared" si="26"/>
        <v>1938309.665975627</v>
      </c>
      <c r="N213" s="12">
        <f t="shared" si="27"/>
        <v>-2472104.1158791785</v>
      </c>
      <c r="O213" s="12">
        <f t="shared" si="29"/>
        <v>-149137651.64587408</v>
      </c>
    </row>
    <row r="214" spans="1:16" ht="13.5" thickBot="1">
      <c r="A214" s="548">
        <f t="shared" ca="1" si="36"/>
        <v>2033</v>
      </c>
      <c r="B214" s="548" t="str">
        <f t="shared" si="33"/>
        <v>Sep</v>
      </c>
      <c r="C214" s="604">
        <f>IF('DATA TABLES'!$C$45="Exclude Dec",IF(B214="Dec",0,IF(B214="Jan",C212*(1+'DATA TABLES'!$C$46),C213*(1+'DATA TABLES'!$C$46))),C213*(1+'DATA TABLES'!$C$46))</f>
        <v>11734.945659033705</v>
      </c>
      <c r="D214" s="5">
        <f t="shared" si="28"/>
        <v>8133.130654775834</v>
      </c>
      <c r="E214" s="5">
        <f t="shared" si="30"/>
        <v>10456.882270426073</v>
      </c>
      <c r="F214" s="5">
        <f t="shared" si="31"/>
        <v>165413.54771509141</v>
      </c>
      <c r="G214" s="605">
        <f t="shared" si="34"/>
        <v>100</v>
      </c>
      <c r="H214" s="606">
        <f t="shared" si="35"/>
        <v>0.2</v>
      </c>
      <c r="I214" s="12">
        <f t="shared" si="23"/>
        <v>100.2</v>
      </c>
      <c r="J214" s="12" cm="1">
        <f t="array" ref="J214">SUMPRODUCT(C214:F214*91.25)</f>
        <v>17861138.699813589</v>
      </c>
      <c r="K214" s="12">
        <f t="shared" si="24"/>
        <v>18400356.064029332</v>
      </c>
      <c r="L214" s="12">
        <f t="shared" si="25"/>
        <v>-539217.3642157428</v>
      </c>
      <c r="M214" s="12">
        <f t="shared" si="26"/>
        <v>1957785.8629932702</v>
      </c>
      <c r="N214" s="12">
        <f t="shared" si="27"/>
        <v>-2497003.227209013</v>
      </c>
      <c r="O214" s="12">
        <f t="shared" si="29"/>
        <v>-151634654.87308308</v>
      </c>
    </row>
    <row r="215" spans="1:16" ht="13.5" thickBot="1">
      <c r="A215" s="548">
        <f t="shared" ca="1" si="36"/>
        <v>2033</v>
      </c>
      <c r="B215" s="548" t="str">
        <f t="shared" si="33"/>
        <v>Oct</v>
      </c>
      <c r="C215" s="604">
        <f>IF('DATA TABLES'!$C$45="Exclude Dec",IF(B215="Dec",0,IF(B215="Jan",C213*(1+'DATA TABLES'!$C$46),C214*(1+'DATA TABLES'!$C$46))),C214*(1+'DATA TABLES'!$C$46))</f>
        <v>11852.295115624042</v>
      </c>
      <c r="D215" s="5">
        <f t="shared" si="28"/>
        <v>8214.4619613235936</v>
      </c>
      <c r="E215" s="5">
        <f t="shared" si="30"/>
        <v>10561.451093130334</v>
      </c>
      <c r="F215" s="5">
        <f t="shared" si="31"/>
        <v>167076.90848624162</v>
      </c>
      <c r="G215" s="605">
        <f t="shared" si="34"/>
        <v>110</v>
      </c>
      <c r="H215" s="606">
        <f t="shared" si="35"/>
        <v>0.2</v>
      </c>
      <c r="I215" s="12">
        <f t="shared" si="23"/>
        <v>110.2</v>
      </c>
      <c r="J215" s="12" cm="1">
        <f t="array" ref="J215">SUMPRODUCT(C215:F215*91.25)</f>
        <v>18040591.894889161</v>
      </c>
      <c r="K215" s="12">
        <f t="shared" si="24"/>
        <v>18585282.154069554</v>
      </c>
      <c r="L215" s="12">
        <f t="shared" si="25"/>
        <v>-544690.25918039307</v>
      </c>
      <c r="M215" s="12">
        <f t="shared" si="26"/>
        <v>1977491.9665631959</v>
      </c>
      <c r="N215" s="12">
        <f t="shared" si="27"/>
        <v>-2522182.225743589</v>
      </c>
      <c r="O215" s="12">
        <f t="shared" si="29"/>
        <v>-154156837.09882668</v>
      </c>
    </row>
    <row r="216" spans="1:16" ht="13.5" thickBot="1">
      <c r="A216" s="548">
        <f t="shared" ca="1" si="36"/>
        <v>2033</v>
      </c>
      <c r="B216" s="548" t="str">
        <f t="shared" si="33"/>
        <v>Nov</v>
      </c>
      <c r="C216" s="604">
        <f>IF('DATA TABLES'!$C$45="Exclude Dec",IF(B216="Dec",0,IF(B216="Jan",C214*(1+'DATA TABLES'!$C$46),C215*(1+'DATA TABLES'!$C$46))),C215*(1+'DATA TABLES'!$C$46))</f>
        <v>11970.818066780283</v>
      </c>
      <c r="D216" s="5">
        <f t="shared" si="28"/>
        <v>8296.6065809368283</v>
      </c>
      <c r="E216" s="5">
        <f t="shared" si="30"/>
        <v>10667.065604061638</v>
      </c>
      <c r="F216" s="5">
        <f t="shared" si="31"/>
        <v>168756.44160040334</v>
      </c>
      <c r="G216" s="605">
        <f t="shared" si="34"/>
        <v>110</v>
      </c>
      <c r="H216" s="606">
        <f t="shared" si="35"/>
        <v>0.2</v>
      </c>
      <c r="I216" s="12">
        <f t="shared" si="23"/>
        <v>110.2</v>
      </c>
      <c r="J216" s="12" cm="1">
        <f t="array" ref="J216">SUMPRODUCT(C216:F216*91.25)</f>
        <v>18221797.531511616</v>
      </c>
      <c r="K216" s="12">
        <f t="shared" si="24"/>
        <v>18772011.378540181</v>
      </c>
      <c r="L216" s="12">
        <f t="shared" si="25"/>
        <v>-550213.84702856466</v>
      </c>
      <c r="M216" s="12">
        <f t="shared" si="26"/>
        <v>1997350.118521821</v>
      </c>
      <c r="N216" s="12">
        <f t="shared" si="27"/>
        <v>-2547563.9655503854</v>
      </c>
      <c r="O216" s="12">
        <f t="shared" si="29"/>
        <v>-156704401.06437707</v>
      </c>
    </row>
    <row r="217" spans="1:16" ht="13.5" thickBot="1">
      <c r="A217" s="548">
        <f t="shared" ca="1" si="36"/>
        <v>2033</v>
      </c>
      <c r="B217" s="548" t="str">
        <f>B205</f>
        <v>Dec</v>
      </c>
      <c r="C217" s="604">
        <f>IF('DATA TABLES'!$C$45="Exclude Dec",IF(B217="Dec",0,IF(B217="Jan",C215*(1+'DATA TABLES'!$C$46),C216*(1+'DATA TABLES'!$C$46))),C216*(1+'DATA TABLES'!$C$46))</f>
        <v>12090.526247448086</v>
      </c>
      <c r="D217" s="5">
        <f t="shared" si="28"/>
        <v>8379.5726467461973</v>
      </c>
      <c r="E217" s="5">
        <f t="shared" si="30"/>
        <v>10773.736260102254</v>
      </c>
      <c r="F217" s="5">
        <f t="shared" si="31"/>
        <v>170452.33184424174</v>
      </c>
      <c r="G217" s="605">
        <f t="shared" si="34"/>
        <v>150</v>
      </c>
      <c r="H217" s="606">
        <f t="shared" si="35"/>
        <v>0.2</v>
      </c>
      <c r="I217" s="12">
        <f t="shared" si="23"/>
        <v>150.19999999999999</v>
      </c>
      <c r="J217" s="12" cm="1">
        <f t="array" ref="J217">SUMPRODUCT(C217:F217*91.25)</f>
        <v>18404775.238616616</v>
      </c>
      <c r="K217" s="12">
        <f t="shared" si="24"/>
        <v>18960564.07510902</v>
      </c>
      <c r="L217" s="12">
        <f t="shared" si="25"/>
        <v>-555788.83649240434</v>
      </c>
      <c r="M217" s="12">
        <f t="shared" si="26"/>
        <v>2017562.4699853829</v>
      </c>
      <c r="N217" s="12">
        <f t="shared" si="27"/>
        <v>-2573351.306477787</v>
      </c>
      <c r="O217" s="12">
        <f t="shared" si="29"/>
        <v>-159277752.37085485</v>
      </c>
    </row>
    <row r="218" spans="1:16">
      <c r="C218" s="607"/>
      <c r="D218" s="607"/>
      <c r="E218" s="607"/>
      <c r="F218" s="607"/>
      <c r="G218" s="608"/>
      <c r="H218" s="609"/>
      <c r="I218" s="608"/>
      <c r="J218" s="608"/>
      <c r="K218" s="608"/>
      <c r="L218" s="608"/>
      <c r="M218" s="608"/>
      <c r="N218" s="608"/>
      <c r="O218" s="558"/>
      <c r="P218" s="558"/>
    </row>
    <row r="219" spans="1:16">
      <c r="A219" s="369" t="s">
        <v>637</v>
      </c>
    </row>
    <row r="220" spans="1:16">
      <c r="A220" s="369" t="str">
        <f>"Use the '$' in the formula such that the formula in cell "&amp;INDEX(Column,2,COLUMN(C222))&amp;ROW(C222)&amp;" can be copied down to the subsequent years."</f>
        <v>Use the '$' in the formula such that the formula in cell C222 can be copied down to the subsequent years.</v>
      </c>
      <c r="C220" s="20"/>
    </row>
    <row r="221" spans="1:16" ht="13.5" thickBot="1">
      <c r="C221" s="20"/>
      <c r="D221" s="610"/>
    </row>
    <row r="222" spans="1:16" ht="13.5" thickBot="1">
      <c r="B222" s="365">
        <f ca="1">A98</f>
        <v>2024</v>
      </c>
      <c r="C222" s="5">
        <f ca="1">SUMIF(A98:A109,"2024",N98:N109)</f>
        <v>152869.92203193705</v>
      </c>
    </row>
    <row r="223" spans="1:16" ht="13.5" thickBot="1">
      <c r="B223" s="365">
        <f t="shared" ref="B223:B231" ca="1" si="37">B222+1</f>
        <v>2025</v>
      </c>
      <c r="C223" s="5">
        <f ca="1">SUMIF(A110:A121,"2025",N110:N121)</f>
        <v>-5771825.2788704988</v>
      </c>
      <c r="D223" s="611"/>
      <c r="K223" s="611"/>
      <c r="M223" s="611"/>
    </row>
    <row r="224" spans="1:16" ht="13.5" thickBot="1">
      <c r="B224" s="365">
        <f t="shared" ca="1" si="37"/>
        <v>2026</v>
      </c>
      <c r="C224" s="5">
        <f ca="1">SUMIF(A122:A133,"2026",N122:N133)</f>
        <v>-9726230.2964497283</v>
      </c>
      <c r="D224" s="611"/>
      <c r="K224" s="611"/>
      <c r="M224" s="611"/>
    </row>
    <row r="225" spans="1:13" ht="13.5" thickBot="1">
      <c r="B225" s="365">
        <f t="shared" ca="1" si="37"/>
        <v>2027</v>
      </c>
      <c r="C225" s="5">
        <f ca="1">SUMIF(A134:A145,"2027",N134:N145)</f>
        <v>-12700717.699203141</v>
      </c>
      <c r="D225" s="611"/>
      <c r="K225" s="611"/>
      <c r="M225" s="611"/>
    </row>
    <row r="226" spans="1:13" ht="13.5" thickBot="1">
      <c r="B226" s="365">
        <f t="shared" ca="1" si="37"/>
        <v>2028</v>
      </c>
      <c r="C226" s="5">
        <f ca="1">SUMIF(A146:A157,"2028",N146:N157)</f>
        <v>-15251932.678400951</v>
      </c>
      <c r="D226" s="611"/>
      <c r="F226" s="20"/>
      <c r="K226" s="22"/>
      <c r="M226" s="611"/>
    </row>
    <row r="227" spans="1:13" ht="13.5" thickBot="1">
      <c r="B227" s="365">
        <f t="shared" ca="1" si="37"/>
        <v>2029</v>
      </c>
      <c r="C227" s="5">
        <f ca="1">SUMIF(A158:A169,"2029",N158:N169)</f>
        <v>-17694142.610513207</v>
      </c>
      <c r="D227" s="611"/>
      <c r="E227" s="611"/>
      <c r="K227" s="22"/>
      <c r="M227" s="611"/>
    </row>
    <row r="228" spans="1:13" ht="13.5" thickBot="1">
      <c r="B228" s="365">
        <f t="shared" ca="1" si="37"/>
        <v>2030</v>
      </c>
      <c r="C228" s="5">
        <f ca="1">SUMIF(A170:A181,"2030",N170:N181)</f>
        <v>-20212346.129872087</v>
      </c>
      <c r="D228" s="611"/>
      <c r="E228" s="611"/>
      <c r="J228" s="612"/>
      <c r="K228" s="611"/>
      <c r="M228" s="611"/>
    </row>
    <row r="229" spans="1:13" ht="13.5" thickBot="1">
      <c r="B229" s="365">
        <f t="shared" ca="1" si="37"/>
        <v>2031</v>
      </c>
      <c r="C229" s="5">
        <f ca="1">SUMIF(A182:A193,"2031",N182:N193)</f>
        <v>-22923617.248717569</v>
      </c>
      <c r="D229" s="611"/>
      <c r="E229" s="611"/>
      <c r="J229" s="612"/>
      <c r="K229" s="611"/>
      <c r="M229" s="611"/>
    </row>
    <row r="230" spans="1:13" ht="13.5" thickBot="1">
      <c r="B230" s="365">
        <f t="shared" ca="1" si="37"/>
        <v>2032</v>
      </c>
      <c r="C230" s="5">
        <f ca="1">SUMIF(A194:A205,"2032",N194:N205)</f>
        <v>-25910499.164148226</v>
      </c>
      <c r="D230" s="611"/>
      <c r="E230" s="611"/>
      <c r="J230" s="612"/>
      <c r="K230" s="611"/>
      <c r="M230" s="611"/>
    </row>
    <row r="231" spans="1:13" ht="13.5" thickBot="1">
      <c r="B231" s="365">
        <f t="shared" ca="1" si="37"/>
        <v>2033</v>
      </c>
      <c r="C231" s="5">
        <f ca="1">SUMIF(A206:A217,"2033",N206:N217)</f>
        <v>-29239311.186711378</v>
      </c>
      <c r="D231" s="611"/>
      <c r="E231" s="394"/>
      <c r="F231" s="371"/>
      <c r="J231" s="612"/>
      <c r="K231" s="611"/>
      <c r="M231" s="611"/>
    </row>
    <row r="232" spans="1:13">
      <c r="B232" s="369" t="s">
        <v>278</v>
      </c>
      <c r="C232" s="366">
        <f ca="1">C231/12%</f>
        <v>-243660926.55592817</v>
      </c>
      <c r="F232" s="367"/>
    </row>
    <row r="233" spans="1:13">
      <c r="B233" s="369"/>
    </row>
    <row r="234" spans="1:13">
      <c r="A234" s="369" t="s">
        <v>1076</v>
      </c>
      <c r="B234" s="369"/>
    </row>
    <row r="235" spans="1:13" ht="13.5" thickBot="1">
      <c r="A235" s="922" t="str">
        <f ca="1">"NOTE: There are no Current Year Cash Flows. Terminal Value must be discounted to "&amp;B231&amp;"."</f>
        <v>NOTE: There are no Current Year Cash Flows. Terminal Value must be discounted to 2033.</v>
      </c>
      <c r="B235" s="369"/>
    </row>
    <row r="236" spans="1:13" ht="13.5" thickBot="1">
      <c r="B236" s="141">
        <f ca="1">NPV(10%,C222:C231)</f>
        <v>-83399252.510681927</v>
      </c>
      <c r="C236" s="371"/>
    </row>
    <row r="237" spans="1:13" ht="13.5" thickBot="1">
      <c r="A237" s="369" t="s">
        <v>1077</v>
      </c>
      <c r="B237" s="749"/>
    </row>
    <row r="238" spans="1:13" ht="13.5" thickBot="1">
      <c r="B238" s="142">
        <f ca="1">IRR(C222:C231)</f>
        <v>38.425365489737615</v>
      </c>
    </row>
    <row r="239" spans="1:13">
      <c r="A239" s="369" t="s">
        <v>1153</v>
      </c>
      <c r="B239" s="369"/>
    </row>
    <row r="240" spans="1:13">
      <c r="A240" s="369" t="s">
        <v>706</v>
      </c>
      <c r="C240" s="365"/>
    </row>
    <row r="241" spans="1:16">
      <c r="A241" s="369" t="s">
        <v>1295</v>
      </c>
    </row>
    <row r="242" spans="1:16">
      <c r="A242" s="545" t="str">
        <f>"Change the 'Month Selection' in the grey box in cell "&amp;INDEX(Column,2,COLUMN(B2))&amp;ROW('DATA TABLES'!B45)&amp;" on the 'DATA TABLE' Sheet to 'Exclude Dec'."</f>
        <v>Change the 'Month Selection' in the grey box in cell B45 on the 'DATA TABLE' Sheet to 'Exclude Dec'.</v>
      </c>
    </row>
    <row r="243" spans="1:16">
      <c r="A243" s="545" t="str">
        <f>"Change the 'Monthly Growth Rate' in the grey box in cell "&amp;INDEX(Column,2,COLUMN('DATA TABLES'!B46))&amp;ROW('DATA TABLES'!B46)&amp;" on the 'DATA TABLE' Sheet to 1.5%."</f>
        <v>Change the 'Monthly Growth Rate' in the grey box in cell B46 on the 'DATA TABLE' Sheet to 1.5%.</v>
      </c>
    </row>
    <row r="244" spans="1:16">
      <c r="A244" s="369" t="str">
        <f>+"Notice that the NPV in "&amp;INDEX(Column,2,COLUMN(B236))&amp;ROW(B236)&amp;" and the IRR in "&amp;INDEX(Column,2,COLUMN(B238))&amp;ROW(B238)&amp;" have changed."</f>
        <v>Notice that the NPV in B236 and the IRR in B238 have changed.</v>
      </c>
      <c r="B244" s="369"/>
    </row>
    <row r="245" spans="1:16">
      <c r="A245" s="369" t="s">
        <v>1154</v>
      </c>
      <c r="B245" s="369"/>
    </row>
    <row r="247" spans="1:16" ht="15.75">
      <c r="A247" s="613" t="s">
        <v>1117</v>
      </c>
      <c r="C247" s="365"/>
      <c r="D247" s="365"/>
    </row>
    <row r="248" spans="1:16">
      <c r="A248" s="614" t="s">
        <v>818</v>
      </c>
      <c r="C248" s="365"/>
      <c r="D248" s="365"/>
    </row>
    <row r="249" spans="1:16">
      <c r="A249" s="185" t="str">
        <f>"Instructions on how to view multiple Sheets are on Row "&amp;ROW('EXCEL Financial Functions'!A$143)&amp;" of the 'EXCEL Financial Functions' Sheet of this Workbook."</f>
        <v>Instructions on how to view multiple Sheets are on Row 143 of the 'EXCEL Financial Functions' Sheet of this Workbook.</v>
      </c>
      <c r="C249" s="365"/>
      <c r="D249" s="365"/>
    </row>
    <row r="250" spans="1:16">
      <c r="A250" s="185" t="str">
        <f>"The data table(s) related to this Sheet start on Row "&amp;ROW('DATA TABLES'!A43)&amp;" of the 'DATA TABLES' Sheet."</f>
        <v>The data table(s) related to this Sheet start on Row 43 of the 'DATA TABLES' Sheet.</v>
      </c>
      <c r="C250" s="365"/>
      <c r="D250" s="365"/>
    </row>
    <row r="251" spans="1:16">
      <c r="A251" s="185"/>
      <c r="C251" s="365"/>
      <c r="D251" s="365"/>
    </row>
    <row r="252" spans="1:16">
      <c r="A252" s="544" t="s">
        <v>1078</v>
      </c>
      <c r="C252" s="365"/>
      <c r="D252" s="365"/>
    </row>
    <row r="253" spans="1:16">
      <c r="A253" s="544" t="s">
        <v>959</v>
      </c>
      <c r="O253" s="365"/>
      <c r="P253" s="365"/>
    </row>
    <row r="254" spans="1:16">
      <c r="A254" s="545" t="str">
        <f>"Set the 'Row Input Cell:' to Cell "&amp;INDEX(Column,2,COLUMN('DATA TABLES'!C45))&amp;ROW('DATA TABLES'!C45)&amp;" on the 'DATA TABLE' Sheet."</f>
        <v>Set the 'Row Input Cell:' to Cell C45 on the 'DATA TABLE' Sheet.</v>
      </c>
      <c r="O254" s="365"/>
      <c r="P254" s="365"/>
    </row>
    <row r="255" spans="1:16">
      <c r="A255" s="545" t="str">
        <f>"Set the 'Column Input Cell:' to Cell "&amp;INDEX(Column,2,COLUMN('DATA TABLES'!C46))&amp;ROW('DATA TABLES'!C46)&amp;" on the 'DATA TABLE' Sheet."</f>
        <v>Set the 'Column Input Cell:' to Cell C46 on the 'DATA TABLE' Sheet.</v>
      </c>
      <c r="F255" s="544"/>
      <c r="O255" s="365"/>
      <c r="P255" s="365"/>
    </row>
    <row r="256" spans="1:16" ht="13.5" thickBot="1">
      <c r="A256" s="369" t="s">
        <v>1083</v>
      </c>
      <c r="F256" s="367"/>
    </row>
    <row r="257" spans="1:30" ht="13.5" thickBot="1">
      <c r="B257" s="1074" t="s">
        <v>1150</v>
      </c>
      <c r="C257" s="1075"/>
      <c r="J257" s="369"/>
      <c r="AA257" s="2" t="s">
        <v>1081</v>
      </c>
      <c r="AB257" s="2" t="s">
        <v>1082</v>
      </c>
      <c r="AC257" s="2" t="s">
        <v>1149</v>
      </c>
      <c r="AD257" s="2" t="s">
        <v>1150</v>
      </c>
    </row>
    <row r="258" spans="1:30" ht="13.5" thickBot="1">
      <c r="A258" s="369" t="s">
        <v>1147</v>
      </c>
      <c r="J258" s="369"/>
    </row>
    <row r="259" spans="1:30" ht="13.5" thickBot="1">
      <c r="B259" s="1074" t="s">
        <v>960</v>
      </c>
      <c r="C259" s="1075"/>
      <c r="J259" s="369"/>
      <c r="K259" s="2"/>
      <c r="R259" s="369"/>
      <c r="S259" s="369"/>
      <c r="AA259" s="369" t="s">
        <v>1148</v>
      </c>
      <c r="AB259" s="369" t="s">
        <v>1084</v>
      </c>
      <c r="AC259" s="369" t="s">
        <v>1085</v>
      </c>
      <c r="AD259" s="369" t="s">
        <v>960</v>
      </c>
    </row>
    <row r="260" spans="1:30" ht="13.5" thickBot="1">
      <c r="A260" s="369" t="s">
        <v>1079</v>
      </c>
      <c r="B260" s="369"/>
    </row>
    <row r="261" spans="1:30" ht="13.5" thickBot="1">
      <c r="B261" s="141">
        <f ca="1">NPV(10%,C222:C231)/(1-10%)^10</f>
        <v>-239186720.25366184</v>
      </c>
      <c r="C261" s="371"/>
    </row>
    <row r="262" spans="1:30">
      <c r="A262" s="369" t="s">
        <v>1080</v>
      </c>
    </row>
    <row r="263" spans="1:30">
      <c r="A263" s="369" t="s">
        <v>1103</v>
      </c>
    </row>
    <row r="264" spans="1:30">
      <c r="A264" s="369" t="s">
        <v>1104</v>
      </c>
    </row>
  </sheetData>
  <sheetProtection algorithmName="SHA-512" hashValue="v70sRHgMj6AkUtHHkc6QZHCm5CD9xcuyIBNwlmTTEUm3Gpn2MAKCB5CyH4UWpU4qjGg8v6KLUHODzzHZTWvsEA==" saltValue="ENyro54tu2CoBQkt1ryNUQ==" spinCount="100000" sheet="1" objects="1" scenarios="1"/>
  <mergeCells count="7">
    <mergeCell ref="D32:F32"/>
    <mergeCell ref="G32:I32"/>
    <mergeCell ref="J96:N96"/>
    <mergeCell ref="B257:C257"/>
    <mergeCell ref="B259:C259"/>
    <mergeCell ref="C96:F96"/>
    <mergeCell ref="G96:I96"/>
  </mergeCells>
  <dataValidations count="2">
    <dataValidation type="list" allowBlank="1" showInputMessage="1" showErrorMessage="1" sqref="B257" xr:uid="{D46F97A0-013F-FF4D-8B30-06C4C2D0607E}">
      <formula1>$AA$257:$AD$257</formula1>
    </dataValidation>
    <dataValidation type="list" allowBlank="1" showInputMessage="1" showErrorMessage="1" sqref="B259:C259" xr:uid="{8E62328E-49C4-F347-973F-F03FDD472A22}">
      <formula1>$AA$259:$AD$259</formula1>
    </dataValidation>
  </dataValidations>
  <pageMargins left="0.7" right="0.7" top="0.75" bottom="0.75" header="0.3" footer="0.3"/>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20"/>
  <sheetViews>
    <sheetView workbookViewId="0">
      <selection activeCell="N21" sqref="N21"/>
    </sheetView>
  </sheetViews>
  <sheetFormatPr defaultColWidth="10.875" defaultRowHeight="12.75"/>
  <cols>
    <col min="1" max="16384" width="10.875" style="257"/>
  </cols>
  <sheetData>
    <row r="1" spans="1:11" ht="18.75">
      <c r="A1" s="149" t="s">
        <v>1141</v>
      </c>
      <c r="G1" s="1" t="s">
        <v>54</v>
      </c>
    </row>
    <row r="2" spans="1:11">
      <c r="A2" s="2" t="s">
        <v>757</v>
      </c>
      <c r="G2" s="1"/>
    </row>
    <row r="3" spans="1:11">
      <c r="A3" s="2" t="s">
        <v>1146</v>
      </c>
    </row>
    <row r="4" spans="1:11">
      <c r="A4" s="2" t="str">
        <f ca="1">"Sheet: "&amp;MID(CELL("filename",A1),FIND("]",CELL("filename",A1))+1,255)</f>
        <v>Sheet: SUMMARY</v>
      </c>
    </row>
    <row r="6" spans="1:11" ht="15.75">
      <c r="A6" s="166" t="s">
        <v>848</v>
      </c>
    </row>
    <row r="8" spans="1:11">
      <c r="A8" s="2" t="s">
        <v>97</v>
      </c>
      <c r="B8" s="2"/>
      <c r="C8" s="2"/>
      <c r="D8" s="2"/>
      <c r="E8" s="2"/>
      <c r="F8" s="2"/>
      <c r="G8" s="2"/>
      <c r="H8" s="2"/>
      <c r="I8" s="2"/>
      <c r="J8" s="2"/>
      <c r="K8" s="2"/>
    </row>
    <row r="9" spans="1:11">
      <c r="A9" s="2"/>
      <c r="B9" s="2"/>
      <c r="C9" s="2"/>
      <c r="D9" s="2"/>
      <c r="E9" s="2"/>
      <c r="F9" s="2"/>
      <c r="G9" s="2"/>
      <c r="H9" s="2"/>
      <c r="I9" s="2"/>
      <c r="J9" s="2"/>
      <c r="K9" s="2"/>
    </row>
    <row r="10" spans="1:11">
      <c r="A10" s="2" t="s">
        <v>89</v>
      </c>
      <c r="B10" s="2"/>
      <c r="C10" s="2"/>
      <c r="D10" s="2"/>
      <c r="E10" s="2"/>
      <c r="F10" s="2"/>
      <c r="G10" s="2"/>
      <c r="H10" s="2"/>
      <c r="I10" s="2"/>
      <c r="J10" s="2"/>
      <c r="K10" s="2"/>
    </row>
    <row r="11" spans="1:11">
      <c r="A11" s="2" t="s">
        <v>79</v>
      </c>
      <c r="B11" s="2"/>
      <c r="C11" s="2"/>
      <c r="D11" s="2"/>
      <c r="E11" s="2"/>
      <c r="F11" s="2"/>
      <c r="G11" s="2"/>
      <c r="H11" s="2"/>
      <c r="I11" s="2"/>
      <c r="J11" s="2"/>
      <c r="K11" s="2"/>
    </row>
    <row r="12" spans="1:11">
      <c r="A12" s="2"/>
      <c r="B12" s="2"/>
      <c r="C12" s="2"/>
      <c r="D12" s="2"/>
      <c r="E12" s="2"/>
      <c r="F12" s="2"/>
      <c r="G12" s="2"/>
      <c r="H12" s="2"/>
      <c r="I12" s="2"/>
      <c r="J12" s="2"/>
      <c r="K12" s="2"/>
    </row>
    <row r="13" spans="1:11">
      <c r="A13" s="2" t="s">
        <v>57</v>
      </c>
      <c r="B13" s="2"/>
      <c r="C13" s="2"/>
      <c r="D13" s="2"/>
      <c r="E13" s="2"/>
      <c r="F13" s="2"/>
      <c r="G13" s="2"/>
      <c r="H13" s="2"/>
      <c r="I13" s="2"/>
      <c r="J13" s="2"/>
      <c r="K13" s="2"/>
    </row>
    <row r="14" spans="1:11">
      <c r="A14" s="2"/>
      <c r="B14" s="2"/>
      <c r="C14" s="2"/>
      <c r="D14" s="2"/>
      <c r="E14" s="2"/>
      <c r="F14" s="2"/>
      <c r="G14" s="2"/>
      <c r="H14" s="2"/>
      <c r="I14" s="2"/>
      <c r="J14" s="2"/>
      <c r="K14" s="2"/>
    </row>
    <row r="15" spans="1:11">
      <c r="A15" s="2" t="s">
        <v>339</v>
      </c>
      <c r="B15" s="2"/>
      <c r="C15" s="2"/>
      <c r="D15" s="2"/>
      <c r="E15" s="2"/>
      <c r="F15" s="2"/>
      <c r="G15" s="2"/>
      <c r="H15" s="2"/>
      <c r="I15" s="2"/>
      <c r="J15" s="2"/>
      <c r="K15" s="2"/>
    </row>
    <row r="16" spans="1:11">
      <c r="A16" s="2"/>
      <c r="B16" s="2"/>
      <c r="C16" s="2"/>
      <c r="D16" s="2"/>
      <c r="E16" s="2"/>
      <c r="F16" s="2"/>
      <c r="G16" s="2"/>
      <c r="H16" s="2"/>
      <c r="I16" s="2"/>
      <c r="J16" s="2"/>
      <c r="K16" s="2"/>
    </row>
    <row r="17" spans="1:11">
      <c r="A17" s="2" t="s">
        <v>58</v>
      </c>
      <c r="B17" s="2"/>
      <c r="C17" s="2"/>
      <c r="D17" s="2"/>
      <c r="E17" s="2"/>
      <c r="F17" s="2"/>
      <c r="G17" s="2"/>
      <c r="H17" s="2"/>
      <c r="I17" s="2"/>
      <c r="J17" s="2"/>
      <c r="K17" s="2"/>
    </row>
    <row r="18" spans="1:11">
      <c r="A18" s="2" t="s">
        <v>98</v>
      </c>
      <c r="B18" s="2"/>
      <c r="C18" s="2"/>
      <c r="D18" s="2"/>
      <c r="E18" s="2"/>
      <c r="F18" s="2"/>
      <c r="G18" s="2"/>
      <c r="H18" s="2"/>
      <c r="I18" s="2"/>
      <c r="J18" s="2"/>
      <c r="K18" s="2"/>
    </row>
    <row r="19" spans="1:11">
      <c r="A19" s="2"/>
      <c r="B19" s="2"/>
      <c r="C19" s="2"/>
      <c r="D19" s="2"/>
      <c r="E19" s="2"/>
      <c r="F19" s="2"/>
      <c r="G19" s="2"/>
      <c r="H19" s="2"/>
      <c r="I19" s="2"/>
      <c r="J19" s="2"/>
      <c r="K19" s="2"/>
    </row>
    <row r="20" spans="1:11">
      <c r="B20" s="2"/>
      <c r="C20" s="2"/>
      <c r="D20" s="2"/>
      <c r="E20" s="2"/>
      <c r="F20" s="2"/>
      <c r="G20" s="2"/>
      <c r="H20" s="2"/>
      <c r="I20" s="2"/>
      <c r="J20" s="2"/>
      <c r="K20" s="2"/>
    </row>
  </sheetData>
  <pageMargins left="0.7" right="0.7" top="0.75" bottom="0.75" header="0.3" footer="0.3"/>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11286-A271-2F47-98C9-33471C5BA907}">
  <dimension ref="A1:FZ292"/>
  <sheetViews>
    <sheetView zoomScale="130" zoomScaleNormal="130" workbookViewId="0">
      <selection activeCell="J11" sqref="J11"/>
    </sheetView>
  </sheetViews>
  <sheetFormatPr defaultColWidth="9.375" defaultRowHeight="12.75"/>
  <cols>
    <col min="1" max="2" width="9.5" style="763" bestFit="1" customWidth="1"/>
    <col min="3" max="3" width="18" style="763" customWidth="1"/>
    <col min="4" max="11" width="9.5" style="763" bestFit="1" customWidth="1"/>
    <col min="12" max="12" width="11.125" style="763" bestFit="1" customWidth="1"/>
    <col min="13" max="26" width="9.5" style="763" bestFit="1" customWidth="1"/>
    <col min="27" max="28" width="9.375" style="763"/>
    <col min="29" max="32" width="9.5" style="763" bestFit="1" customWidth="1"/>
    <col min="33" max="78" width="9.375" style="763"/>
    <col min="79" max="79" width="9.5" style="763" bestFit="1" customWidth="1"/>
    <col min="80" max="80" width="18.625" style="763" customWidth="1"/>
    <col min="81" max="81" width="9.5" style="763" bestFit="1" customWidth="1"/>
    <col min="82" max="82" width="9.375" style="763" customWidth="1"/>
    <col min="83" max="85" width="9.5" style="763" bestFit="1" customWidth="1"/>
    <col min="86" max="86" width="14.625" style="763" customWidth="1"/>
    <col min="87" max="90" width="9.5" style="763" bestFit="1" customWidth="1"/>
    <col min="91" max="91" width="10" style="763" bestFit="1" customWidth="1"/>
    <col min="92" max="94" width="9.5" style="763" bestFit="1" customWidth="1"/>
    <col min="95" max="100" width="9.375" style="763"/>
    <col min="101" max="101" width="9.5" style="763" bestFit="1" customWidth="1"/>
    <col min="102" max="16384" width="9.375" style="763"/>
  </cols>
  <sheetData>
    <row r="1" spans="1:133" s="741" customFormat="1">
      <c r="CA1" s="744">
        <v>7</v>
      </c>
      <c r="CB1" s="744">
        <f>'ENTER SFAM ID'!C8</f>
        <v>23472093</v>
      </c>
      <c r="CC1" s="745"/>
      <c r="CD1" s="741">
        <v>2</v>
      </c>
      <c r="CE1" s="741">
        <v>3</v>
      </c>
      <c r="CF1" s="741">
        <v>4</v>
      </c>
      <c r="CG1" s="741">
        <v>5</v>
      </c>
      <c r="CH1" s="741">
        <v>6</v>
      </c>
      <c r="CI1" s="741">
        <v>7</v>
      </c>
      <c r="CJ1" s="741">
        <v>8</v>
      </c>
      <c r="CK1" s="741">
        <v>9</v>
      </c>
      <c r="CL1" s="741">
        <v>10</v>
      </c>
      <c r="CM1" s="741">
        <v>11</v>
      </c>
      <c r="CN1" s="741">
        <v>12</v>
      </c>
      <c r="CO1" s="741">
        <v>13</v>
      </c>
      <c r="CW1" s="822">
        <v>1</v>
      </c>
      <c r="CX1" s="822" t="s">
        <v>1297</v>
      </c>
      <c r="DD1" s="762">
        <v>1</v>
      </c>
      <c r="DE1" s="762">
        <v>2</v>
      </c>
      <c r="DF1" s="762">
        <v>3</v>
      </c>
      <c r="DG1" s="762">
        <v>4</v>
      </c>
      <c r="DH1" s="762">
        <v>5</v>
      </c>
      <c r="DI1" s="762">
        <v>6</v>
      </c>
      <c r="DJ1" s="762">
        <v>7</v>
      </c>
      <c r="DK1" s="762">
        <v>8</v>
      </c>
      <c r="DL1" s="762">
        <v>9</v>
      </c>
      <c r="DM1" s="762">
        <v>10</v>
      </c>
      <c r="DN1" s="762">
        <v>11</v>
      </c>
      <c r="DO1" s="762">
        <v>12</v>
      </c>
      <c r="DP1" s="762">
        <v>13</v>
      </c>
      <c r="DQ1" s="762">
        <v>14</v>
      </c>
      <c r="DR1" s="762">
        <v>15</v>
      </c>
      <c r="DS1" s="762">
        <v>16</v>
      </c>
      <c r="DT1" s="762">
        <v>17</v>
      </c>
      <c r="DU1" s="762">
        <v>18</v>
      </c>
      <c r="DV1" s="762">
        <v>19</v>
      </c>
      <c r="DW1" s="762">
        <v>20</v>
      </c>
      <c r="DX1" s="762">
        <v>21</v>
      </c>
      <c r="DY1" s="762">
        <v>22</v>
      </c>
      <c r="DZ1" s="762">
        <v>23</v>
      </c>
      <c r="EA1" s="762">
        <v>24</v>
      </c>
      <c r="EB1" s="762">
        <v>25</v>
      </c>
      <c r="EC1" s="762">
        <v>26</v>
      </c>
    </row>
    <row r="2" spans="1:133">
      <c r="CA2" s="746">
        <v>16</v>
      </c>
      <c r="CB2" s="747">
        <f>MOD($CB$1,CA2)+1</f>
        <v>14</v>
      </c>
      <c r="CC2" s="748">
        <f>$CB2</f>
        <v>14</v>
      </c>
      <c r="CD2" s="763">
        <f>RANK($CC2,$CC$2:$CC$3)</f>
        <v>1</v>
      </c>
      <c r="CE2" s="763">
        <f>RANK($CC2,$CC$2:$CC$4)</f>
        <v>1</v>
      </c>
      <c r="CF2" s="763">
        <f>RANK($CC2,$CC$2:$CC$5)</f>
        <v>2</v>
      </c>
      <c r="CG2" s="763">
        <f>RANK($CC2,$CC$2:$CC$6)</f>
        <v>3</v>
      </c>
      <c r="CH2" s="763">
        <f t="shared" ref="CH2:CH7" si="0">RANK($CC2,$CC$2:$CC$7)</f>
        <v>4</v>
      </c>
      <c r="CI2" s="763">
        <f t="shared" ref="CI2:CI8" si="1">RANK($CC2,$CC$2:$CC$8)</f>
        <v>4</v>
      </c>
      <c r="CJ2" s="763">
        <f t="shared" ref="CJ2:CJ9" si="2">RANK($CC2,$CC$2:$CC$9)</f>
        <v>5</v>
      </c>
      <c r="CK2" s="763">
        <f t="shared" ref="CK2:CK10" si="3">RANK($CC2,$CC$2:$CC$10)</f>
        <v>6</v>
      </c>
      <c r="CL2" s="763">
        <f t="shared" ref="CL2:CL11" si="4">RANK($CC2,$CC$2:$CC$11)</f>
        <v>7</v>
      </c>
      <c r="CM2" s="763">
        <f t="shared" ref="CM2:CM12" si="5">RANK($CC2,$CC$2:$CC$12)</f>
        <v>8</v>
      </c>
      <c r="CN2" s="763">
        <f t="shared" ref="CN2:CN13" si="6">RANK($CC2,$CC$2:$CC$13)</f>
        <v>9</v>
      </c>
      <c r="CO2" s="763">
        <f t="shared" ref="CO2:CO14" si="7">RANK($CC2,$CC$2:$CC$14)</f>
        <v>9</v>
      </c>
      <c r="CW2" s="822">
        <v>2</v>
      </c>
      <c r="CX2" s="822" t="s">
        <v>758</v>
      </c>
      <c r="DD2" s="764" t="s">
        <v>1260</v>
      </c>
      <c r="DE2" s="765" t="s">
        <v>1261</v>
      </c>
      <c r="DF2" s="764" t="s">
        <v>1262</v>
      </c>
      <c r="DG2" s="765" t="s">
        <v>1263</v>
      </c>
      <c r="DH2" s="821" t="s">
        <v>1296</v>
      </c>
      <c r="DI2" s="765" t="s">
        <v>1264</v>
      </c>
      <c r="DJ2" s="764" t="s">
        <v>1265</v>
      </c>
      <c r="DK2" s="765" t="s">
        <v>1266</v>
      </c>
      <c r="DL2" s="765" t="s">
        <v>1267</v>
      </c>
      <c r="DM2" s="765" t="s">
        <v>1268</v>
      </c>
      <c r="DN2" s="765" t="s">
        <v>1269</v>
      </c>
      <c r="DO2" s="765" t="s">
        <v>1270</v>
      </c>
      <c r="DP2" s="765" t="s">
        <v>1271</v>
      </c>
      <c r="DQ2" s="765" t="s">
        <v>1272</v>
      </c>
      <c r="DR2" s="765" t="s">
        <v>1273</v>
      </c>
      <c r="DS2" s="765" t="s">
        <v>1274</v>
      </c>
      <c r="DT2" s="765" t="s">
        <v>1275</v>
      </c>
      <c r="DU2" s="765" t="s">
        <v>1276</v>
      </c>
      <c r="DV2" s="765" t="s">
        <v>1277</v>
      </c>
      <c r="DW2" s="765" t="s">
        <v>1278</v>
      </c>
      <c r="DX2" s="765" t="s">
        <v>1279</v>
      </c>
      <c r="DY2" s="765" t="s">
        <v>1280</v>
      </c>
      <c r="DZ2" s="765" t="s">
        <v>1281</v>
      </c>
      <c r="EA2" s="765" t="s">
        <v>1282</v>
      </c>
      <c r="EB2" s="765" t="s">
        <v>1283</v>
      </c>
      <c r="EC2" s="765" t="s">
        <v>1284</v>
      </c>
    </row>
    <row r="3" spans="1:133">
      <c r="CA3" s="746">
        <v>17</v>
      </c>
      <c r="CB3" s="747">
        <f t="shared" ref="CB3:CB15" si="8">MOD($CB$1,CA3)+1</f>
        <v>7</v>
      </c>
      <c r="CC3" s="748">
        <f>IF(COUNTIF($CC$2:$CC2,$CB3)&gt;0,$CB3+0.1*COUNTIF($CB$2:$CB2,$CB3),$CB3)</f>
        <v>7</v>
      </c>
      <c r="CD3" s="763">
        <f>RANK(CC3,CC$2:CC$3)</f>
        <v>2</v>
      </c>
      <c r="CE3" s="763">
        <f>RANK($CC3,$CC$2:$CC$4)</f>
        <v>3</v>
      </c>
      <c r="CF3" s="763">
        <f>RANK($CC3,$CC$2:$CC$5)</f>
        <v>4</v>
      </c>
      <c r="CG3" s="763">
        <f>RANK($CC3,$CC$2:$CC$6)</f>
        <v>5</v>
      </c>
      <c r="CH3" s="763">
        <f t="shared" si="0"/>
        <v>6</v>
      </c>
      <c r="CI3" s="763">
        <f t="shared" si="1"/>
        <v>7</v>
      </c>
      <c r="CJ3" s="763">
        <f t="shared" si="2"/>
        <v>8</v>
      </c>
      <c r="CK3" s="763">
        <f t="shared" si="3"/>
        <v>9</v>
      </c>
      <c r="CL3" s="763">
        <f t="shared" si="4"/>
        <v>10</v>
      </c>
      <c r="CM3" s="763">
        <f t="shared" si="5"/>
        <v>11</v>
      </c>
      <c r="CN3" s="763">
        <f t="shared" si="6"/>
        <v>12</v>
      </c>
      <c r="CO3" s="763">
        <f t="shared" si="7"/>
        <v>12</v>
      </c>
      <c r="CW3" s="822">
        <v>3</v>
      </c>
      <c r="CX3" s="822" t="s">
        <v>759</v>
      </c>
    </row>
    <row r="4" spans="1:133">
      <c r="CA4" s="746">
        <v>19</v>
      </c>
      <c r="CB4" s="747">
        <f t="shared" si="8"/>
        <v>7</v>
      </c>
      <c r="CC4" s="748">
        <f>IF(COUNTIF($CC$2:$CC3,$CB4)&gt;0,$CB4+0.1*COUNTIF($CB$2:$CB3,$CB4),$CB4)</f>
        <v>7.1</v>
      </c>
      <c r="CE4" s="763">
        <f>RANK($CC4,$CC$2:$CC$4)</f>
        <v>2</v>
      </c>
      <c r="CF4" s="763">
        <f>RANK($CC4,$CC$2:$CC$5)</f>
        <v>3</v>
      </c>
      <c r="CG4" s="763">
        <f>RANK($CC4,$CC$2:$CC$6)</f>
        <v>4</v>
      </c>
      <c r="CH4" s="763">
        <f t="shared" si="0"/>
        <v>5</v>
      </c>
      <c r="CI4" s="763">
        <f t="shared" si="1"/>
        <v>6</v>
      </c>
      <c r="CJ4" s="763">
        <f t="shared" si="2"/>
        <v>7</v>
      </c>
      <c r="CK4" s="763">
        <f t="shared" si="3"/>
        <v>8</v>
      </c>
      <c r="CL4" s="763">
        <f t="shared" si="4"/>
        <v>9</v>
      </c>
      <c r="CM4" s="763">
        <f t="shared" si="5"/>
        <v>10</v>
      </c>
      <c r="CN4" s="763">
        <f t="shared" si="6"/>
        <v>11</v>
      </c>
      <c r="CO4" s="763">
        <f t="shared" si="7"/>
        <v>11</v>
      </c>
      <c r="CW4" s="822">
        <v>4</v>
      </c>
      <c r="CX4" s="822" t="s">
        <v>760</v>
      </c>
    </row>
    <row r="5" spans="1:133">
      <c r="CA5" s="746">
        <v>23</v>
      </c>
      <c r="CB5" s="747">
        <f t="shared" si="8"/>
        <v>19</v>
      </c>
      <c r="CC5" s="748">
        <f>IF(COUNTIF($CC$2:$CC4,$CB5)&gt;0,$CB5+0.1*COUNTIF($CB$2:$CB4,$CB5),$CB5)</f>
        <v>19</v>
      </c>
      <c r="CF5" s="763">
        <f>RANK($CC5,$CC$2:$CC$5)</f>
        <v>1</v>
      </c>
      <c r="CG5" s="763">
        <f>RANK($CC5,$CC$2:$CC$6)</f>
        <v>1</v>
      </c>
      <c r="CH5" s="763">
        <f t="shared" si="0"/>
        <v>1</v>
      </c>
      <c r="CI5" s="763">
        <f t="shared" si="1"/>
        <v>1</v>
      </c>
      <c r="CJ5" s="763">
        <f t="shared" si="2"/>
        <v>2</v>
      </c>
      <c r="CK5" s="763">
        <f t="shared" si="3"/>
        <v>3</v>
      </c>
      <c r="CL5" s="763">
        <f t="shared" si="4"/>
        <v>4</v>
      </c>
      <c r="CM5" s="763">
        <f t="shared" si="5"/>
        <v>5</v>
      </c>
      <c r="CN5" s="763">
        <f t="shared" si="6"/>
        <v>6</v>
      </c>
      <c r="CO5" s="763">
        <f t="shared" si="7"/>
        <v>6</v>
      </c>
      <c r="CW5" s="822">
        <v>5</v>
      </c>
      <c r="CX5" s="822" t="s">
        <v>761</v>
      </c>
    </row>
    <row r="6" spans="1:133">
      <c r="CA6" s="746">
        <v>20</v>
      </c>
      <c r="CB6" s="747">
        <f t="shared" si="8"/>
        <v>14</v>
      </c>
      <c r="CC6" s="748">
        <f>IF(COUNTIF($CC$2:$CC5,$CB6)&gt;0,$CB6+0.1*COUNTIF($CB$2:$CB5,$CB6),$CB6)</f>
        <v>14.1</v>
      </c>
      <c r="CG6" s="763">
        <f>RANK($CC6,$CC$2:$CC$6)</f>
        <v>2</v>
      </c>
      <c r="CH6" s="763">
        <f t="shared" si="0"/>
        <v>3</v>
      </c>
      <c r="CI6" s="763">
        <f t="shared" si="1"/>
        <v>3</v>
      </c>
      <c r="CJ6" s="763">
        <f t="shared" si="2"/>
        <v>4</v>
      </c>
      <c r="CK6" s="763">
        <f t="shared" si="3"/>
        <v>5</v>
      </c>
      <c r="CL6" s="763">
        <f t="shared" si="4"/>
        <v>6</v>
      </c>
      <c r="CM6" s="763">
        <f t="shared" si="5"/>
        <v>7</v>
      </c>
      <c r="CN6" s="763">
        <f t="shared" si="6"/>
        <v>8</v>
      </c>
      <c r="CO6" s="763">
        <f t="shared" si="7"/>
        <v>8</v>
      </c>
      <c r="CW6" s="822">
        <v>6</v>
      </c>
      <c r="CX6" s="823" t="s">
        <v>762</v>
      </c>
    </row>
    <row r="7" spans="1:133">
      <c r="CA7" s="746">
        <v>21</v>
      </c>
      <c r="CB7" s="747">
        <f t="shared" si="8"/>
        <v>16</v>
      </c>
      <c r="CC7" s="748">
        <f>IF(COUNTIF($CC$2:$CC6,$CB7)&gt;0,$CB7+0.1*COUNTIF($CB$2:$CB6,$CB7),$CB7)</f>
        <v>16</v>
      </c>
      <c r="CH7" s="763">
        <f t="shared" si="0"/>
        <v>2</v>
      </c>
      <c r="CI7" s="763">
        <f t="shared" si="1"/>
        <v>2</v>
      </c>
      <c r="CJ7" s="763">
        <f t="shared" si="2"/>
        <v>3</v>
      </c>
      <c r="CK7" s="763">
        <f t="shared" si="3"/>
        <v>4</v>
      </c>
      <c r="CL7" s="763">
        <f t="shared" si="4"/>
        <v>5</v>
      </c>
      <c r="CM7" s="763">
        <f t="shared" si="5"/>
        <v>6</v>
      </c>
      <c r="CN7" s="763">
        <f t="shared" si="6"/>
        <v>7</v>
      </c>
      <c r="CO7" s="763">
        <f t="shared" si="7"/>
        <v>7</v>
      </c>
      <c r="CW7" s="822">
        <v>7</v>
      </c>
      <c r="CX7" s="823" t="s">
        <v>763</v>
      </c>
    </row>
    <row r="8" spans="1:133">
      <c r="CA8" s="746">
        <v>22</v>
      </c>
      <c r="CB8" s="747">
        <f t="shared" si="8"/>
        <v>8</v>
      </c>
      <c r="CC8" s="748">
        <f>IF(COUNTIF($CC$2:$CC7,$CB8)&gt;0,$CB8+0.1*COUNTIF($CB$2:$CB7,$CB8),$CB8)</f>
        <v>8</v>
      </c>
      <c r="CI8" s="763">
        <f t="shared" si="1"/>
        <v>5</v>
      </c>
      <c r="CJ8" s="763">
        <f t="shared" si="2"/>
        <v>6</v>
      </c>
      <c r="CK8" s="763">
        <f t="shared" si="3"/>
        <v>7</v>
      </c>
      <c r="CL8" s="763">
        <f t="shared" si="4"/>
        <v>8</v>
      </c>
      <c r="CM8" s="763">
        <f t="shared" si="5"/>
        <v>9</v>
      </c>
      <c r="CN8" s="763">
        <f t="shared" si="6"/>
        <v>10</v>
      </c>
      <c r="CO8" s="763">
        <f t="shared" si="7"/>
        <v>10</v>
      </c>
      <c r="CW8" s="822">
        <v>8</v>
      </c>
      <c r="CX8" s="823" t="s">
        <v>1298</v>
      </c>
    </row>
    <row r="9" spans="1:133">
      <c r="CA9" s="746">
        <v>23</v>
      </c>
      <c r="CB9" s="747">
        <f t="shared" si="8"/>
        <v>19</v>
      </c>
      <c r="CC9" s="748">
        <f>IF(COUNTIF($CC$2:$CC8,$CB9)&gt;0,$CB9+0.1*COUNTIF($CB$2:$CB8,$CB9),$CB9)</f>
        <v>19.100000000000001</v>
      </c>
      <c r="CJ9" s="763">
        <f t="shared" si="2"/>
        <v>1</v>
      </c>
      <c r="CK9" s="763">
        <f t="shared" si="3"/>
        <v>2</v>
      </c>
      <c r="CL9" s="763">
        <f t="shared" si="4"/>
        <v>3</v>
      </c>
      <c r="CM9" s="763">
        <f t="shared" si="5"/>
        <v>4</v>
      </c>
      <c r="CN9" s="763">
        <f t="shared" si="6"/>
        <v>5</v>
      </c>
      <c r="CO9" s="763">
        <f t="shared" si="7"/>
        <v>5</v>
      </c>
      <c r="CW9" s="822">
        <v>9</v>
      </c>
      <c r="CX9" s="823" t="s">
        <v>764</v>
      </c>
    </row>
    <row r="10" spans="1:133">
      <c r="CA10" s="746">
        <v>24</v>
      </c>
      <c r="CB10" s="747">
        <f t="shared" si="8"/>
        <v>22</v>
      </c>
      <c r="CC10" s="748">
        <f>IF(COUNTIF($CC$2:$CC9,$CB10)&gt;0,$CB10+0.1*COUNTIF($CB$2:$CB9,$CB10),$CB10)</f>
        <v>22</v>
      </c>
      <c r="CK10" s="763">
        <f t="shared" si="3"/>
        <v>1</v>
      </c>
      <c r="CL10" s="763">
        <f t="shared" si="4"/>
        <v>1</v>
      </c>
      <c r="CM10" s="763">
        <f t="shared" si="5"/>
        <v>2</v>
      </c>
      <c r="CN10" s="763">
        <f t="shared" si="6"/>
        <v>3</v>
      </c>
      <c r="CO10" s="763">
        <f t="shared" si="7"/>
        <v>3</v>
      </c>
      <c r="CW10" s="822">
        <v>10</v>
      </c>
      <c r="CX10" s="823" t="s">
        <v>765</v>
      </c>
    </row>
    <row r="11" spans="1:133">
      <c r="CA11" s="746">
        <v>25</v>
      </c>
      <c r="CB11" s="747">
        <f t="shared" si="8"/>
        <v>19</v>
      </c>
      <c r="CC11" s="748">
        <f>IF(COUNTIF($CC$2:$CC10,$CB11)&gt;0,$CB11+0.1*COUNTIF($CB$2:$CB10,$CB11),$CB11)</f>
        <v>19.2</v>
      </c>
      <c r="CL11" s="763">
        <f t="shared" si="4"/>
        <v>2</v>
      </c>
      <c r="CM11" s="763">
        <f t="shared" si="5"/>
        <v>3</v>
      </c>
      <c r="CN11" s="763">
        <f t="shared" si="6"/>
        <v>4</v>
      </c>
      <c r="CO11" s="763">
        <f t="shared" si="7"/>
        <v>4</v>
      </c>
      <c r="CW11" s="822">
        <v>11</v>
      </c>
      <c r="CX11" s="823" t="s">
        <v>1299</v>
      </c>
    </row>
    <row r="12" spans="1:133">
      <c r="CA12" s="746">
        <v>26</v>
      </c>
      <c r="CB12" s="747">
        <f t="shared" si="8"/>
        <v>22</v>
      </c>
      <c r="CC12" s="748">
        <f>IF(COUNTIF($CC$2:$CC11,$CB12)&gt;0,$CB12+0.1*COUNTIF($CB$2:$CB11,$CB12),$CB12)</f>
        <v>22.1</v>
      </c>
      <c r="CM12" s="763">
        <f t="shared" si="5"/>
        <v>1</v>
      </c>
      <c r="CN12" s="763">
        <f t="shared" si="6"/>
        <v>2</v>
      </c>
      <c r="CO12" s="763">
        <f t="shared" si="7"/>
        <v>2</v>
      </c>
      <c r="CW12" s="822">
        <v>12</v>
      </c>
      <c r="CX12" s="823" t="s">
        <v>1300</v>
      </c>
    </row>
    <row r="13" spans="1:133">
      <c r="A13" s="762"/>
      <c r="B13" s="762"/>
      <c r="C13" s="762"/>
      <c r="D13" s="762"/>
      <c r="E13" s="766"/>
      <c r="F13" s="766"/>
      <c r="G13" s="766"/>
      <c r="H13" s="766"/>
      <c r="R13" s="762"/>
      <c r="S13" s="762"/>
      <c r="T13" s="762"/>
      <c r="U13" s="762"/>
      <c r="CA13" s="746">
        <v>27</v>
      </c>
      <c r="CB13" s="747">
        <f t="shared" si="8"/>
        <v>22</v>
      </c>
      <c r="CC13" s="748">
        <f>IF(COUNTIF($CC$2:$CC12,$CB13)&gt;0,$CB13+0.1*COUNTIF($CB$2:$CB12,$CB13),$CB13)</f>
        <v>22.2</v>
      </c>
      <c r="CN13" s="763">
        <f t="shared" si="6"/>
        <v>1</v>
      </c>
      <c r="CO13" s="763">
        <f t="shared" si="7"/>
        <v>1</v>
      </c>
      <c r="CW13" s="822">
        <v>13</v>
      </c>
      <c r="CX13" s="823" t="s">
        <v>1301</v>
      </c>
    </row>
    <row r="14" spans="1:133">
      <c r="A14" s="761"/>
      <c r="B14" s="762"/>
      <c r="C14" s="762"/>
      <c r="D14" s="762"/>
      <c r="E14" s="762"/>
      <c r="F14" s="762"/>
      <c r="G14" s="762"/>
      <c r="H14" s="762"/>
      <c r="R14" s="761"/>
      <c r="S14" s="762"/>
      <c r="T14" s="762"/>
      <c r="U14" s="762"/>
      <c r="CA14" s="746">
        <v>28</v>
      </c>
      <c r="CB14" s="747">
        <f t="shared" si="8"/>
        <v>2</v>
      </c>
      <c r="CC14" s="748">
        <f>IF(COUNTIF($CC$2:$CC13,$CB14)&gt;0,$CB14+0.1*COUNTIF($CB$2:$CB13,$CB14),$CB14)</f>
        <v>2</v>
      </c>
      <c r="CO14" s="763">
        <f t="shared" si="7"/>
        <v>13</v>
      </c>
      <c r="CW14" s="822">
        <v>14</v>
      </c>
      <c r="CX14" s="823" t="s">
        <v>1302</v>
      </c>
    </row>
    <row r="15" spans="1:133">
      <c r="A15" s="761"/>
      <c r="B15" s="762"/>
      <c r="C15" s="762"/>
      <c r="D15" s="762"/>
      <c r="E15" s="762"/>
      <c r="F15" s="762"/>
      <c r="G15" s="762"/>
      <c r="H15" s="762"/>
      <c r="R15" s="761"/>
      <c r="S15" s="762"/>
      <c r="T15" s="762"/>
      <c r="U15" s="762"/>
      <c r="CA15" s="746">
        <v>29</v>
      </c>
      <c r="CB15" s="747">
        <f t="shared" si="8"/>
        <v>16</v>
      </c>
      <c r="CC15" s="748">
        <f>IF(COUNTIF($CC$2:$CC14,$CB15)&gt;0,$CB15+0.1*COUNTIF($CB$2:$CB14,$CB15),$CB15)</f>
        <v>16.100000000000001</v>
      </c>
      <c r="CW15" s="822">
        <v>15</v>
      </c>
      <c r="CX15" s="822" t="s">
        <v>1303</v>
      </c>
    </row>
    <row r="16" spans="1:133">
      <c r="B16" s="762"/>
      <c r="C16" s="762"/>
      <c r="D16" s="762"/>
      <c r="E16" s="762"/>
      <c r="F16" s="762"/>
      <c r="G16" s="762"/>
      <c r="H16" s="762"/>
      <c r="S16" s="762"/>
      <c r="T16" s="762"/>
      <c r="U16" s="762"/>
      <c r="CW16" s="822">
        <v>16</v>
      </c>
      <c r="CX16" s="822"/>
    </row>
    <row r="17" spans="1:102">
      <c r="A17" s="762"/>
      <c r="B17" s="767"/>
      <c r="C17" s="762"/>
      <c r="D17" s="762"/>
      <c r="E17" s="762"/>
      <c r="F17" s="762"/>
      <c r="G17" s="762"/>
      <c r="H17" s="762"/>
      <c r="R17" s="762"/>
      <c r="S17" s="767"/>
      <c r="T17" s="762"/>
      <c r="U17" s="762"/>
      <c r="CW17" s="822">
        <v>17</v>
      </c>
      <c r="CX17" s="822"/>
    </row>
    <row r="18" spans="1:102">
      <c r="A18" s="762"/>
      <c r="B18" s="767"/>
      <c r="C18" s="762"/>
      <c r="D18" s="762"/>
      <c r="E18" s="762"/>
      <c r="F18" s="762"/>
      <c r="G18" s="762"/>
      <c r="H18" s="762"/>
      <c r="R18" s="762"/>
      <c r="S18" s="767"/>
      <c r="T18" s="762"/>
      <c r="U18" s="762"/>
      <c r="CW18" s="822">
        <v>18</v>
      </c>
      <c r="CX18" s="823" t="s">
        <v>766</v>
      </c>
    </row>
    <row r="19" spans="1:102">
      <c r="A19" s="761"/>
      <c r="B19" s="767"/>
      <c r="C19" s="761"/>
      <c r="D19" s="761"/>
      <c r="E19" s="761"/>
      <c r="F19" s="761"/>
      <c r="G19" s="761"/>
      <c r="H19" s="761"/>
      <c r="R19" s="761"/>
      <c r="S19" s="768"/>
      <c r="T19" s="761"/>
      <c r="U19" s="761"/>
      <c r="CW19" s="822">
        <v>19</v>
      </c>
      <c r="CX19" s="822" t="s">
        <v>767</v>
      </c>
    </row>
    <row r="20" spans="1:102">
      <c r="A20" s="761"/>
      <c r="B20" s="767"/>
      <c r="C20" s="761"/>
      <c r="D20" s="761"/>
      <c r="R20" s="761"/>
      <c r="S20" s="768"/>
      <c r="T20" s="761"/>
      <c r="U20" s="761"/>
      <c r="CW20" s="822">
        <v>20</v>
      </c>
      <c r="CX20" s="822" t="s">
        <v>1304</v>
      </c>
    </row>
    <row r="21" spans="1:102">
      <c r="A21" s="761"/>
      <c r="B21" s="768"/>
      <c r="C21" s="761"/>
      <c r="D21" s="761"/>
      <c r="E21" s="767"/>
      <c r="F21" s="767"/>
      <c r="G21" s="767"/>
      <c r="H21" s="767"/>
      <c r="R21" s="761"/>
      <c r="S21" s="768"/>
      <c r="T21" s="761"/>
      <c r="U21" s="761"/>
      <c r="CW21" s="761"/>
      <c r="CX21" s="761"/>
    </row>
    <row r="22" spans="1:102">
      <c r="A22" s="761"/>
      <c r="B22" s="768"/>
      <c r="C22" s="761"/>
      <c r="D22" s="761"/>
      <c r="E22" s="767"/>
      <c r="F22" s="767"/>
      <c r="G22" s="767"/>
      <c r="H22" s="767"/>
      <c r="R22" s="761"/>
      <c r="S22" s="768"/>
      <c r="T22" s="761"/>
      <c r="U22" s="761"/>
      <c r="CW22" s="761"/>
      <c r="CX22" s="761"/>
    </row>
    <row r="23" spans="1:102">
      <c r="A23" s="761"/>
      <c r="B23" s="769"/>
      <c r="D23" s="770"/>
      <c r="E23" s="769"/>
      <c r="F23" s="769"/>
      <c r="R23" s="761"/>
      <c r="S23" s="769"/>
      <c r="T23" s="769"/>
      <c r="U23" s="769"/>
      <c r="CA23" s="769">
        <v>1</v>
      </c>
      <c r="CC23" s="771"/>
      <c r="CD23" s="769" t="b">
        <f>'INTRO Modeling'!A381</f>
        <v>0</v>
      </c>
      <c r="CH23" s="769">
        <f>CH2</f>
        <v>4</v>
      </c>
      <c r="CI23" s="769">
        <f t="shared" ref="CI23:CI28" si="9">IF(MOD(CH23,2)=1,0,1)</f>
        <v>1</v>
      </c>
      <c r="CJ23" s="202"/>
      <c r="CK23" s="769" t="s">
        <v>89</v>
      </c>
      <c r="CL23" s="202" t="s">
        <v>693</v>
      </c>
    </row>
    <row r="24" spans="1:102">
      <c r="A24" s="761"/>
      <c r="B24" s="769"/>
      <c r="D24" s="770"/>
      <c r="E24" s="769"/>
      <c r="F24" s="769"/>
      <c r="R24" s="761"/>
      <c r="S24" s="769"/>
      <c r="T24" s="769"/>
      <c r="U24" s="769"/>
      <c r="CA24" s="769">
        <v>2</v>
      </c>
      <c r="CC24" s="771"/>
      <c r="CD24" s="769" t="b">
        <f>'INTRO Modeling'!A382</f>
        <v>0</v>
      </c>
      <c r="CH24" s="769">
        <f t="shared" ref="CH24:CH28" si="10">CH3</f>
        <v>6</v>
      </c>
      <c r="CI24" s="769">
        <f t="shared" si="9"/>
        <v>1</v>
      </c>
      <c r="CJ24" s="202"/>
      <c r="CK24" s="769" t="s">
        <v>180</v>
      </c>
      <c r="CL24" s="769" t="s">
        <v>694</v>
      </c>
    </row>
    <row r="25" spans="1:102">
      <c r="A25" s="761"/>
      <c r="B25" s="769"/>
      <c r="D25" s="770"/>
      <c r="E25" s="769"/>
      <c r="F25" s="769"/>
      <c r="CA25" s="769">
        <v>3</v>
      </c>
      <c r="CC25" s="771"/>
      <c r="CD25" s="769" t="b">
        <f>'INTRO Modeling'!A383</f>
        <v>1</v>
      </c>
      <c r="CH25" s="769">
        <f t="shared" si="10"/>
        <v>5</v>
      </c>
      <c r="CI25" s="769">
        <f t="shared" si="9"/>
        <v>0</v>
      </c>
      <c r="CJ25" s="202"/>
      <c r="CK25" s="769" t="s">
        <v>423</v>
      </c>
      <c r="CL25" s="202" t="s">
        <v>469</v>
      </c>
    </row>
    <row r="26" spans="1:102">
      <c r="A26" s="761"/>
      <c r="B26" s="769"/>
      <c r="D26" s="770"/>
      <c r="E26" s="769"/>
      <c r="F26" s="769"/>
      <c r="CA26" s="769">
        <v>4</v>
      </c>
      <c r="CC26" s="771"/>
      <c r="CD26" s="769" t="b">
        <f>'INTRO Modeling'!A384</f>
        <v>1</v>
      </c>
      <c r="CH26" s="769">
        <f t="shared" si="10"/>
        <v>1</v>
      </c>
      <c r="CI26" s="769">
        <f t="shared" si="9"/>
        <v>0</v>
      </c>
      <c r="CJ26" s="202"/>
      <c r="CK26" s="769" t="s">
        <v>467</v>
      </c>
      <c r="CL26" s="769" t="s">
        <v>468</v>
      </c>
    </row>
    <row r="27" spans="1:102">
      <c r="A27" s="761"/>
      <c r="B27" s="769"/>
      <c r="D27" s="770"/>
      <c r="E27" s="769"/>
      <c r="F27" s="769"/>
      <c r="CA27" s="769">
        <v>5</v>
      </c>
      <c r="CC27" s="771"/>
      <c r="CD27" s="769" t="b">
        <f>'INTRO Modeling'!A385</f>
        <v>1</v>
      </c>
      <c r="CH27" s="769">
        <f t="shared" si="10"/>
        <v>3</v>
      </c>
      <c r="CI27" s="769">
        <f t="shared" si="9"/>
        <v>0</v>
      </c>
      <c r="CJ27" s="202"/>
      <c r="CK27" s="769" t="s">
        <v>695</v>
      </c>
      <c r="CL27" s="769" t="s">
        <v>696</v>
      </c>
    </row>
    <row r="28" spans="1:102">
      <c r="A28" s="761"/>
      <c r="B28" s="769"/>
      <c r="D28" s="770"/>
      <c r="E28" s="769"/>
      <c r="F28" s="769"/>
      <c r="CA28" s="769">
        <v>6</v>
      </c>
      <c r="CC28" s="771"/>
      <c r="CD28" s="769" t="b">
        <f>'INTRO Modeling'!A386</f>
        <v>0</v>
      </c>
      <c r="CH28" s="769">
        <f t="shared" si="10"/>
        <v>2</v>
      </c>
      <c r="CI28" s="769">
        <f t="shared" si="9"/>
        <v>1</v>
      </c>
      <c r="CJ28" s="202"/>
      <c r="CK28" s="202" t="s">
        <v>177</v>
      </c>
      <c r="CL28" s="202" t="s">
        <v>466</v>
      </c>
    </row>
    <row r="29" spans="1:102">
      <c r="A29" s="761"/>
      <c r="B29" s="769"/>
      <c r="D29" s="770"/>
      <c r="E29" s="772"/>
      <c r="CA29" s="769">
        <v>7</v>
      </c>
      <c r="CC29" s="770"/>
      <c r="CD29" s="763">
        <f>'INTRO Modeling'!E399</f>
        <v>10025000</v>
      </c>
      <c r="CE29" s="763">
        <f>'INTRO Modeling'!F399</f>
        <v>10038210</v>
      </c>
      <c r="CF29" s="763">
        <f>'INTRO Modeling'!G399</f>
        <v>10245981.560000001</v>
      </c>
      <c r="CK29" s="773">
        <f>'INTRO Modeling'!$E$395-'INTRO Modeling'!$E$396+'INTRO Modeling'!$E$397-'INTRO Modeling'!$E$398</f>
        <v>10025000</v>
      </c>
      <c r="CL29" s="773">
        <f>'INTRO Modeling'!$F$395-'INTRO Modeling'!$F$396+'INTRO Modeling'!$F$397-'INTRO Modeling'!$F$398</f>
        <v>10038210</v>
      </c>
      <c r="CM29" s="773">
        <f>'INTRO Modeling'!$G$395-'INTRO Modeling'!$G$396+'INTRO Modeling'!$G$397-'INTRO Modeling'!$G$398</f>
        <v>10245981.560000001</v>
      </c>
    </row>
    <row r="30" spans="1:102">
      <c r="A30" s="761"/>
      <c r="B30" s="769"/>
      <c r="D30" s="770"/>
      <c r="E30" s="772"/>
      <c r="CA30" s="769">
        <v>8</v>
      </c>
      <c r="CC30" s="770"/>
      <c r="CE30" s="763">
        <f>'INTRO Modeling'!F401</f>
        <v>0.05</v>
      </c>
      <c r="CF30" s="763">
        <f>'INTRO Modeling'!G401</f>
        <v>5.0498056924491518E-2</v>
      </c>
      <c r="CL30" s="763">
        <f>'INTRO Modeling'!$F$396/'INTRO Modeling'!$F$395</f>
        <v>0.05</v>
      </c>
      <c r="CM30" s="763">
        <f>'INTRO Modeling'!$G$396/'INTRO Modeling'!$G$395</f>
        <v>5.0498056924491518E-2</v>
      </c>
    </row>
    <row r="31" spans="1:102">
      <c r="A31" s="761"/>
      <c r="B31" s="769"/>
      <c r="D31" s="770"/>
      <c r="E31" s="772"/>
      <c r="CA31" s="769">
        <v>9</v>
      </c>
      <c r="CC31" s="770"/>
      <c r="CE31" s="763">
        <f>'INTRO Modeling'!F402</f>
        <v>3.9002537430972442E-2</v>
      </c>
      <c r="CF31" s="763">
        <f>'INTRO Modeling'!G402</f>
        <v>4.3203863392835086E-2</v>
      </c>
      <c r="CL31" s="774">
        <f>'INTRO Modeling'!$F$397/'INTRO Modeling'!$F$393</f>
        <v>3.9002537430972442E-2</v>
      </c>
      <c r="CM31" s="774">
        <f>'INTRO Modeling'!$G$397/'INTRO Modeling'!$G$393</f>
        <v>4.3203863392835086E-2</v>
      </c>
    </row>
    <row r="32" spans="1:102">
      <c r="A32" s="761"/>
      <c r="B32" s="769"/>
      <c r="D32" s="770"/>
      <c r="E32" s="772"/>
      <c r="CA32" s="769">
        <v>10</v>
      </c>
      <c r="CC32" s="770"/>
      <c r="CE32" s="763">
        <f>'INTRO Modeling'!F403</f>
        <v>0.63717029792820012</v>
      </c>
      <c r="CF32" s="763">
        <f>'INTRO Modeling'!G403</f>
        <v>0.61938904049076515</v>
      </c>
      <c r="CL32" s="775">
        <f>'INTRO Modeling'!$F$399/'INTRO Modeling'!$F$393</f>
        <v>0.63717029792820012</v>
      </c>
      <c r="CM32" s="775">
        <f>'INTRO Modeling'!$G$399/'INTRO Modeling'!$G$393</f>
        <v>0.61938904049076515</v>
      </c>
    </row>
    <row r="33" spans="1:91">
      <c r="A33" s="761"/>
      <c r="B33" s="769"/>
      <c r="D33" s="770"/>
      <c r="E33" s="772"/>
      <c r="CA33" s="769">
        <v>11</v>
      </c>
      <c r="CC33" s="770"/>
      <c r="CD33" s="763">
        <f>'INTRO Modeling'!E414</f>
        <v>910195</v>
      </c>
      <c r="CE33" s="763">
        <f>'INTRO Modeling'!F414</f>
        <v>690195</v>
      </c>
      <c r="CF33" s="763">
        <f>'INTRO Modeling'!G414</f>
        <v>600195</v>
      </c>
      <c r="CK33" s="776">
        <f>'INTRO Modeling'!$E$410-'INTRO Modeling'!$E$411+'INTRO Modeling'!$E$412+'INTRO Modeling'!$E$413</f>
        <v>910195</v>
      </c>
      <c r="CL33" s="776">
        <f>'INTRO Modeling'!$F$410-'INTRO Modeling'!$F$411+'INTRO Modeling'!$F$412+'INTRO Modeling'!$F$413</f>
        <v>690195</v>
      </c>
      <c r="CM33" s="776">
        <f>'INTRO Modeling'!$G$410-'INTRO Modeling'!$G$411+'INTRO Modeling'!$G$412+'INTRO Modeling'!$G$413</f>
        <v>600195</v>
      </c>
    </row>
    <row r="34" spans="1:91">
      <c r="A34" s="761"/>
      <c r="B34" s="769"/>
      <c r="D34" s="770"/>
      <c r="E34" s="772"/>
      <c r="CA34" s="769">
        <v>12</v>
      </c>
      <c r="CC34" s="770"/>
      <c r="CD34" s="763">
        <f>'INTRO Modeling'!E416</f>
        <v>9.8990788907092189E-2</v>
      </c>
      <c r="CE34" s="763">
        <f>'INTRO Modeling'!F416</f>
        <v>0.13183988046517506</v>
      </c>
      <c r="CF34" s="763">
        <f>'INTRO Modeling'!G416</f>
        <v>0.14488659002166054</v>
      </c>
      <c r="CK34" s="777">
        <f>'INTRO Modeling'!$E$411/'INTRO Modeling'!$E$410</f>
        <v>9.8990788907092189E-2</v>
      </c>
      <c r="CL34" s="777">
        <f>'INTRO Modeling'!$F$411/'INTRO Modeling'!$F$410</f>
        <v>0.13183988046517506</v>
      </c>
      <c r="CM34" s="777">
        <f>'INTRO Modeling'!$G$411/'INTRO Modeling'!$G$410</f>
        <v>0.14488659002166054</v>
      </c>
    </row>
    <row r="35" spans="1:91">
      <c r="A35" s="761"/>
      <c r="B35" s="769"/>
      <c r="D35" s="770"/>
      <c r="E35" s="772"/>
      <c r="CA35" s="769">
        <v>13</v>
      </c>
      <c r="CC35" s="770"/>
      <c r="CD35" s="763">
        <f>'INTRO Modeling'!E427</f>
        <v>32035175</v>
      </c>
      <c r="CE35" s="763">
        <f>'INTRO Modeling'!F427</f>
        <v>34404132.862250008</v>
      </c>
      <c r="CF35" s="763">
        <f>'INTRO Modeling'!G427</f>
        <v>37195330.809021145</v>
      </c>
      <c r="CK35" s="776">
        <f>'INTRO Modeling'!$E$423+'INTRO Modeling'!$E$424-'INTRO Modeling'!$E$425+'INTRO Modeling'!$E$426</f>
        <v>32035175</v>
      </c>
      <c r="CL35" s="776">
        <f>'INTRO Modeling'!$F$423+'INTRO Modeling'!$F$424-'INTRO Modeling'!$F$425+'INTRO Modeling'!$F$426</f>
        <v>34404132.862250008</v>
      </c>
      <c r="CM35" s="776">
        <f>'INTRO Modeling'!$G$423+'INTRO Modeling'!$G$424-'INTRO Modeling'!$G$425+'INTRO Modeling'!$G$426</f>
        <v>37195330.809021145</v>
      </c>
    </row>
    <row r="36" spans="1:91">
      <c r="A36" s="761"/>
      <c r="B36" s="769"/>
      <c r="D36" s="770"/>
      <c r="E36" s="778"/>
      <c r="L36" s="743"/>
      <c r="M36" s="743"/>
      <c r="N36" s="743"/>
      <c r="O36" s="743"/>
      <c r="CA36" s="769">
        <v>14</v>
      </c>
      <c r="CC36" s="770"/>
      <c r="CD36" s="763">
        <f>'INTRO Modeling'!C437</f>
        <v>0</v>
      </c>
      <c r="CE36" s="763" t="str">
        <f>'INTRO Modeling'!D437</f>
        <v>+</v>
      </c>
      <c r="CF36" s="763" t="str">
        <f>'INTRO Modeling'!E437</f>
        <v>-</v>
      </c>
      <c r="CG36" s="763">
        <f>'INTRO Modeling'!F437</f>
        <v>0</v>
      </c>
    </row>
    <row r="37" spans="1:91">
      <c r="A37" s="761"/>
      <c r="B37" s="769"/>
      <c r="D37" s="770"/>
      <c r="E37" s="778"/>
      <c r="L37" s="743"/>
      <c r="M37" s="743"/>
      <c r="N37" s="743"/>
      <c r="O37" s="743"/>
      <c r="CA37" s="769">
        <v>15</v>
      </c>
      <c r="CC37" s="770"/>
      <c r="CD37" s="763">
        <f>'INTRO Modeling'!C439</f>
        <v>0</v>
      </c>
      <c r="CE37" s="763" t="str">
        <f>'INTRO Modeling'!D439</f>
        <v>+</v>
      </c>
      <c r="CF37" s="763">
        <f>'INTRO Modeling'!E439</f>
        <v>0</v>
      </c>
      <c r="CG37" s="763" t="str">
        <f>'INTRO Modeling'!F439</f>
        <v>-</v>
      </c>
    </row>
    <row r="38" spans="1:91">
      <c r="A38" s="761"/>
      <c r="B38" s="769"/>
      <c r="D38" s="770"/>
      <c r="E38" s="778"/>
      <c r="L38" s="743"/>
      <c r="M38" s="743"/>
      <c r="N38" s="743"/>
      <c r="O38" s="743"/>
      <c r="CA38" s="769">
        <v>16</v>
      </c>
      <c r="CC38" s="770"/>
      <c r="CD38" s="763">
        <f>'INTRO Modeling'!C440</f>
        <v>0</v>
      </c>
      <c r="CE38" s="763" t="str">
        <f>'INTRO Modeling'!D440</f>
        <v>-</v>
      </c>
      <c r="CF38" s="763" t="str">
        <f>'INTRO Modeling'!E440</f>
        <v>+</v>
      </c>
      <c r="CG38" s="763">
        <f>'INTRO Modeling'!F440</f>
        <v>0</v>
      </c>
    </row>
    <row r="39" spans="1:91">
      <c r="A39" s="761"/>
      <c r="B39" s="769"/>
      <c r="D39" s="770"/>
      <c r="E39" s="778"/>
      <c r="L39" s="743"/>
      <c r="M39" s="743"/>
      <c r="N39" s="743"/>
      <c r="O39" s="743"/>
      <c r="CA39" s="769">
        <v>17</v>
      </c>
      <c r="CC39" s="770"/>
      <c r="CD39" s="763">
        <f>'INTRO Modeling'!C441</f>
        <v>0</v>
      </c>
      <c r="CE39" s="763" t="str">
        <f>'INTRO Modeling'!D441</f>
        <v>-</v>
      </c>
      <c r="CF39" s="763">
        <f>'INTRO Modeling'!E441</f>
        <v>0</v>
      </c>
      <c r="CG39" s="763" t="str">
        <f>'INTRO Modeling'!F441</f>
        <v>+</v>
      </c>
    </row>
    <row r="40" spans="1:91">
      <c r="A40" s="761"/>
      <c r="B40" s="769"/>
      <c r="D40" s="770"/>
      <c r="E40" s="778"/>
      <c r="L40" s="743"/>
      <c r="M40" s="743"/>
      <c r="N40" s="743"/>
      <c r="O40" s="743"/>
      <c r="CA40" s="769">
        <v>18</v>
      </c>
      <c r="CC40" s="770"/>
      <c r="CD40" s="763" t="str">
        <f>'INTRO Modeling'!C442</f>
        <v>+</v>
      </c>
      <c r="CE40" s="763" t="str">
        <f>'INTRO Modeling'!D442</f>
        <v>+</v>
      </c>
      <c r="CF40" s="763">
        <f>'INTRO Modeling'!E442</f>
        <v>0</v>
      </c>
      <c r="CG40" s="763">
        <f>'INTRO Modeling'!F442</f>
        <v>0</v>
      </c>
    </row>
    <row r="41" spans="1:91">
      <c r="A41" s="761"/>
      <c r="B41" s="769"/>
      <c r="D41" s="770"/>
      <c r="E41" s="778"/>
      <c r="L41" s="743"/>
      <c r="M41" s="743"/>
      <c r="N41" s="743"/>
      <c r="O41" s="743"/>
      <c r="CA41" s="769">
        <v>19</v>
      </c>
      <c r="CC41" s="770"/>
      <c r="CD41" s="763" t="str">
        <f>'INTRO Modeling'!C443</f>
        <v>-</v>
      </c>
      <c r="CE41" s="763" t="str">
        <f>'INTRO Modeling'!D443</f>
        <v>-</v>
      </c>
      <c r="CF41" s="763">
        <f>'INTRO Modeling'!E443</f>
        <v>0</v>
      </c>
      <c r="CG41" s="763">
        <f>'INTRO Modeling'!F443</f>
        <v>0</v>
      </c>
    </row>
    <row r="42" spans="1:91">
      <c r="A42" s="761"/>
      <c r="B42" s="769"/>
      <c r="D42" s="771"/>
      <c r="E42" s="769"/>
      <c r="F42" s="769"/>
      <c r="G42" s="769"/>
      <c r="H42" s="769"/>
      <c r="K42" s="769"/>
      <c r="L42" s="769"/>
      <c r="M42" s="769"/>
      <c r="N42" s="769"/>
      <c r="Q42" s="769"/>
      <c r="R42" s="769"/>
      <c r="S42" s="769"/>
      <c r="T42" s="769"/>
      <c r="CA42" s="769">
        <v>20</v>
      </c>
      <c r="CC42" s="770"/>
      <c r="CD42" s="763">
        <f>'INTRO Modeling'!F452</f>
        <v>1223.2360000000001</v>
      </c>
      <c r="CE42" s="763">
        <f>'INTRO Modeling'!G452</f>
        <v>1224.2360000000001</v>
      </c>
      <c r="CK42" s="779">
        <f>'INTRO Modeling'!$E$452*(1+'INTRO Modeling'!$F$453)</f>
        <v>1223.2360000000001</v>
      </c>
      <c r="CL42" s="779">
        <f>'INTRO Modeling'!$F$452*(1+'INTRO Modeling'!$G$453)</f>
        <v>1352.8990160000003</v>
      </c>
    </row>
    <row r="43" spans="1:91">
      <c r="A43" s="761"/>
      <c r="B43" s="769"/>
      <c r="D43" s="771"/>
      <c r="E43" s="769"/>
      <c r="F43" s="769"/>
      <c r="G43" s="769"/>
      <c r="H43" s="769"/>
      <c r="K43" s="769"/>
      <c r="L43" s="769"/>
      <c r="M43" s="769"/>
      <c r="N43" s="769"/>
      <c r="Q43" s="769"/>
      <c r="R43" s="769"/>
      <c r="S43" s="769"/>
      <c r="T43" s="769"/>
      <c r="CA43" s="769">
        <v>21</v>
      </c>
      <c r="CC43" s="770"/>
      <c r="CD43" s="763">
        <f>'INTRO Modeling'!F455</f>
        <v>305.80900000000003</v>
      </c>
      <c r="CE43" s="763">
        <f>'INTRO Modeling'!G455</f>
        <v>367.27080000000001</v>
      </c>
      <c r="CK43" s="779">
        <f>'INTRO Modeling'!$F$452*'INTRO Modeling'!$F$454</f>
        <v>305.80900000000003</v>
      </c>
      <c r="CL43" s="779">
        <f>'INTRO Modeling'!$G$452*'INTRO Modeling'!$G$454</f>
        <v>367.27080000000001</v>
      </c>
    </row>
    <row r="44" spans="1:91">
      <c r="A44" s="761"/>
      <c r="B44" s="769"/>
      <c r="D44" s="771"/>
      <c r="E44" s="769"/>
      <c r="F44" s="769"/>
      <c r="G44" s="769"/>
      <c r="H44" s="769"/>
      <c r="K44" s="769"/>
      <c r="L44" s="769"/>
      <c r="M44" s="769"/>
      <c r="N44" s="769"/>
      <c r="Q44" s="769"/>
      <c r="R44" s="769"/>
      <c r="S44" s="769"/>
      <c r="T44" s="769"/>
      <c r="CA44" s="769">
        <v>22</v>
      </c>
      <c r="CC44" s="770"/>
      <c r="CD44" s="780">
        <f>'INTRO Modeling'!F456</f>
        <v>0.38250000000000006</v>
      </c>
      <c r="CE44" s="780">
        <f>'INTRO Modeling'!G456</f>
        <v>0.20098100448319034</v>
      </c>
      <c r="CK44" s="781">
        <f>'INTRO Modeling'!$F$455/'INTRO Modeling'!$E$455-1</f>
        <v>0.38250000000000006</v>
      </c>
      <c r="CL44" s="781">
        <f>'INTRO Modeling'!$G$455/'INTRO Modeling'!$F$455-1</f>
        <v>0.20098100448319034</v>
      </c>
    </row>
    <row r="45" spans="1:91">
      <c r="A45" s="761"/>
      <c r="B45" s="769"/>
      <c r="D45" s="771"/>
      <c r="E45" s="769"/>
      <c r="F45" s="769"/>
      <c r="G45" s="769"/>
      <c r="H45" s="769"/>
      <c r="K45" s="769"/>
      <c r="L45" s="769"/>
      <c r="M45" s="769"/>
      <c r="N45" s="769"/>
      <c r="Q45" s="769"/>
      <c r="R45" s="769"/>
      <c r="S45" s="769"/>
      <c r="T45" s="769"/>
      <c r="CA45" s="769">
        <v>23</v>
      </c>
      <c r="CC45" s="770"/>
      <c r="CD45" s="763">
        <f>'INTRO Modeling'!F458</f>
        <v>29051.855000000003</v>
      </c>
      <c r="CE45" s="763">
        <f>'INTRO Modeling'!G458</f>
        <v>33054.372000000003</v>
      </c>
      <c r="CK45" s="779">
        <f>'INTRO Modeling'!$F$455*'INTRO Modeling'!$F$457</f>
        <v>29051.855000000003</v>
      </c>
      <c r="CL45" s="779">
        <f>'INTRO Modeling'!$G$455*'INTRO Modeling'!$G$457</f>
        <v>33054.372000000003</v>
      </c>
    </row>
    <row r="46" spans="1:91">
      <c r="A46" s="761"/>
      <c r="B46" s="769"/>
      <c r="D46" s="771"/>
      <c r="E46" s="769"/>
      <c r="F46" s="769"/>
      <c r="G46" s="769"/>
      <c r="H46" s="769"/>
      <c r="K46" s="769"/>
      <c r="L46" s="769"/>
      <c r="M46" s="769"/>
      <c r="N46" s="769"/>
      <c r="Q46" s="769"/>
      <c r="R46" s="769"/>
      <c r="S46" s="769"/>
      <c r="T46" s="769"/>
      <c r="CA46" s="769">
        <v>24</v>
      </c>
      <c r="CC46" s="770"/>
      <c r="CD46" s="763">
        <f>'INTRO Modeling'!F460</f>
        <v>18348.54</v>
      </c>
      <c r="CE46" s="763">
        <f>'INTRO Modeling'!G460</f>
        <v>22036.248</v>
      </c>
      <c r="CK46" s="779">
        <f>'INTRO Modeling'!$F$455*'INTRO Modeling'!$F$459</f>
        <v>18348.54</v>
      </c>
      <c r="CL46" s="779">
        <f>'INTRO Modeling'!$G$455*'INTRO Modeling'!$G$459</f>
        <v>22036.248</v>
      </c>
    </row>
    <row r="47" spans="1:91">
      <c r="A47" s="761"/>
      <c r="B47" s="769"/>
      <c r="D47" s="771"/>
      <c r="E47" s="769"/>
      <c r="F47" s="769"/>
      <c r="G47" s="769"/>
      <c r="H47" s="769"/>
      <c r="K47" s="769"/>
      <c r="L47" s="769"/>
      <c r="M47" s="769"/>
      <c r="N47" s="769"/>
      <c r="Q47" s="769"/>
      <c r="R47" s="769"/>
      <c r="S47" s="769"/>
      <c r="T47" s="769"/>
      <c r="CA47" s="769">
        <v>25</v>
      </c>
      <c r="CC47" s="770"/>
      <c r="CD47" s="763">
        <f>'INTRO Modeling'!F461</f>
        <v>10703.315000000002</v>
      </c>
      <c r="CE47" s="763">
        <f>'INTRO Modeling'!G461</f>
        <v>11018.124000000003</v>
      </c>
      <c r="CK47" s="779">
        <f>'INTRO Modeling'!$F$458-'INTRO Modeling'!$F$460</f>
        <v>10703.315000000002</v>
      </c>
      <c r="CL47" s="779">
        <f>'INTRO Modeling'!$G$458-'INTRO Modeling'!$G$460</f>
        <v>11018.124000000003</v>
      </c>
    </row>
    <row r="48" spans="1:91">
      <c r="A48" s="761"/>
      <c r="B48" s="769"/>
      <c r="D48" s="771"/>
      <c r="E48" s="769"/>
      <c r="F48" s="769"/>
      <c r="G48" s="769"/>
      <c r="H48" s="769"/>
      <c r="K48" s="769"/>
      <c r="L48" s="782"/>
      <c r="M48" s="782"/>
      <c r="N48" s="782"/>
      <c r="O48" s="782"/>
      <c r="R48" s="769"/>
      <c r="S48" s="769"/>
      <c r="T48" s="769"/>
      <c r="U48" s="769"/>
      <c r="V48" s="769"/>
      <c r="CA48" s="769">
        <v>26</v>
      </c>
      <c r="CC48" s="771"/>
      <c r="CD48" s="783">
        <f>'EXCEL Financial Functions'!E85</f>
        <v>2</v>
      </c>
      <c r="CE48" s="783">
        <f>'EXCEL Financial Functions'!F85</f>
        <v>2.1</v>
      </c>
      <c r="CF48" s="783">
        <f>'EXCEL Financial Functions'!G85</f>
        <v>2.2050000000000001</v>
      </c>
      <c r="CG48" s="783"/>
    </row>
    <row r="49" spans="1:90">
      <c r="A49" s="761"/>
      <c r="B49" s="769"/>
      <c r="D49" s="771"/>
      <c r="E49" s="769"/>
      <c r="F49" s="769"/>
      <c r="G49" s="769"/>
      <c r="H49" s="769"/>
      <c r="K49" s="769"/>
      <c r="L49" s="782"/>
      <c r="M49" s="782"/>
      <c r="N49" s="782"/>
      <c r="O49" s="782"/>
      <c r="R49" s="769"/>
      <c r="S49" s="769"/>
      <c r="T49" s="769"/>
      <c r="U49" s="769"/>
      <c r="V49" s="769"/>
      <c r="CA49" s="769">
        <v>27</v>
      </c>
      <c r="CC49" s="771"/>
      <c r="CD49" s="784">
        <f>'EXCEL Financial Functions'!B89</f>
        <v>46.305</v>
      </c>
      <c r="CE49" s="783"/>
      <c r="CF49" s="783"/>
      <c r="CG49" s="783"/>
      <c r="CK49" s="783">
        <f>CF48*1.05/(0.1-0.05)</f>
        <v>46.305</v>
      </c>
    </row>
    <row r="50" spans="1:90">
      <c r="A50" s="761"/>
      <c r="B50" s="769"/>
      <c r="D50" s="771"/>
      <c r="E50" s="769"/>
      <c r="F50" s="769"/>
      <c r="G50" s="769"/>
      <c r="H50" s="769"/>
      <c r="K50" s="769"/>
      <c r="L50" s="782"/>
      <c r="M50" s="782"/>
      <c r="N50" s="782"/>
      <c r="O50" s="782"/>
      <c r="R50" s="769"/>
      <c r="S50" s="769"/>
      <c r="T50" s="769"/>
      <c r="U50" s="769"/>
      <c r="V50" s="769"/>
      <c r="CA50" s="769">
        <v>28</v>
      </c>
      <c r="CC50" s="771"/>
      <c r="CD50" s="784">
        <f>'EXCEL Financial Functions'!B91</f>
        <v>0</v>
      </c>
      <c r="CE50" s="783"/>
      <c r="CF50" s="783"/>
      <c r="CG50" s="783"/>
      <c r="CK50" s="784">
        <f>CD49/(1+0.1)^4</f>
        <v>31.626938050679591</v>
      </c>
    </row>
    <row r="51" spans="1:90">
      <c r="A51" s="761"/>
      <c r="B51" s="769"/>
      <c r="D51" s="771"/>
      <c r="E51" s="769"/>
      <c r="F51" s="769"/>
      <c r="G51" s="769"/>
      <c r="H51" s="769"/>
      <c r="K51" s="769"/>
      <c r="M51" s="769"/>
      <c r="N51" s="769"/>
      <c r="O51" s="769"/>
      <c r="P51" s="769"/>
      <c r="Q51" s="769"/>
      <c r="R51" s="769"/>
      <c r="S51" s="769"/>
      <c r="T51" s="769"/>
      <c r="U51" s="769"/>
      <c r="V51" s="769"/>
      <c r="CA51" s="769">
        <v>29</v>
      </c>
      <c r="CC51" s="771"/>
      <c r="CD51" s="784">
        <f>'EXCEL Financial Functions'!B93</f>
        <v>36.363636363636353</v>
      </c>
      <c r="CF51" s="785"/>
      <c r="CG51" s="785"/>
      <c r="CK51" s="919">
        <f>NPV(0.1,'EXCEL Financial Functions'!D85:G85)+'EXCEL Financial Functions'!C85+CK50</f>
        <v>36.363636363636353</v>
      </c>
    </row>
    <row r="52" spans="1:90">
      <c r="A52" s="761"/>
      <c r="B52" s="769"/>
      <c r="D52" s="771"/>
      <c r="E52" s="769"/>
      <c r="F52" s="769"/>
      <c r="G52" s="769"/>
      <c r="H52" s="769"/>
      <c r="K52" s="769"/>
      <c r="M52" s="769"/>
      <c r="N52" s="769"/>
      <c r="O52" s="769"/>
      <c r="P52" s="769"/>
      <c r="Q52" s="769"/>
      <c r="R52" s="769"/>
      <c r="S52" s="769"/>
      <c r="T52" s="769"/>
      <c r="U52" s="769"/>
      <c r="V52" s="769"/>
      <c r="CA52" s="769">
        <v>30</v>
      </c>
      <c r="CC52" s="771"/>
      <c r="CD52" s="780">
        <f>'EXCEL Financial Functions'!B141</f>
        <v>8.1339506633279157E-2</v>
      </c>
      <c r="CK52" s="786">
        <f>IRR('EXCEL Financial Functions'!B140:L140)</f>
        <v>8.1339506633279157E-2</v>
      </c>
    </row>
    <row r="53" spans="1:90">
      <c r="A53" s="761"/>
      <c r="B53" s="769"/>
      <c r="D53" s="771"/>
      <c r="E53" s="769"/>
      <c r="F53" s="769"/>
      <c r="G53" s="769"/>
      <c r="H53" s="769"/>
      <c r="K53" s="769"/>
      <c r="M53" s="769"/>
      <c r="N53" s="769"/>
      <c r="O53" s="769"/>
      <c r="P53" s="769"/>
      <c r="Q53" s="769"/>
      <c r="R53" s="769"/>
      <c r="S53" s="769"/>
      <c r="T53" s="769"/>
      <c r="U53" s="769"/>
      <c r="V53" s="769"/>
      <c r="CA53" s="769">
        <v>31</v>
      </c>
      <c r="CC53" s="771"/>
      <c r="CD53" s="763">
        <f>'EXCEL Financial Functions'!B187</f>
        <v>2649.9999999999995</v>
      </c>
      <c r="CK53" s="786"/>
    </row>
    <row r="54" spans="1:90">
      <c r="A54" s="761"/>
      <c r="B54" s="769"/>
      <c r="D54" s="771"/>
      <c r="E54" s="769"/>
      <c r="F54" s="769"/>
      <c r="G54" s="769"/>
      <c r="H54" s="769"/>
      <c r="K54" s="769"/>
      <c r="M54" s="769"/>
      <c r="N54" s="769"/>
      <c r="O54" s="769"/>
      <c r="P54" s="769"/>
      <c r="Q54" s="769"/>
      <c r="R54" s="769"/>
      <c r="S54" s="769"/>
      <c r="T54" s="769"/>
      <c r="U54" s="769"/>
      <c r="V54" s="769"/>
      <c r="CA54" s="769">
        <v>32</v>
      </c>
      <c r="CC54" s="771"/>
      <c r="CD54" s="787">
        <f>'EXCEL Financial Functions'!B210</f>
        <v>0</v>
      </c>
    </row>
    <row r="55" spans="1:90">
      <c r="A55" s="761"/>
      <c r="B55" s="769"/>
      <c r="D55" s="771"/>
      <c r="E55" s="769"/>
      <c r="F55" s="769"/>
      <c r="G55" s="769"/>
      <c r="H55" s="769"/>
      <c r="K55" s="769"/>
      <c r="L55" s="769"/>
      <c r="M55" s="769"/>
      <c r="N55" s="769"/>
      <c r="O55" s="769"/>
      <c r="P55" s="769"/>
      <c r="Q55" s="769"/>
      <c r="R55" s="769"/>
      <c r="S55" s="769"/>
      <c r="T55" s="769"/>
      <c r="U55" s="769"/>
      <c r="V55" s="769"/>
      <c r="CA55" s="769">
        <v>33</v>
      </c>
      <c r="CC55" s="771"/>
      <c r="CD55" s="923">
        <f>'EXCEL Financial Functions'!B229</f>
        <v>500</v>
      </c>
    </row>
    <row r="56" spans="1:90">
      <c r="A56" s="761"/>
      <c r="B56" s="769"/>
      <c r="D56" s="771"/>
      <c r="E56" s="788"/>
      <c r="F56" s="769"/>
      <c r="G56" s="769"/>
      <c r="H56" s="769"/>
      <c r="K56" s="769"/>
      <c r="L56" s="769"/>
      <c r="M56" s="769"/>
      <c r="N56" s="769"/>
      <c r="O56" s="769"/>
      <c r="P56" s="769"/>
      <c r="Q56" s="769"/>
      <c r="CA56" s="769">
        <v>34</v>
      </c>
      <c r="CC56" s="771"/>
      <c r="CF56" s="763">
        <f>'MODEL Simple Company'!F57</f>
        <v>12106.050000000001</v>
      </c>
      <c r="CJ56" s="769"/>
      <c r="CK56" s="769"/>
      <c r="CL56" s="779">
        <f>'MODEL Simple Company'!$E$57*(1+'MODEL Simple Company'!$F$58)</f>
        <v>12106.050000000001</v>
      </c>
    </row>
    <row r="57" spans="1:90">
      <c r="A57" s="761"/>
      <c r="B57" s="769"/>
      <c r="D57" s="771"/>
      <c r="E57" s="788"/>
      <c r="F57" s="769"/>
      <c r="G57" s="769"/>
      <c r="H57" s="769"/>
      <c r="K57" s="769"/>
      <c r="L57" s="769"/>
      <c r="M57" s="769"/>
      <c r="N57" s="769"/>
      <c r="O57" s="769"/>
      <c r="P57" s="769"/>
      <c r="Q57" s="769"/>
      <c r="CA57" s="769">
        <v>35</v>
      </c>
      <c r="CC57" s="771"/>
      <c r="CF57" s="763">
        <f>'MODEL Simple Company'!F59</f>
        <v>7384.6905000000006</v>
      </c>
      <c r="CJ57" s="769"/>
      <c r="CK57" s="769"/>
      <c r="CL57" s="779">
        <f>'MODEL Simple Company'!$F$57*(1-'MODEL Simple Company'!$F$61)</f>
        <v>7384.6905000000006</v>
      </c>
    </row>
    <row r="58" spans="1:90">
      <c r="A58" s="761"/>
      <c r="B58" s="769"/>
      <c r="D58" s="771"/>
      <c r="E58" s="788"/>
      <c r="F58" s="769"/>
      <c r="G58" s="769"/>
      <c r="H58" s="769"/>
      <c r="K58" s="769"/>
      <c r="L58" s="769"/>
      <c r="M58" s="769"/>
      <c r="N58" s="769"/>
      <c r="O58" s="769"/>
      <c r="P58" s="771"/>
      <c r="Q58" s="769"/>
      <c r="CA58" s="769">
        <v>36</v>
      </c>
      <c r="CC58" s="771"/>
      <c r="CD58" s="763">
        <f>'MODEL Simple Company'!D60</f>
        <v>4002</v>
      </c>
      <c r="CE58" s="763">
        <f>'MODEL Simple Company'!E60</f>
        <v>4292.1450000000004</v>
      </c>
      <c r="CF58" s="763">
        <f>'MODEL Simple Company'!F60</f>
        <v>4721.3595000000005</v>
      </c>
      <c r="CJ58" s="789">
        <f>'MODEL Simple Company'!$D$57-'MODEL Simple Company'!$D$59</f>
        <v>4002</v>
      </c>
      <c r="CK58" s="789">
        <f>'MODEL Simple Company'!$E$57-'MODEL Simple Company'!$E$59</f>
        <v>4292.1450000000004</v>
      </c>
      <c r="CL58" s="769">
        <f>'MODEL Simple Company'!$F$57*'MODEL Simple Company'!$F$61</f>
        <v>4721.3595000000005</v>
      </c>
    </row>
    <row r="59" spans="1:90">
      <c r="A59" s="761"/>
      <c r="B59" s="769"/>
      <c r="D59" s="771"/>
      <c r="E59" s="788"/>
      <c r="F59" s="769"/>
      <c r="G59" s="769"/>
      <c r="H59" s="769"/>
      <c r="K59" s="769"/>
      <c r="L59" s="769"/>
      <c r="M59" s="769"/>
      <c r="N59" s="769"/>
      <c r="O59" s="769"/>
      <c r="P59" s="771"/>
      <c r="Q59" s="769"/>
      <c r="CA59" s="769">
        <v>37</v>
      </c>
      <c r="CC59" s="771"/>
      <c r="CD59" s="763">
        <f>'MODEL Simple Company'!D61</f>
        <v>0.4</v>
      </c>
      <c r="CE59" s="763">
        <f>'MODEL Simple Company'!E61</f>
        <v>0.39</v>
      </c>
      <c r="CJ59" s="790">
        <f>'MODEL Simple Company'!$D$60/'MODEL Simple Company'!$D$57</f>
        <v>0.4</v>
      </c>
      <c r="CK59" s="790">
        <f>'MODEL Simple Company'!$E$60/'MODEL Simple Company'!$E$57</f>
        <v>0.39</v>
      </c>
      <c r="CL59" s="786"/>
    </row>
    <row r="60" spans="1:90">
      <c r="A60" s="761"/>
      <c r="B60" s="769"/>
      <c r="D60" s="771"/>
      <c r="E60" s="788"/>
      <c r="F60" s="769"/>
      <c r="G60" s="769"/>
      <c r="H60" s="769"/>
      <c r="K60" s="769"/>
      <c r="L60" s="769"/>
      <c r="M60" s="769"/>
      <c r="N60" s="769"/>
      <c r="O60" s="769"/>
      <c r="P60" s="771"/>
      <c r="Q60" s="769"/>
      <c r="CA60" s="769">
        <v>38</v>
      </c>
      <c r="CC60" s="771"/>
      <c r="CF60" s="763">
        <f>'MODEL Simple Company'!F62</f>
        <v>1870</v>
      </c>
      <c r="CJ60" s="769"/>
      <c r="CK60" s="769"/>
      <c r="CL60" s="789">
        <f>'MODEL Simple Company'!$F$57*'MODEL Simple Company'!$F$63</f>
        <v>1870</v>
      </c>
    </row>
    <row r="61" spans="1:90">
      <c r="A61" s="761"/>
      <c r="B61" s="769"/>
      <c r="D61" s="771"/>
      <c r="E61" s="788"/>
      <c r="F61" s="769"/>
      <c r="G61" s="769"/>
      <c r="H61" s="769"/>
      <c r="K61" s="769"/>
      <c r="L61" s="769"/>
      <c r="M61" s="769"/>
      <c r="N61" s="769"/>
      <c r="O61" s="769"/>
      <c r="P61" s="771"/>
      <c r="Q61" s="769"/>
      <c r="CA61" s="769">
        <v>39</v>
      </c>
      <c r="CC61" s="771"/>
      <c r="CD61" s="763">
        <f>'MODEL Simple Company'!D63</f>
        <v>0.14992503748125938</v>
      </c>
      <c r="CE61" s="763">
        <f>'MODEL Simple Company'!E63</f>
        <v>0.15446822043523692</v>
      </c>
      <c r="CJ61" s="790">
        <f>'MODEL Simple Company'!$D$62/'MODEL Simple Company'!$D$57</f>
        <v>0.14992503748125938</v>
      </c>
      <c r="CK61" s="790">
        <f>'MODEL Simple Company'!$E$62/'MODEL Simple Company'!$E$57</f>
        <v>0.15446822043523692</v>
      </c>
      <c r="CL61" s="786"/>
    </row>
    <row r="62" spans="1:90">
      <c r="A62" s="761"/>
      <c r="B62" s="769"/>
      <c r="D62" s="771"/>
      <c r="E62" s="788"/>
      <c r="F62" s="769"/>
      <c r="G62" s="769"/>
      <c r="H62" s="769"/>
      <c r="K62" s="769"/>
      <c r="L62" s="769"/>
      <c r="M62" s="769"/>
      <c r="N62" s="769"/>
      <c r="O62" s="769"/>
      <c r="P62" s="771"/>
      <c r="Q62" s="769"/>
      <c r="CA62" s="769">
        <v>40</v>
      </c>
      <c r="CC62" s="771"/>
      <c r="CD62" s="763">
        <f>'MODEL Simple Company'!D64</f>
        <v>2502</v>
      </c>
      <c r="CE62" s="763">
        <f>'MODEL Simple Company'!E64</f>
        <v>2592.1450000000004</v>
      </c>
      <c r="CF62" s="763">
        <f>'MODEL Simple Company'!F64</f>
        <v>2851.3595000000005</v>
      </c>
      <c r="CJ62" s="789">
        <f>'MODEL Simple Company'!$D$60-'MODEL Simple Company'!$D$62</f>
        <v>2502</v>
      </c>
      <c r="CK62" s="789">
        <f>'MODEL Simple Company'!$E$60-'MODEL Simple Company'!$E$62</f>
        <v>2592.1450000000004</v>
      </c>
      <c r="CL62" s="789">
        <f>'MODEL Simple Company'!$F$60-'MODEL Simple Company'!$F$62</f>
        <v>2851.3595000000005</v>
      </c>
    </row>
    <row r="63" spans="1:90">
      <c r="A63" s="761"/>
      <c r="B63" s="769"/>
      <c r="D63" s="771"/>
      <c r="E63" s="788"/>
      <c r="F63" s="769"/>
      <c r="G63" s="769"/>
      <c r="H63" s="769"/>
      <c r="K63" s="769"/>
      <c r="L63" s="769"/>
      <c r="M63" s="769"/>
      <c r="N63" s="769"/>
      <c r="O63" s="769"/>
      <c r="P63" s="771"/>
      <c r="Q63" s="769"/>
      <c r="CA63" s="769">
        <v>41</v>
      </c>
      <c r="CC63" s="771"/>
      <c r="CF63" s="763">
        <f>'MODEL Simple Company'!F65</f>
        <v>340.58500000000004</v>
      </c>
      <c r="CJ63" s="769"/>
      <c r="CK63" s="769"/>
      <c r="CL63" s="791">
        <f>'MODEL Simple Company'!$E$73*'MODEL Simple Company'!$F$66</f>
        <v>340.58500000000004</v>
      </c>
    </row>
    <row r="64" spans="1:90">
      <c r="A64" s="761"/>
      <c r="B64" s="769"/>
      <c r="D64" s="771"/>
      <c r="E64" s="788"/>
      <c r="F64" s="769"/>
      <c r="G64" s="769"/>
      <c r="H64" s="769"/>
      <c r="K64" s="769"/>
      <c r="L64" s="769"/>
      <c r="M64" s="769"/>
      <c r="N64" s="769"/>
      <c r="O64" s="769"/>
      <c r="P64" s="771"/>
      <c r="Q64" s="769"/>
      <c r="CA64" s="769">
        <v>42</v>
      </c>
      <c r="CC64" s="771"/>
      <c r="CD64" s="763">
        <f>'MODEL Simple Company'!D67</f>
        <v>2552.4</v>
      </c>
      <c r="CE64" s="763">
        <f>'MODEL Simple Company'!E67</f>
        <v>2642.5450000000005</v>
      </c>
      <c r="CF64" s="763">
        <f>'MODEL Simple Company'!F67</f>
        <v>3191.9445000000005</v>
      </c>
      <c r="CJ64" s="789">
        <f>'MODEL Simple Company'!$D$65+'MODEL Simple Company'!$D$64</f>
        <v>2552.4</v>
      </c>
      <c r="CK64" s="789">
        <f>'MODEL Simple Company'!$E$65+'MODEL Simple Company'!$E$64</f>
        <v>2642.5450000000005</v>
      </c>
      <c r="CL64" s="789">
        <f>'MODEL Simple Company'!$F$65+'MODEL Simple Company'!$F$64</f>
        <v>3191.9445000000005</v>
      </c>
    </row>
    <row r="65" spans="1:90">
      <c r="A65" s="761"/>
      <c r="B65" s="769"/>
      <c r="D65" s="771"/>
      <c r="E65" s="788"/>
      <c r="F65" s="769"/>
      <c r="G65" s="769"/>
      <c r="H65" s="769"/>
      <c r="K65" s="769"/>
      <c r="L65" s="769"/>
      <c r="M65" s="769"/>
      <c r="N65" s="769"/>
      <c r="O65" s="769"/>
      <c r="P65" s="769"/>
      <c r="Q65" s="769"/>
      <c r="CA65" s="769">
        <v>43</v>
      </c>
      <c r="CC65" s="771"/>
      <c r="CF65" s="763">
        <f>'MODEL Simple Company'!F68</f>
        <v>906.43780331551272</v>
      </c>
      <c r="CJ65" s="789"/>
      <c r="CK65" s="789"/>
      <c r="CL65" s="792">
        <f>'MODEL Simple Company'!$F$69*'MODEL Simple Company'!$F$67</f>
        <v>906.43780331551272</v>
      </c>
    </row>
    <row r="66" spans="1:90">
      <c r="A66" s="761"/>
      <c r="B66" s="769"/>
      <c r="D66" s="771"/>
      <c r="E66" s="788"/>
      <c r="F66" s="769"/>
      <c r="G66" s="769"/>
      <c r="H66" s="769"/>
      <c r="K66" s="769"/>
      <c r="L66" s="769"/>
      <c r="M66" s="769"/>
      <c r="N66" s="769"/>
      <c r="O66" s="769"/>
      <c r="P66" s="771"/>
      <c r="Q66" s="769"/>
      <c r="CA66" s="769">
        <v>44</v>
      </c>
      <c r="CC66" s="771"/>
      <c r="CD66" s="763">
        <f>'MODEL Simple Company'!D69</f>
        <v>0.3001058201058201</v>
      </c>
      <c r="CE66" s="763">
        <f>'MODEL Simple Company'!E69</f>
        <v>0.28397668045779384</v>
      </c>
      <c r="CJ66" s="790">
        <f>'MODEL Simple Company'!$D$68/'MODEL Simple Company'!$D$67</f>
        <v>0.3</v>
      </c>
      <c r="CK66" s="790">
        <f>'MODEL Simple Company'!$E$68/'MODEL Simple Company'!$E$67</f>
        <v>0.28999999999999998</v>
      </c>
      <c r="CL66" s="786"/>
    </row>
    <row r="67" spans="1:90">
      <c r="A67" s="761"/>
      <c r="B67" s="769"/>
      <c r="D67" s="771"/>
      <c r="E67" s="788"/>
      <c r="F67" s="769"/>
      <c r="G67" s="769"/>
      <c r="H67" s="769"/>
      <c r="K67" s="769"/>
      <c r="L67" s="769"/>
      <c r="M67" s="769"/>
      <c r="N67" s="769"/>
      <c r="O67" s="769"/>
      <c r="P67" s="789"/>
      <c r="Q67" s="771"/>
      <c r="CA67" s="769">
        <v>45</v>
      </c>
      <c r="CC67" s="771"/>
      <c r="CD67" s="763">
        <f>'MODEL Simple Company'!D70</f>
        <v>8505</v>
      </c>
      <c r="CE67" s="763">
        <f>'MODEL Simple Company'!E70</f>
        <v>9305.5</v>
      </c>
      <c r="CF67" s="763">
        <f>'MODEL Simple Company'!F70</f>
        <v>10236.050000000001</v>
      </c>
      <c r="CJ67" s="789">
        <f>'MODEL Simple Company'!$D$67-'MODEL Simple Company'!$D$68</f>
        <v>1786.68</v>
      </c>
      <c r="CK67" s="789">
        <f>'MODEL Simple Company'!$E$67-'MODEL Simple Company'!$E$68</f>
        <v>1876.2069500000005</v>
      </c>
      <c r="CL67" s="789">
        <f>'MODEL Simple Company'!$F$67-'MODEL Simple Company'!$F$68</f>
        <v>2285.5066966844879</v>
      </c>
    </row>
    <row r="68" spans="1:90">
      <c r="A68" s="761"/>
      <c r="B68" s="769"/>
      <c r="D68" s="771"/>
      <c r="E68" s="788"/>
      <c r="F68" s="769"/>
      <c r="G68" s="769"/>
      <c r="H68" s="769"/>
      <c r="K68" s="769"/>
      <c r="L68" s="769"/>
      <c r="M68" s="769"/>
      <c r="N68" s="769"/>
      <c r="O68" s="769"/>
      <c r="P68" s="771"/>
      <c r="Q68" s="769"/>
      <c r="CA68" s="769">
        <v>46</v>
      </c>
      <c r="CC68" s="771"/>
      <c r="CE68" s="763">
        <f>'MODEL Simple Company'!E73</f>
        <v>6811.7000000000007</v>
      </c>
      <c r="CF68" s="763">
        <f>'MODEL Simple Company'!F73</f>
        <v>13195.7</v>
      </c>
      <c r="CJ68" s="789"/>
      <c r="CK68" s="789">
        <f>'MODEL Simple Company'!$D$73+'MODEL Simple Company'!$E$99</f>
        <v>7392</v>
      </c>
      <c r="CL68" s="789">
        <f>'MODEL Simple Company'!$E$73+'MODEL Simple Company'!$F$99</f>
        <v>13784.100000000002</v>
      </c>
    </row>
    <row r="69" spans="1:90">
      <c r="A69" s="761"/>
      <c r="B69" s="769"/>
      <c r="D69" s="771"/>
      <c r="E69" s="788"/>
      <c r="F69" s="769"/>
      <c r="G69" s="769"/>
      <c r="H69" s="769"/>
      <c r="K69" s="769"/>
      <c r="L69" s="769"/>
      <c r="M69" s="769"/>
      <c r="N69" s="769"/>
      <c r="O69" s="769"/>
      <c r="P69" s="789"/>
      <c r="Q69" s="771"/>
      <c r="CA69" s="769">
        <v>47</v>
      </c>
      <c r="CC69" s="771"/>
      <c r="CF69" s="763">
        <f>'MODEL Simple Company'!F74</f>
        <v>1760</v>
      </c>
      <c r="CJ69" s="789"/>
      <c r="CK69" s="789"/>
      <c r="CL69" s="789">
        <f>'MODEL Simple Company'!$F$57/365*'MODEL Simple Company'!$F$75</f>
        <v>1760.0000000000002</v>
      </c>
    </row>
    <row r="70" spans="1:90">
      <c r="A70" s="761"/>
      <c r="B70" s="769"/>
      <c r="D70" s="771"/>
      <c r="E70" s="788"/>
      <c r="F70" s="769"/>
      <c r="G70" s="769"/>
      <c r="H70" s="769"/>
      <c r="K70" s="769"/>
      <c r="L70" s="769"/>
      <c r="M70" s="769"/>
      <c r="N70" s="769"/>
      <c r="O70" s="769"/>
      <c r="P70" s="789"/>
      <c r="Q70" s="771"/>
      <c r="CA70" s="769">
        <v>48</v>
      </c>
      <c r="CC70" s="771"/>
      <c r="CD70" s="763">
        <f>'MODEL Simple Company'!D75</f>
        <v>54.722638680659671</v>
      </c>
      <c r="CE70" s="763">
        <f>'MODEL Simple Company'!E75</f>
        <v>53.064376902457859</v>
      </c>
      <c r="CJ70" s="789">
        <f>'MODEL Simple Company'!$D$74/'MODEL Simple Company'!$D$57*365</f>
        <v>54.722638680659671</v>
      </c>
      <c r="CK70" s="789">
        <f>'MODEL Simple Company'!$E$74/'MODEL Simple Company'!$E$57*365</f>
        <v>53.064376902457859</v>
      </c>
      <c r="CL70" s="789"/>
    </row>
    <row r="71" spans="1:90">
      <c r="A71" s="761"/>
      <c r="B71" s="769"/>
      <c r="D71" s="771"/>
      <c r="E71" s="788"/>
      <c r="F71" s="769"/>
      <c r="G71" s="769"/>
      <c r="H71" s="769"/>
      <c r="K71" s="769"/>
      <c r="L71" s="769"/>
      <c r="M71" s="769"/>
      <c r="N71" s="769"/>
      <c r="O71" s="769"/>
      <c r="P71" s="771"/>
      <c r="Q71" s="769"/>
      <c r="CA71" s="769">
        <v>49</v>
      </c>
      <c r="CC71" s="771"/>
      <c r="CE71" s="763">
        <f>'MODEL Simple Company'!E76</f>
        <v>15507.7</v>
      </c>
      <c r="CF71" s="763">
        <f>'MODEL Simple Company'!F76</f>
        <v>12956.93</v>
      </c>
      <c r="CJ71" s="789"/>
      <c r="CK71" s="789">
        <f>'MODEL Simple Company'!$D$76-'MODEL Simple Company'!$E$96-'MODEL Simple Company'!$E$93</f>
        <v>14506.3</v>
      </c>
      <c r="CL71" s="789">
        <f>'MODEL Simple Company'!$E$76-'MODEL Simple Company'!$F$96-'MODEL Simple Company'!$F$93</f>
        <v>14956.93</v>
      </c>
    </row>
    <row r="72" spans="1:90">
      <c r="A72" s="761"/>
      <c r="B72" s="769"/>
      <c r="D72" s="771"/>
      <c r="E72" s="788"/>
      <c r="F72" s="769"/>
      <c r="G72" s="769"/>
      <c r="H72" s="769"/>
      <c r="K72" s="769"/>
      <c r="L72" s="769"/>
      <c r="M72" s="769"/>
      <c r="N72" s="769"/>
      <c r="O72" s="769"/>
      <c r="P72" s="771"/>
      <c r="Q72" s="769"/>
      <c r="CA72" s="769">
        <v>50</v>
      </c>
      <c r="CC72" s="771"/>
      <c r="CF72" s="763">
        <f>'MODEL Simple Company'!F77</f>
        <v>1320.0000000000002</v>
      </c>
      <c r="CJ72" s="789"/>
      <c r="CK72" s="789"/>
      <c r="CL72" s="789">
        <f>'MODEL Simple Company'!$F$59/365*'MODEL Simple Company'!$F$78</f>
        <v>1320.0000000000002</v>
      </c>
    </row>
    <row r="73" spans="1:90">
      <c r="A73" s="761"/>
      <c r="B73" s="769"/>
      <c r="D73" s="771"/>
      <c r="E73" s="788"/>
      <c r="F73" s="769"/>
      <c r="G73" s="769"/>
      <c r="H73" s="769"/>
      <c r="K73" s="769"/>
      <c r="L73" s="769"/>
      <c r="M73" s="769"/>
      <c r="N73" s="769"/>
      <c r="O73" s="769"/>
      <c r="P73" s="771"/>
      <c r="Q73" s="769"/>
      <c r="CA73" s="769">
        <v>51</v>
      </c>
      <c r="CC73" s="771"/>
      <c r="CD73" s="763">
        <f>'MODEL Simple Company'!D78</f>
        <v>60.802931867399636</v>
      </c>
      <c r="CE73" s="763">
        <f>'MODEL Simple Company'!E78</f>
        <v>65.243086355480983</v>
      </c>
      <c r="CJ73" s="789">
        <f>'MODEL Simple Company'!$D$77/'MODEL Simple Company'!$D$59*365</f>
        <v>60.802931867399636</v>
      </c>
      <c r="CK73" s="789">
        <f>'MODEL Simple Company'!$E$77/'MODEL Simple Company'!$E$59*365</f>
        <v>65.243086355480983</v>
      </c>
      <c r="CL73" s="789"/>
    </row>
    <row r="74" spans="1:90">
      <c r="A74" s="761"/>
      <c r="B74" s="769"/>
      <c r="D74" s="771"/>
      <c r="E74" s="788"/>
      <c r="F74" s="769"/>
      <c r="G74" s="769"/>
      <c r="H74" s="769"/>
      <c r="K74" s="769"/>
      <c r="L74" s="769"/>
      <c r="M74" s="769"/>
      <c r="N74" s="769"/>
      <c r="O74" s="769"/>
      <c r="P74" s="789"/>
      <c r="Q74" s="771"/>
      <c r="CA74" s="769">
        <v>52</v>
      </c>
      <c r="CC74" s="771"/>
      <c r="CE74" s="763">
        <f>'MODEL Simple Company'!E79</f>
        <v>25527.7</v>
      </c>
      <c r="CF74" s="763">
        <f>'MODEL Simple Company'!F79</f>
        <v>39858.17</v>
      </c>
      <c r="CJ74" s="789"/>
      <c r="CK74" s="789">
        <f>'MODEL Simple Company'!$D$79+'MODEL Simple Company'!$E$70+'MODEL Simple Company'!$E$97</f>
        <v>18083.3</v>
      </c>
      <c r="CL74" s="789">
        <f>'MODEL Simple Company'!$E$79+'MODEL Simple Company'!$F$70+'MODEL Simple Company'!$F$97</f>
        <v>31669.329999999998</v>
      </c>
    </row>
    <row r="75" spans="1:90">
      <c r="A75" s="761"/>
      <c r="B75" s="769"/>
      <c r="D75" s="771"/>
      <c r="E75" s="788"/>
      <c r="F75" s="769"/>
      <c r="G75" s="769"/>
      <c r="H75" s="769"/>
      <c r="K75" s="769"/>
      <c r="L75" s="769"/>
      <c r="M75" s="769"/>
      <c r="N75" s="769"/>
      <c r="O75" s="769"/>
      <c r="P75" s="771"/>
      <c r="Q75" s="769"/>
      <c r="CA75" s="769">
        <v>53</v>
      </c>
      <c r="CC75" s="771"/>
      <c r="CD75" s="763">
        <f>'MODEL Simple Company'!D92</f>
        <v>8505</v>
      </c>
      <c r="CE75" s="763">
        <f>'MODEL Simple Company'!E92</f>
        <v>9305.5</v>
      </c>
      <c r="CF75" s="763">
        <f>'MODEL Simple Company'!F92</f>
        <v>10236.050000000001</v>
      </c>
      <c r="CJ75" s="789">
        <f>'MODEL Simple Company'!$D$70</f>
        <v>8505</v>
      </c>
      <c r="CK75" s="789">
        <f>'MODEL Simple Company'!$E$70</f>
        <v>9305.5</v>
      </c>
      <c r="CL75" s="789">
        <f>'MODEL Simple Company'!$F$70</f>
        <v>10236.050000000001</v>
      </c>
    </row>
    <row r="76" spans="1:90">
      <c r="A76" s="761"/>
      <c r="B76" s="769"/>
      <c r="D76" s="771"/>
      <c r="E76" s="788"/>
      <c r="F76" s="769"/>
      <c r="G76" s="769"/>
      <c r="H76" s="769"/>
      <c r="K76" s="769"/>
      <c r="L76" s="769"/>
      <c r="M76" s="769"/>
      <c r="N76" s="769"/>
      <c r="O76" s="769"/>
      <c r="P76" s="771"/>
      <c r="Q76" s="769"/>
      <c r="CA76" s="769">
        <v>54</v>
      </c>
      <c r="CC76" s="771"/>
      <c r="CE76" s="763">
        <f>'MODEL Simple Company'!E93</f>
        <v>1500.7</v>
      </c>
      <c r="CF76" s="763">
        <f>'MODEL Simple Company'!F93</f>
        <v>1550.7700000000002</v>
      </c>
      <c r="CJ76" s="789"/>
      <c r="CK76" s="792">
        <f>10%*'MODEL Simple Company'!$D$76</f>
        <v>1500.7</v>
      </c>
      <c r="CL76" s="792">
        <f>10%*'MODEL Simple Company'!$E$76</f>
        <v>1550.7700000000002</v>
      </c>
    </row>
    <row r="77" spans="1:90">
      <c r="A77" s="761"/>
      <c r="B77" s="769"/>
      <c r="D77" s="771"/>
      <c r="E77" s="788"/>
      <c r="F77" s="769"/>
      <c r="G77" s="769"/>
      <c r="H77" s="769"/>
      <c r="K77" s="769"/>
      <c r="L77" s="769"/>
      <c r="M77" s="769"/>
      <c r="N77" s="769"/>
      <c r="O77" s="769"/>
      <c r="P77" s="789"/>
      <c r="Q77" s="771"/>
      <c r="CA77" s="769">
        <v>55</v>
      </c>
      <c r="CC77" s="771"/>
      <c r="CE77" s="763">
        <f>'MODEL Simple Company'!E94</f>
        <v>100</v>
      </c>
      <c r="CF77" s="763">
        <f>'MODEL Simple Company'!F94</f>
        <v>160</v>
      </c>
      <c r="CJ77" s="789"/>
      <c r="CK77" s="789">
        <f>-('MODEL Simple Company'!$E$74-'MODEL Simple Company'!$D$74)</f>
        <v>-100</v>
      </c>
      <c r="CL77" s="789">
        <f>-('MODEL Simple Company'!$F$74-'MODEL Simple Company'!$E$74)</f>
        <v>-160</v>
      </c>
    </row>
    <row r="78" spans="1:90">
      <c r="A78" s="761"/>
      <c r="B78" s="769"/>
      <c r="D78" s="771"/>
      <c r="E78" s="788"/>
      <c r="F78" s="769"/>
      <c r="G78" s="769"/>
      <c r="H78" s="769"/>
      <c r="K78" s="769"/>
      <c r="L78" s="769"/>
      <c r="M78" s="769"/>
      <c r="N78" s="769"/>
      <c r="O78" s="769"/>
      <c r="P78" s="771"/>
      <c r="Q78" s="769"/>
      <c r="CA78" s="769">
        <v>56</v>
      </c>
      <c r="CC78" s="771"/>
      <c r="CE78" s="763">
        <f>'MODEL Simple Company'!E95</f>
        <v>200</v>
      </c>
      <c r="CF78" s="763">
        <f>'MODEL Simple Company'!F95</f>
        <v>120.00000000000023</v>
      </c>
      <c r="CJ78" s="789"/>
      <c r="CK78" s="789">
        <f>'MODEL Simple Company'!$E$77-'MODEL Simple Company'!$D$77</f>
        <v>200</v>
      </c>
      <c r="CL78" s="789">
        <f>'MODEL Simple Company'!$F$77-'MODEL Simple Company'!$E$77</f>
        <v>120.00000000000023</v>
      </c>
    </row>
    <row r="79" spans="1:90">
      <c r="A79" s="761"/>
      <c r="B79" s="769"/>
      <c r="D79" s="771"/>
      <c r="E79" s="788"/>
      <c r="F79" s="769"/>
      <c r="G79" s="769"/>
      <c r="H79" s="769"/>
      <c r="K79" s="769"/>
      <c r="L79" s="769"/>
      <c r="M79" s="769"/>
      <c r="N79" s="769"/>
      <c r="O79" s="769"/>
      <c r="P79" s="771"/>
      <c r="Q79" s="769"/>
      <c r="CA79" s="769">
        <v>57</v>
      </c>
      <c r="CC79" s="771"/>
      <c r="CF79" s="763">
        <f>'MODEL Simple Company'!F97</f>
        <v>-4094.4200000000005</v>
      </c>
      <c r="CJ79" s="789"/>
      <c r="CK79" s="789"/>
      <c r="CL79" s="758">
        <f>-'MODEL Simple Company'!$F70*'MODEL Simple Company'!$F98</f>
        <v>-4094.4200000000005</v>
      </c>
    </row>
    <row r="80" spans="1:90">
      <c r="A80" s="761"/>
      <c r="B80" s="769"/>
      <c r="D80" s="771"/>
      <c r="E80" s="788"/>
      <c r="F80" s="769"/>
      <c r="G80" s="769"/>
      <c r="H80" s="769"/>
      <c r="K80" s="769"/>
      <c r="L80" s="769"/>
      <c r="M80" s="769"/>
      <c r="N80" s="769"/>
      <c r="O80" s="769"/>
      <c r="P80" s="771"/>
      <c r="Q80" s="769"/>
      <c r="CA80" s="769">
        <v>58</v>
      </c>
      <c r="CC80" s="771"/>
      <c r="CE80" s="763">
        <f>'MODEL Simple Company'!E99</f>
        <v>6384</v>
      </c>
      <c r="CF80" s="763">
        <f>'MODEL Simple Company'!F99</f>
        <v>6972.4000000000015</v>
      </c>
      <c r="CJ80" s="759"/>
      <c r="CK80" s="759">
        <f>SUM('MODEL Simple Company'!$E$92:$E$97)</f>
        <v>6384</v>
      </c>
      <c r="CL80" s="759">
        <f>SUM('MODEL Simple Company'!$F$92:$F$97)</f>
        <v>6972.4000000000015</v>
      </c>
    </row>
    <row r="81" spans="1:103">
      <c r="A81" s="761"/>
      <c r="B81" s="769"/>
      <c r="D81" s="771"/>
      <c r="E81" s="769"/>
      <c r="F81" s="769"/>
      <c r="G81" s="769"/>
      <c r="H81" s="769"/>
      <c r="K81" s="769"/>
      <c r="L81" s="769"/>
      <c r="M81" s="769"/>
      <c r="N81" s="769"/>
      <c r="O81" s="769"/>
      <c r="P81" s="769"/>
      <c r="Q81" s="769"/>
      <c r="R81" s="769"/>
      <c r="S81" s="769"/>
      <c r="T81" s="769"/>
      <c r="U81" s="769"/>
      <c r="V81" s="769"/>
      <c r="CA81" s="769">
        <v>59</v>
      </c>
      <c r="CC81" s="771"/>
      <c r="CE81" s="763">
        <f>'MODEL Marketing Stratagy'!E58</f>
        <v>724.5</v>
      </c>
      <c r="CF81" s="763">
        <f>'MODEL Marketing Stratagy'!F58</f>
        <v>833.17499999999995</v>
      </c>
      <c r="CH81" s="793">
        <f>'MODEL Marketing Stratagy'!H60</f>
        <v>0.19999999999999996</v>
      </c>
      <c r="CP81" s="789"/>
      <c r="CQ81" s="794">
        <f>'MODEL Marketing Stratagy'!$D$58*(1+'MODEL Marketing Stratagy'!$E$59)</f>
        <v>724.5</v>
      </c>
      <c r="CR81" s="794">
        <f>'MODEL Marketing Stratagy'!$E$58*(1+'MODEL Marketing Stratagy'!$F$59)</f>
        <v>833.17499999999995</v>
      </c>
      <c r="CS81" s="789"/>
      <c r="CT81" s="790"/>
      <c r="CU81" s="769"/>
      <c r="CV81" s="769"/>
      <c r="CW81" s="769"/>
      <c r="CX81" s="769"/>
      <c r="CY81" s="769"/>
    </row>
    <row r="82" spans="1:103">
      <c r="A82" s="761"/>
      <c r="B82" s="769"/>
      <c r="D82" s="771"/>
      <c r="E82" s="769"/>
      <c r="F82" s="769"/>
      <c r="G82" s="769"/>
      <c r="H82" s="769"/>
      <c r="K82" s="769"/>
      <c r="L82" s="769"/>
      <c r="M82" s="769"/>
      <c r="N82" s="769"/>
      <c r="O82" s="769"/>
      <c r="P82" s="795"/>
      <c r="Q82" s="769"/>
      <c r="R82" s="769"/>
      <c r="S82" s="769"/>
      <c r="T82" s="769"/>
      <c r="U82" s="769"/>
      <c r="V82" s="790"/>
      <c r="CA82" s="769">
        <v>60</v>
      </c>
      <c r="CC82" s="771"/>
      <c r="CD82" s="763">
        <f>'MODEL Marketing Stratagy'!D61</f>
        <v>210</v>
      </c>
      <c r="CE82" s="763">
        <f>'MODEL Marketing Stratagy'!E61</f>
        <v>289.79999999999995</v>
      </c>
      <c r="CF82" s="763">
        <f>'MODEL Marketing Stratagy'!F61</f>
        <v>399.92399999999992</v>
      </c>
      <c r="CG82" s="763">
        <f>'MODEL Marketing Stratagy'!G61</f>
        <v>551.89511999999979</v>
      </c>
      <c r="CH82" s="793">
        <f>'MODEL Marketing Stratagy'!H61</f>
        <v>0.37999999999999967</v>
      </c>
      <c r="CP82" s="794">
        <f>'MODEL Marketing Stratagy'!$D58*'MODEL Marketing Stratagy'!$D60</f>
        <v>210</v>
      </c>
      <c r="CQ82" s="794">
        <f>'MODEL Marketing Stratagy'!$E58*'MODEL Marketing Stratagy'!$E60</f>
        <v>289.79999999999995</v>
      </c>
      <c r="CR82" s="789">
        <f>'MODEL Marketing Stratagy'!$F58*'MODEL Marketing Stratagy'!$F60</f>
        <v>399.92399999999992</v>
      </c>
      <c r="CS82" s="789">
        <f>'MODEL Marketing Stratagy'!$G58*'MODEL Marketing Stratagy'!$G60</f>
        <v>551.89511999999979</v>
      </c>
      <c r="CT82" s="790"/>
      <c r="CU82" s="769"/>
      <c r="CV82" s="769"/>
      <c r="CW82" s="769"/>
      <c r="CX82" s="769"/>
      <c r="CY82" s="769"/>
    </row>
    <row r="83" spans="1:103">
      <c r="A83" s="761"/>
      <c r="B83" s="769"/>
      <c r="D83" s="771"/>
      <c r="E83" s="769"/>
      <c r="F83" s="769"/>
      <c r="G83" s="769"/>
      <c r="H83" s="769"/>
      <c r="K83" s="769"/>
      <c r="L83" s="769"/>
      <c r="M83" s="769"/>
      <c r="N83" s="769"/>
      <c r="O83" s="769"/>
      <c r="P83" s="769"/>
      <c r="Q83" s="769"/>
      <c r="R83" s="769"/>
      <c r="S83" s="769"/>
      <c r="T83" s="769"/>
      <c r="U83" s="769"/>
      <c r="V83" s="790"/>
      <c r="CA83" s="769">
        <v>61</v>
      </c>
      <c r="CC83" s="771"/>
      <c r="CD83" s="763">
        <f>'MODEL Marketing Stratagy'!D62</f>
        <v>420</v>
      </c>
      <c r="CE83" s="763">
        <f>'MODEL Marketing Stratagy'!E62</f>
        <v>434.70000000000005</v>
      </c>
      <c r="CF83" s="763">
        <f>'MODEL Marketing Stratagy'!F62</f>
        <v>433.25100000000003</v>
      </c>
      <c r="CG83" s="763">
        <f>'MODEL Marketing Stratagy'!G62</f>
        <v>406.2561300000001</v>
      </c>
      <c r="CP83" s="796">
        <f>'MODEL Marketing Stratagy'!$D58-'MODEL Marketing Stratagy'!$D61</f>
        <v>420</v>
      </c>
      <c r="CQ83" s="796">
        <f>'MODEL Marketing Stratagy'!$E58-'MODEL Marketing Stratagy'!$E61</f>
        <v>434.70000000000005</v>
      </c>
      <c r="CR83" s="796">
        <f>'MODEL Marketing Stratagy'!$F58-'MODEL Marketing Stratagy'!$F61</f>
        <v>433.25100000000003</v>
      </c>
      <c r="CS83" s="796">
        <f>'MODEL Marketing Stratagy'!$G58-'MODEL Marketing Stratagy'!$G61</f>
        <v>406.2561300000001</v>
      </c>
      <c r="CT83" s="790"/>
      <c r="CU83" s="769"/>
      <c r="CV83" s="769"/>
      <c r="CW83" s="769"/>
      <c r="CX83" s="769"/>
      <c r="CY83" s="769"/>
    </row>
    <row r="84" spans="1:103">
      <c r="A84" s="761"/>
      <c r="B84" s="769"/>
      <c r="D84" s="771"/>
      <c r="E84" s="769"/>
      <c r="F84" s="769"/>
      <c r="G84" s="769"/>
      <c r="H84" s="769"/>
      <c r="K84" s="769"/>
      <c r="L84" s="769"/>
      <c r="M84" s="769"/>
      <c r="N84" s="769"/>
      <c r="O84" s="769"/>
      <c r="P84" s="769"/>
      <c r="Q84" s="769"/>
      <c r="R84" s="769"/>
      <c r="S84" s="769"/>
      <c r="T84" s="769"/>
      <c r="U84" s="769"/>
      <c r="V84" s="790"/>
      <c r="CA84" s="769">
        <v>62</v>
      </c>
      <c r="CC84" s="771"/>
      <c r="CD84" s="780">
        <f>'MODEL Marketing Stratagy'!D66</f>
        <v>0.5</v>
      </c>
      <c r="CE84" s="780">
        <f>'MODEL Marketing Stratagy'!E66</f>
        <v>0.45</v>
      </c>
      <c r="CF84" s="780">
        <f>'MODEL Marketing Stratagy'!F66</f>
        <v>0.4</v>
      </c>
      <c r="CG84" s="780">
        <f>'MODEL Marketing Stratagy'!G66</f>
        <v>0.35000000000000003</v>
      </c>
      <c r="CH84" s="780"/>
      <c r="CI84" s="780"/>
      <c r="CJ84" s="780">
        <f>'MODEL Marketing Stratagy'!J66</f>
        <v>0.5</v>
      </c>
      <c r="CK84" s="780">
        <f>'MODEL Marketing Stratagy'!K66</f>
        <v>0.55000000000000004</v>
      </c>
      <c r="CL84" s="780">
        <f>'MODEL Marketing Stratagy'!L66</f>
        <v>0.6</v>
      </c>
      <c r="CM84" s="780">
        <f>'MODEL Marketing Stratagy'!M66</f>
        <v>0.64999999999999991</v>
      </c>
      <c r="CN84" s="780"/>
      <c r="CO84" s="780"/>
      <c r="CP84" s="786"/>
      <c r="CQ84" s="786"/>
      <c r="CR84" s="786"/>
      <c r="CS84" s="786"/>
      <c r="CT84" s="790"/>
      <c r="CU84" s="769"/>
      <c r="CV84" s="790">
        <f>1-'MODEL Marketing Stratagy'!$D$66</f>
        <v>0.5</v>
      </c>
      <c r="CW84" s="790">
        <f>1-'MODEL Marketing Stratagy'!$E$66</f>
        <v>0.55000000000000004</v>
      </c>
      <c r="CX84" s="790">
        <f>1-'MODEL Marketing Stratagy'!$F66</f>
        <v>0.6</v>
      </c>
      <c r="CY84" s="790">
        <f>1-'MODEL Marketing Stratagy'!$G66</f>
        <v>0.64999999999999991</v>
      </c>
    </row>
    <row r="85" spans="1:103">
      <c r="A85" s="761"/>
      <c r="B85" s="769"/>
      <c r="D85" s="771"/>
      <c r="E85" s="769"/>
      <c r="F85" s="769"/>
      <c r="G85" s="769"/>
      <c r="H85" s="769"/>
      <c r="K85" s="769"/>
      <c r="L85" s="769"/>
      <c r="M85" s="769"/>
      <c r="N85" s="769"/>
      <c r="O85" s="769"/>
      <c r="P85" s="769"/>
      <c r="Q85" s="769"/>
      <c r="R85" s="769"/>
      <c r="S85" s="769"/>
      <c r="T85" s="769"/>
      <c r="U85" s="769"/>
      <c r="V85" s="790"/>
      <c r="CA85" s="769">
        <v>63</v>
      </c>
      <c r="CC85" s="771"/>
      <c r="CD85" s="780">
        <f>'MODEL Marketing Stratagy'!D67</f>
        <v>0.7</v>
      </c>
      <c r="CE85" s="780">
        <f>'MODEL Marketing Stratagy'!E67</f>
        <v>0.75</v>
      </c>
      <c r="CF85" s="780">
        <f>'MODEL Marketing Stratagy'!F67</f>
        <v>0.8</v>
      </c>
      <c r="CG85" s="780">
        <f>'MODEL Marketing Stratagy'!G67</f>
        <v>0.85000000000000009</v>
      </c>
      <c r="CH85" s="780"/>
      <c r="CI85" s="780"/>
      <c r="CJ85" s="780">
        <f>'MODEL Marketing Stratagy'!J67</f>
        <v>0.30000000000000004</v>
      </c>
      <c r="CK85" s="780">
        <f>'MODEL Marketing Stratagy'!K67</f>
        <v>0.25</v>
      </c>
      <c r="CL85" s="780">
        <f>'MODEL Marketing Stratagy'!L67</f>
        <v>0.19999999999999996</v>
      </c>
      <c r="CM85" s="780">
        <f>'MODEL Marketing Stratagy'!M67</f>
        <v>0.14999999999999991</v>
      </c>
      <c r="CN85" s="780"/>
      <c r="CO85" s="780"/>
      <c r="CP85" s="786"/>
      <c r="CQ85" s="786"/>
      <c r="CR85" s="786"/>
      <c r="CS85" s="786"/>
      <c r="CT85" s="790"/>
      <c r="CU85" s="769"/>
      <c r="CV85" s="790">
        <f>1-'MODEL Marketing Stratagy'!$D$67</f>
        <v>0.30000000000000004</v>
      </c>
      <c r="CW85" s="790">
        <f>1-'MODEL Marketing Stratagy'!$E$67</f>
        <v>0.25</v>
      </c>
      <c r="CX85" s="790">
        <f>1-'MODEL Marketing Stratagy'!$F67</f>
        <v>0.19999999999999996</v>
      </c>
      <c r="CY85" s="790">
        <f>1-'MODEL Marketing Stratagy'!$G67</f>
        <v>0.14999999999999991</v>
      </c>
    </row>
    <row r="86" spans="1:103">
      <c r="A86" s="761"/>
      <c r="B86" s="769"/>
      <c r="D86" s="771"/>
      <c r="E86" s="769"/>
      <c r="F86" s="769"/>
      <c r="G86" s="769"/>
      <c r="H86" s="769"/>
      <c r="K86" s="769"/>
      <c r="L86" s="769"/>
      <c r="M86" s="769"/>
      <c r="N86" s="769"/>
      <c r="O86" s="769"/>
      <c r="P86" s="769"/>
      <c r="Q86" s="769"/>
      <c r="R86" s="769"/>
      <c r="S86" s="769"/>
      <c r="T86" s="769"/>
      <c r="U86" s="769"/>
      <c r="V86" s="790"/>
      <c r="CA86" s="769">
        <v>64</v>
      </c>
      <c r="CC86" s="771"/>
      <c r="CD86" s="763">
        <f>'MODEL Marketing Stratagy'!D68</f>
        <v>105</v>
      </c>
      <c r="CE86" s="763">
        <f>'MODEL Marketing Stratagy'!E68</f>
        <v>130.41</v>
      </c>
      <c r="CF86" s="763">
        <f>'MODEL Marketing Stratagy'!F68</f>
        <v>159.96959999999999</v>
      </c>
      <c r="CG86" s="763">
        <f>'MODEL Marketing Stratagy'!G68</f>
        <v>193.16329199999996</v>
      </c>
      <c r="CJ86" s="763">
        <f>'MODEL Marketing Stratagy'!J68</f>
        <v>105</v>
      </c>
      <c r="CK86" s="763">
        <f>'MODEL Marketing Stratagy'!K68</f>
        <v>159.38999999999999</v>
      </c>
      <c r="CL86" s="763">
        <f>'MODEL Marketing Stratagy'!L68</f>
        <v>239.95439999999994</v>
      </c>
      <c r="CM86" s="763">
        <f>'MODEL Marketing Stratagy'!M68</f>
        <v>358.73182799999984</v>
      </c>
      <c r="CP86" s="789">
        <f>'MODEL Marketing Stratagy'!$D$61*'MODEL Marketing Stratagy'!$D$66</f>
        <v>105</v>
      </c>
      <c r="CQ86" s="789">
        <f>'MODEL Marketing Stratagy'!$E$61*'MODEL Marketing Stratagy'!$E$66</f>
        <v>130.41</v>
      </c>
      <c r="CR86" s="789">
        <f>'MODEL Marketing Stratagy'!$F61*'MODEL Marketing Stratagy'!$F66</f>
        <v>159.96959999999999</v>
      </c>
      <c r="CS86" s="789">
        <f>'MODEL Marketing Stratagy'!$G61*'MODEL Marketing Stratagy'!$G66</f>
        <v>193.16329199999996</v>
      </c>
      <c r="CT86" s="790"/>
      <c r="CU86" s="769"/>
      <c r="CV86" s="789">
        <f>'MODEL Marketing Stratagy'!$D$61*'MODEL Marketing Stratagy'!$J66</f>
        <v>105</v>
      </c>
      <c r="CW86" s="789">
        <f>'MODEL Marketing Stratagy'!$E$61*'MODEL Marketing Stratagy'!$K66</f>
        <v>159.38999999999999</v>
      </c>
      <c r="CX86" s="789">
        <f>'MODEL Marketing Stratagy'!$F61*'MODEL Marketing Stratagy'!$L66</f>
        <v>239.95439999999994</v>
      </c>
      <c r="CY86" s="789">
        <f>'MODEL Marketing Stratagy'!$G61*'MODEL Marketing Stratagy'!$M66</f>
        <v>358.73182799999984</v>
      </c>
    </row>
    <row r="87" spans="1:103">
      <c r="A87" s="761"/>
      <c r="B87" s="769"/>
      <c r="D87" s="771"/>
      <c r="E87" s="769"/>
      <c r="F87" s="769"/>
      <c r="G87" s="769"/>
      <c r="H87" s="769"/>
      <c r="K87" s="769"/>
      <c r="L87" s="769"/>
      <c r="M87" s="769"/>
      <c r="N87" s="769"/>
      <c r="O87" s="769"/>
      <c r="P87" s="769"/>
      <c r="Q87" s="769"/>
      <c r="R87" s="769"/>
      <c r="S87" s="769"/>
      <c r="T87" s="769"/>
      <c r="U87" s="769"/>
      <c r="V87" s="790"/>
      <c r="CA87" s="769">
        <v>65</v>
      </c>
      <c r="CC87" s="771"/>
      <c r="CD87" s="763">
        <f>'MODEL Marketing Stratagy'!D69</f>
        <v>294</v>
      </c>
      <c r="CE87" s="763">
        <f>'MODEL Marketing Stratagy'!E69</f>
        <v>326.02500000000003</v>
      </c>
      <c r="CF87" s="763">
        <f>'MODEL Marketing Stratagy'!F69</f>
        <v>346.60080000000005</v>
      </c>
      <c r="CG87" s="763">
        <f>'MODEL Marketing Stratagy'!G69</f>
        <v>345.31771050000015</v>
      </c>
      <c r="CJ87" s="763">
        <f>'MODEL Marketing Stratagy'!J69</f>
        <v>126.00000000000001</v>
      </c>
      <c r="CK87" s="763">
        <f>'MODEL Marketing Stratagy'!K69</f>
        <v>108.67500000000001</v>
      </c>
      <c r="CL87" s="763">
        <f>'MODEL Marketing Stratagy'!L69</f>
        <v>86.650199999999984</v>
      </c>
      <c r="CM87" s="763">
        <f>'MODEL Marketing Stratagy'!M69</f>
        <v>60.938419499999981</v>
      </c>
      <c r="CP87" s="789">
        <f>'MODEL Marketing Stratagy'!$D$62*'MODEL Marketing Stratagy'!$D$67</f>
        <v>294</v>
      </c>
      <c r="CQ87" s="789">
        <f>'MODEL Marketing Stratagy'!$E$62*'MODEL Marketing Stratagy'!$E$67</f>
        <v>326.02500000000003</v>
      </c>
      <c r="CR87" s="789">
        <f>'MODEL Marketing Stratagy'!$F62*'MODEL Marketing Stratagy'!$F67</f>
        <v>346.60080000000005</v>
      </c>
      <c r="CS87" s="789">
        <f>'MODEL Marketing Stratagy'!$G62*'MODEL Marketing Stratagy'!$G67</f>
        <v>345.31771050000015</v>
      </c>
      <c r="CT87" s="790"/>
      <c r="CU87" s="769"/>
      <c r="CV87" s="789">
        <f>'MODEL Marketing Stratagy'!$D$62*'MODEL Marketing Stratagy'!$J67</f>
        <v>126.00000000000001</v>
      </c>
      <c r="CW87" s="789">
        <f>'MODEL Marketing Stratagy'!$E$62*'MODEL Marketing Stratagy'!$K67</f>
        <v>108.67500000000001</v>
      </c>
      <c r="CX87" s="789">
        <f>'MODEL Marketing Stratagy'!$F62*'MODEL Marketing Stratagy'!$L67</f>
        <v>86.650199999999984</v>
      </c>
      <c r="CY87" s="789">
        <f>'MODEL Marketing Stratagy'!$G62*'MODEL Marketing Stratagy'!$M67</f>
        <v>60.938419499999981</v>
      </c>
    </row>
    <row r="88" spans="1:103">
      <c r="A88" s="761"/>
      <c r="B88" s="769"/>
      <c r="D88" s="771"/>
      <c r="E88" s="769"/>
      <c r="F88" s="769"/>
      <c r="G88" s="769"/>
      <c r="H88" s="769"/>
      <c r="K88" s="769"/>
      <c r="L88" s="769"/>
      <c r="M88" s="769"/>
      <c r="N88" s="769"/>
      <c r="O88" s="769"/>
      <c r="P88" s="769"/>
      <c r="Q88" s="769"/>
      <c r="R88" s="769"/>
      <c r="S88" s="769"/>
      <c r="T88" s="769"/>
      <c r="U88" s="769"/>
      <c r="V88" s="790"/>
      <c r="CA88" s="769">
        <v>66</v>
      </c>
      <c r="CC88" s="771"/>
      <c r="CD88" s="763">
        <f>'MODEL Marketing Stratagy'!D70</f>
        <v>399</v>
      </c>
      <c r="CE88" s="763">
        <f>'MODEL Marketing Stratagy'!E70</f>
        <v>456.43500000000006</v>
      </c>
      <c r="CF88" s="763">
        <f>'MODEL Marketing Stratagy'!F70</f>
        <v>506.57040000000006</v>
      </c>
      <c r="CG88" s="763">
        <f>'MODEL Marketing Stratagy'!G70</f>
        <v>538.48100250000016</v>
      </c>
      <c r="CJ88" s="763">
        <f>'MODEL Marketing Stratagy'!J70</f>
        <v>231</v>
      </c>
      <c r="CK88" s="763">
        <f>'MODEL Marketing Stratagy'!K70</f>
        <v>268.065</v>
      </c>
      <c r="CL88" s="763">
        <f>'MODEL Marketing Stratagy'!L70</f>
        <v>326.60459999999989</v>
      </c>
      <c r="CM88" s="763">
        <f>'MODEL Marketing Stratagy'!M70</f>
        <v>419.67024749999985</v>
      </c>
      <c r="CP88" s="789">
        <f>SUM('MODEL Marketing Stratagy'!$D$68:$D$69)</f>
        <v>399</v>
      </c>
      <c r="CQ88" s="789">
        <f>SUM('MODEL Marketing Stratagy'!$E$68:$E$69)</f>
        <v>456.43500000000006</v>
      </c>
      <c r="CR88" s="789">
        <f>SUM('MODEL Marketing Stratagy'!$F68:$F69)</f>
        <v>506.57040000000006</v>
      </c>
      <c r="CS88" s="789">
        <f>SUM('MODEL Marketing Stratagy'!$G68:$G69)</f>
        <v>538.48100250000016</v>
      </c>
      <c r="CT88" s="790"/>
      <c r="CU88" s="769"/>
      <c r="CV88" s="789">
        <f>SUM('MODEL Marketing Stratagy'!$J68:$J69)</f>
        <v>231</v>
      </c>
      <c r="CW88" s="789">
        <f>SUM('MODEL Marketing Stratagy'!$K68:$K69)</f>
        <v>268.065</v>
      </c>
      <c r="CX88" s="789">
        <f>SUM('MODEL Marketing Stratagy'!$L68:$L69)</f>
        <v>326.60459999999989</v>
      </c>
      <c r="CY88" s="789">
        <f>SUM('MODEL Marketing Stratagy'!$M68:$M69)</f>
        <v>419.67024749999985</v>
      </c>
    </row>
    <row r="89" spans="1:103">
      <c r="A89" s="761"/>
      <c r="B89" s="769"/>
      <c r="D89" s="771"/>
      <c r="E89" s="769"/>
      <c r="F89" s="769"/>
      <c r="G89" s="769"/>
      <c r="H89" s="769"/>
      <c r="K89" s="769"/>
      <c r="L89" s="769"/>
      <c r="M89" s="769"/>
      <c r="N89" s="769"/>
      <c r="O89" s="769"/>
      <c r="P89" s="769"/>
      <c r="Q89" s="769"/>
      <c r="R89" s="769"/>
      <c r="S89" s="769"/>
      <c r="T89" s="769"/>
      <c r="U89" s="769"/>
      <c r="V89" s="790"/>
      <c r="CA89" s="769">
        <v>67</v>
      </c>
      <c r="CC89" s="771"/>
      <c r="CD89" s="763">
        <f>'MODEL Marketing Stratagy'!D75</f>
        <v>21000</v>
      </c>
      <c r="CE89" s="763">
        <f>'MODEL Marketing Stratagy'!E75</f>
        <v>26082</v>
      </c>
      <c r="CF89" s="763">
        <f>'MODEL Marketing Stratagy'!F75</f>
        <v>31993.919999999998</v>
      </c>
      <c r="CG89" s="763">
        <f>'MODEL Marketing Stratagy'!G75</f>
        <v>38632.658399999993</v>
      </c>
      <c r="CJ89" s="763">
        <f>'MODEL Marketing Stratagy'!J75</f>
        <v>19950</v>
      </c>
      <c r="CK89" s="763">
        <f>'MODEL Marketing Stratagy'!K75</f>
        <v>28690.199999999997</v>
      </c>
      <c r="CL89" s="763">
        <f>'MODEL Marketing Stratagy'!L75</f>
        <v>40792.247999999992</v>
      </c>
      <c r="CM89" s="763">
        <f>'MODEL Marketing Stratagy'!M75</f>
        <v>57397.092479999978</v>
      </c>
      <c r="CP89" s="789">
        <f>'MODEL Marketing Stratagy'!$D68*'MODEL Marketing Stratagy'!$D73</f>
        <v>21000</v>
      </c>
      <c r="CQ89" s="789">
        <f>'MODEL Marketing Stratagy'!$E$68*'MODEL Marketing Stratagy'!$E$73</f>
        <v>26082</v>
      </c>
      <c r="CR89" s="789">
        <f>'MODEL Marketing Stratagy'!$F68*'MODEL Marketing Stratagy'!$F73</f>
        <v>31993.919999999998</v>
      </c>
      <c r="CS89" s="789">
        <f>'MODEL Marketing Stratagy'!$G68*'MODEL Marketing Stratagy'!$G73</f>
        <v>38632.658399999993</v>
      </c>
      <c r="CT89" s="790"/>
      <c r="CU89" s="769"/>
      <c r="CV89" s="789">
        <f>'MODEL Marketing Stratagy'!$J68*'MODEL Marketing Stratagy'!$J73</f>
        <v>19950</v>
      </c>
      <c r="CW89" s="789">
        <f>'MODEL Marketing Stratagy'!$K68*'MODEL Marketing Stratagy'!$K73</f>
        <v>28690.199999999997</v>
      </c>
      <c r="CX89" s="789">
        <f>'MODEL Marketing Stratagy'!$L68*'MODEL Marketing Stratagy'!$L73</f>
        <v>40792.247999999992</v>
      </c>
      <c r="CY89" s="789">
        <f>'MODEL Marketing Stratagy'!$M68*'MODEL Marketing Stratagy'!$M73</f>
        <v>57397.092479999978</v>
      </c>
    </row>
    <row r="90" spans="1:103">
      <c r="A90" s="761"/>
      <c r="B90" s="769"/>
      <c r="D90" s="771"/>
      <c r="E90" s="769"/>
      <c r="F90" s="769"/>
      <c r="G90" s="769"/>
      <c r="H90" s="769"/>
      <c r="K90" s="769"/>
      <c r="L90" s="769"/>
      <c r="M90" s="769"/>
      <c r="N90" s="769"/>
      <c r="O90" s="769"/>
      <c r="P90" s="769"/>
      <c r="Q90" s="769"/>
      <c r="R90" s="769"/>
      <c r="S90" s="769"/>
      <c r="T90" s="769"/>
      <c r="U90" s="769"/>
      <c r="V90" s="790"/>
      <c r="CA90" s="769">
        <v>68</v>
      </c>
      <c r="CC90" s="771"/>
      <c r="CD90" s="763">
        <f>'MODEL Marketing Stratagy'!D76</f>
        <v>36750</v>
      </c>
      <c r="CE90" s="763">
        <f>'MODEL Marketing Stratagy'!E76</f>
        <v>40753.125000000007</v>
      </c>
      <c r="CF90" s="763">
        <f>'MODEL Marketing Stratagy'!F76</f>
        <v>43325.100000000006</v>
      </c>
      <c r="CG90" s="763">
        <f>'MODEL Marketing Stratagy'!G76</f>
        <v>43164.71381250002</v>
      </c>
      <c r="CJ90" s="763">
        <f>'MODEL Marketing Stratagy'!J76</f>
        <v>15750.000000000002</v>
      </c>
      <c r="CK90" s="763">
        <f>'MODEL Marketing Stratagy'!K76</f>
        <v>13584.375000000002</v>
      </c>
      <c r="CL90" s="763">
        <f>'MODEL Marketing Stratagy'!L76</f>
        <v>10831.274999999998</v>
      </c>
      <c r="CM90" s="763">
        <f>'MODEL Marketing Stratagy'!M76</f>
        <v>7617.3024374999977</v>
      </c>
      <c r="CP90" s="789">
        <f>'MODEL Marketing Stratagy'!$D69*'MODEL Marketing Stratagy'!$D74</f>
        <v>36750</v>
      </c>
      <c r="CQ90" s="789">
        <f>'MODEL Marketing Stratagy'!$E$69*'MODEL Marketing Stratagy'!$E$74</f>
        <v>40753.125000000007</v>
      </c>
      <c r="CR90" s="789">
        <f>'MODEL Marketing Stratagy'!$F69*'MODEL Marketing Stratagy'!$F74</f>
        <v>43325.100000000006</v>
      </c>
      <c r="CS90" s="789">
        <f>'MODEL Marketing Stratagy'!$G69*'MODEL Marketing Stratagy'!$G74</f>
        <v>43164.71381250002</v>
      </c>
      <c r="CT90" s="790"/>
      <c r="CU90" s="769"/>
      <c r="CV90" s="789">
        <f>'MODEL Marketing Stratagy'!$J69*'MODEL Marketing Stratagy'!$J74</f>
        <v>15750.000000000002</v>
      </c>
      <c r="CW90" s="789">
        <f>'MODEL Marketing Stratagy'!$K69*'MODEL Marketing Stratagy'!$K74</f>
        <v>13584.375000000002</v>
      </c>
      <c r="CX90" s="789">
        <f>'MODEL Marketing Stratagy'!$L69*'MODEL Marketing Stratagy'!$L74</f>
        <v>10831.274999999998</v>
      </c>
      <c r="CY90" s="789">
        <f>'MODEL Marketing Stratagy'!$M69*'MODEL Marketing Stratagy'!$M74</f>
        <v>7617.3024374999977</v>
      </c>
    </row>
    <row r="91" spans="1:103">
      <c r="A91" s="761"/>
      <c r="B91" s="769"/>
      <c r="D91" s="771"/>
      <c r="E91" s="769"/>
      <c r="F91" s="769"/>
      <c r="G91" s="769"/>
      <c r="H91" s="769"/>
      <c r="K91" s="769"/>
      <c r="L91" s="769"/>
      <c r="M91" s="769"/>
      <c r="N91" s="769"/>
      <c r="O91" s="769"/>
      <c r="P91" s="769"/>
      <c r="Q91" s="769"/>
      <c r="R91" s="769"/>
      <c r="S91" s="769"/>
      <c r="T91" s="769"/>
      <c r="U91" s="769"/>
      <c r="V91" s="790"/>
      <c r="CA91" s="769">
        <v>69</v>
      </c>
      <c r="CC91" s="771"/>
      <c r="CD91" s="763">
        <f>'MODEL Marketing Stratagy'!D77</f>
        <v>57750</v>
      </c>
      <c r="CE91" s="763">
        <f>'MODEL Marketing Stratagy'!E77</f>
        <v>66835.125</v>
      </c>
      <c r="CF91" s="763">
        <f>'MODEL Marketing Stratagy'!F77</f>
        <v>75319.02</v>
      </c>
      <c r="CG91" s="763">
        <f>'MODEL Marketing Stratagy'!G77</f>
        <v>81797.37221250002</v>
      </c>
      <c r="CJ91" s="763">
        <f>'MODEL Marketing Stratagy'!J77</f>
        <v>35700</v>
      </c>
      <c r="CK91" s="763">
        <f>'MODEL Marketing Stratagy'!K77</f>
        <v>42274.574999999997</v>
      </c>
      <c r="CL91" s="763">
        <f>'MODEL Marketing Stratagy'!L77</f>
        <v>51623.522999999986</v>
      </c>
      <c r="CM91" s="763">
        <f>'MODEL Marketing Stratagy'!M77</f>
        <v>65014.394917499973</v>
      </c>
      <c r="CP91" s="789">
        <f>SUM('MODEL Marketing Stratagy'!$D75:$D76)</f>
        <v>57750</v>
      </c>
      <c r="CQ91" s="789">
        <f>SUM('MODEL Marketing Stratagy'!$E$75:$E$76)</f>
        <v>66835.125</v>
      </c>
      <c r="CR91" s="789">
        <f>SUM('MODEL Marketing Stratagy'!$F75:$F76)</f>
        <v>75319.02</v>
      </c>
      <c r="CS91" s="789">
        <f>SUM('MODEL Marketing Stratagy'!$G75:$G76)</f>
        <v>81797.37221250002</v>
      </c>
      <c r="CT91" s="790"/>
      <c r="CU91" s="769"/>
      <c r="CV91" s="789">
        <f>SUM('MODEL Marketing Stratagy'!$J75:$J76)</f>
        <v>35700</v>
      </c>
      <c r="CW91" s="789">
        <f>SUM('MODEL Marketing Stratagy'!$K75:$K76)</f>
        <v>42274.574999999997</v>
      </c>
      <c r="CX91" s="789">
        <f>SUM('MODEL Marketing Stratagy'!$L75:$L76)</f>
        <v>51623.522999999986</v>
      </c>
      <c r="CY91" s="789">
        <f>SUM('MODEL Marketing Stratagy'!$M75:$M76)</f>
        <v>65014.394917499973</v>
      </c>
    </row>
    <row r="92" spans="1:103">
      <c r="A92" s="761"/>
      <c r="B92" s="769"/>
      <c r="D92" s="771"/>
      <c r="E92" s="769"/>
      <c r="F92" s="769"/>
      <c r="G92" s="769"/>
      <c r="H92" s="769"/>
      <c r="K92" s="769"/>
      <c r="L92" s="769"/>
      <c r="M92" s="769"/>
      <c r="N92" s="769"/>
      <c r="O92" s="769"/>
      <c r="P92" s="769"/>
      <c r="Q92" s="769"/>
      <c r="R92" s="769"/>
      <c r="S92" s="769"/>
      <c r="T92" s="769"/>
      <c r="U92" s="769"/>
      <c r="V92" s="790"/>
      <c r="CA92" s="769">
        <v>70</v>
      </c>
      <c r="CC92" s="771"/>
      <c r="CJ92" s="763">
        <f>'MODEL Marketing Stratagy'!J81</f>
        <v>111.11111111111111</v>
      </c>
      <c r="CK92" s="763">
        <f>'MODEL Marketing Stratagy'!K81</f>
        <v>111.11111111111111</v>
      </c>
      <c r="CL92" s="763">
        <f>'MODEL Marketing Stratagy'!L81</f>
        <v>111.11111111111111</v>
      </c>
      <c r="CM92" s="763">
        <f>'MODEL Marketing Stratagy'!M81</f>
        <v>111.11111111111111</v>
      </c>
      <c r="CP92" s="789"/>
      <c r="CQ92" s="789"/>
      <c r="CR92" s="789"/>
      <c r="CS92" s="789"/>
      <c r="CT92" s="790"/>
      <c r="CU92" s="769"/>
      <c r="CV92" s="791">
        <f>'MODEL Marketing Stratagy'!D81/0.9</f>
        <v>111.11111111111111</v>
      </c>
      <c r="CW92" s="794">
        <f>'MODEL Marketing Stratagy'!E81/0.9</f>
        <v>111.11111111111111</v>
      </c>
      <c r="CX92" s="794">
        <f>'MODEL Marketing Stratagy'!F81/0.9</f>
        <v>111.11111111111111</v>
      </c>
      <c r="CY92" s="794">
        <f>'MODEL Marketing Stratagy'!G81/0.9</f>
        <v>111.11111111111111</v>
      </c>
    </row>
    <row r="93" spans="1:103">
      <c r="A93" s="761"/>
      <c r="B93" s="769"/>
      <c r="D93" s="771"/>
      <c r="E93" s="769"/>
      <c r="F93" s="769"/>
      <c r="G93" s="769"/>
      <c r="H93" s="769"/>
      <c r="K93" s="769"/>
      <c r="L93" s="769"/>
      <c r="M93" s="769"/>
      <c r="N93" s="769"/>
      <c r="O93" s="769"/>
      <c r="P93" s="769"/>
      <c r="Q93" s="769"/>
      <c r="R93" s="769"/>
      <c r="S93" s="769"/>
      <c r="T93" s="769"/>
      <c r="U93" s="769"/>
      <c r="V93" s="790"/>
      <c r="CA93" s="769">
        <v>71</v>
      </c>
      <c r="CC93" s="771"/>
      <c r="CD93" s="763">
        <f>'MODEL Marketing Stratagy'!D82</f>
        <v>10500</v>
      </c>
      <c r="CE93" s="763">
        <f>'MODEL Marketing Stratagy'!E82</f>
        <v>13041</v>
      </c>
      <c r="CF93" s="763">
        <f>'MODEL Marketing Stratagy'!F82</f>
        <v>15996.96</v>
      </c>
      <c r="CG93" s="763">
        <f>'MODEL Marketing Stratagy'!G82</f>
        <v>19316.329199999996</v>
      </c>
      <c r="CJ93" s="763">
        <f>'MODEL Marketing Stratagy'!J82</f>
        <v>11666.666666666668</v>
      </c>
      <c r="CK93" s="763">
        <f>'MODEL Marketing Stratagy'!K82</f>
        <v>17710</v>
      </c>
      <c r="CL93" s="763">
        <f>'MODEL Marketing Stratagy'!L82</f>
        <v>26661.599999999995</v>
      </c>
      <c r="CM93" s="763">
        <f>'MODEL Marketing Stratagy'!M82</f>
        <v>39859.091999999982</v>
      </c>
      <c r="CP93" s="794">
        <f>'MODEL Marketing Stratagy'!$D68*'MODEL Marketing Stratagy'!$D$81</f>
        <v>10500</v>
      </c>
      <c r="CQ93" s="794">
        <f>'MODEL Marketing Stratagy'!$E68*'MODEL Marketing Stratagy'!$E$81</f>
        <v>13041</v>
      </c>
      <c r="CR93" s="794">
        <f>'MODEL Marketing Stratagy'!$F68*'MODEL Marketing Stratagy'!$F$81</f>
        <v>15996.96</v>
      </c>
      <c r="CS93" s="794">
        <f>'MODEL Marketing Stratagy'!$G68*'MODEL Marketing Stratagy'!$G$81</f>
        <v>19316.329199999996</v>
      </c>
      <c r="CT93" s="790"/>
      <c r="CU93" s="769"/>
      <c r="CV93" s="794">
        <f>'MODEL Marketing Stratagy'!$J68*'MODEL Marketing Stratagy'!$J$81</f>
        <v>11666.666666666668</v>
      </c>
      <c r="CW93" s="794">
        <f>'MODEL Marketing Stratagy'!$K68*'MODEL Marketing Stratagy'!$K$81</f>
        <v>17710</v>
      </c>
      <c r="CX93" s="794">
        <f>'MODEL Marketing Stratagy'!$L68*'MODEL Marketing Stratagy'!$L$81</f>
        <v>26661.599999999995</v>
      </c>
      <c r="CY93" s="794">
        <f>'MODEL Marketing Stratagy'!$M68*'MODEL Marketing Stratagy'!$M$81</f>
        <v>39859.091999999982</v>
      </c>
    </row>
    <row r="94" spans="1:103">
      <c r="A94" s="761"/>
      <c r="B94" s="769"/>
      <c r="D94" s="771"/>
      <c r="E94" s="769"/>
      <c r="F94" s="769"/>
      <c r="G94" s="769"/>
      <c r="H94" s="769"/>
      <c r="K94" s="769"/>
      <c r="L94" s="769"/>
      <c r="M94" s="769"/>
      <c r="N94" s="769"/>
      <c r="O94" s="769"/>
      <c r="P94" s="769"/>
      <c r="Q94" s="769"/>
      <c r="R94" s="769"/>
      <c r="S94" s="769"/>
      <c r="T94" s="769"/>
      <c r="U94" s="769"/>
      <c r="V94" s="790"/>
      <c r="CA94" s="769">
        <v>72</v>
      </c>
      <c r="CC94" s="771"/>
      <c r="CD94" s="763">
        <f>'MODEL Marketing Stratagy'!D83</f>
        <v>29400</v>
      </c>
      <c r="CE94" s="763">
        <f>'MODEL Marketing Stratagy'!E83</f>
        <v>32602.500000000004</v>
      </c>
      <c r="CF94" s="763">
        <f>'MODEL Marketing Stratagy'!F83</f>
        <v>34660.080000000002</v>
      </c>
      <c r="CG94" s="763">
        <f>'MODEL Marketing Stratagy'!G83</f>
        <v>34531.771050000018</v>
      </c>
      <c r="CJ94" s="763">
        <f>'MODEL Marketing Stratagy'!J83</f>
        <v>14000.000000000002</v>
      </c>
      <c r="CK94" s="763">
        <f>'MODEL Marketing Stratagy'!K83</f>
        <v>12075.000000000002</v>
      </c>
      <c r="CL94" s="763">
        <f>'MODEL Marketing Stratagy'!L83</f>
        <v>9627.7999999999993</v>
      </c>
      <c r="CM94" s="763">
        <f>'MODEL Marketing Stratagy'!M83</f>
        <v>6770.9354999999978</v>
      </c>
      <c r="CP94" s="794">
        <f>'MODEL Marketing Stratagy'!$D69*'MODEL Marketing Stratagy'!$D$81</f>
        <v>29400</v>
      </c>
      <c r="CQ94" s="794">
        <f>'MODEL Marketing Stratagy'!$E69*'MODEL Marketing Stratagy'!$E$81</f>
        <v>32602.500000000004</v>
      </c>
      <c r="CR94" s="794">
        <f>'MODEL Marketing Stratagy'!$F69*'MODEL Marketing Stratagy'!$F$81</f>
        <v>34660.080000000002</v>
      </c>
      <c r="CS94" s="794">
        <f>'MODEL Marketing Stratagy'!$G69*'MODEL Marketing Stratagy'!$G$81</f>
        <v>34531.771050000018</v>
      </c>
      <c r="CT94" s="790"/>
      <c r="CU94" s="769"/>
      <c r="CV94" s="794">
        <f>'MODEL Marketing Stratagy'!$J69*'MODEL Marketing Stratagy'!$J$81</f>
        <v>14000.000000000002</v>
      </c>
      <c r="CW94" s="794">
        <f>'MODEL Marketing Stratagy'!$K69*'MODEL Marketing Stratagy'!$K$81</f>
        <v>12075.000000000002</v>
      </c>
      <c r="CX94" s="794">
        <f>'MODEL Marketing Stratagy'!$L69*'MODEL Marketing Stratagy'!$L$81</f>
        <v>9627.7999999999993</v>
      </c>
      <c r="CY94" s="794">
        <f>'MODEL Marketing Stratagy'!$M69*'MODEL Marketing Stratagy'!$M$81</f>
        <v>6770.9354999999978</v>
      </c>
    </row>
    <row r="95" spans="1:103">
      <c r="A95" s="761"/>
      <c r="B95" s="769"/>
      <c r="D95" s="771"/>
      <c r="E95" s="769"/>
      <c r="F95" s="769"/>
      <c r="G95" s="769"/>
      <c r="H95" s="769"/>
      <c r="K95" s="769"/>
      <c r="L95" s="769"/>
      <c r="M95" s="769"/>
      <c r="N95" s="769"/>
      <c r="O95" s="769"/>
      <c r="P95" s="769"/>
      <c r="Q95" s="769"/>
      <c r="R95" s="769"/>
      <c r="S95" s="769"/>
      <c r="T95" s="769"/>
      <c r="U95" s="769"/>
      <c r="V95" s="790"/>
      <c r="CA95" s="769">
        <v>73</v>
      </c>
      <c r="CC95" s="771"/>
      <c r="CD95" s="763">
        <f>'MODEL Marketing Stratagy'!D84</f>
        <v>10500</v>
      </c>
      <c r="CE95" s="763">
        <f>'MODEL Marketing Stratagy'!E84</f>
        <v>13041</v>
      </c>
      <c r="CF95" s="763">
        <f>'MODEL Marketing Stratagy'!F84</f>
        <v>15996.96</v>
      </c>
      <c r="CG95" s="763">
        <f>'MODEL Marketing Stratagy'!G84</f>
        <v>19316.329199999996</v>
      </c>
      <c r="CJ95" s="763">
        <f>'MODEL Marketing Stratagy'!J84</f>
        <v>8283.3333333333321</v>
      </c>
      <c r="CK95" s="763">
        <f>'MODEL Marketing Stratagy'!K84</f>
        <v>10980.199999999997</v>
      </c>
      <c r="CL95" s="763">
        <f>'MODEL Marketing Stratagy'!L84</f>
        <v>14130.647999999997</v>
      </c>
      <c r="CM95" s="763">
        <f>'MODEL Marketing Stratagy'!M84</f>
        <v>17538.000479999995</v>
      </c>
      <c r="CP95" s="794">
        <f>'MODEL Marketing Stratagy'!$D75-'MODEL Marketing Stratagy'!$D82</f>
        <v>10500</v>
      </c>
      <c r="CQ95" s="794">
        <f>'MODEL Marketing Stratagy'!$E75-'MODEL Marketing Stratagy'!$E82</f>
        <v>13041</v>
      </c>
      <c r="CR95" s="794">
        <f>'MODEL Marketing Stratagy'!$F75-'MODEL Marketing Stratagy'!$F82</f>
        <v>15996.96</v>
      </c>
      <c r="CS95" s="794">
        <f>'MODEL Marketing Stratagy'!$G75-'MODEL Marketing Stratagy'!$G82</f>
        <v>19316.329199999996</v>
      </c>
      <c r="CT95" s="790"/>
      <c r="CU95" s="769"/>
      <c r="CV95" s="794">
        <f>'MODEL Marketing Stratagy'!$J75-'MODEL Marketing Stratagy'!$J82</f>
        <v>8283.3333333333321</v>
      </c>
      <c r="CW95" s="794">
        <f>'MODEL Marketing Stratagy'!$K75-'MODEL Marketing Stratagy'!$K82</f>
        <v>10980.199999999997</v>
      </c>
      <c r="CX95" s="794">
        <f>'MODEL Marketing Stratagy'!$L75-'MODEL Marketing Stratagy'!$L82</f>
        <v>14130.647999999997</v>
      </c>
      <c r="CY95" s="794">
        <f>'MODEL Marketing Stratagy'!$M75-'MODEL Marketing Stratagy'!$M82</f>
        <v>17538.000479999995</v>
      </c>
    </row>
    <row r="96" spans="1:103">
      <c r="A96" s="761"/>
      <c r="B96" s="769"/>
      <c r="D96" s="771"/>
      <c r="E96" s="769"/>
      <c r="F96" s="769"/>
      <c r="G96" s="769"/>
      <c r="H96" s="769"/>
      <c r="K96" s="769"/>
      <c r="L96" s="769"/>
      <c r="M96" s="769"/>
      <c r="N96" s="769"/>
      <c r="O96" s="769"/>
      <c r="P96" s="769"/>
      <c r="Q96" s="769"/>
      <c r="R96" s="769"/>
      <c r="S96" s="769"/>
      <c r="T96" s="769"/>
      <c r="U96" s="769"/>
      <c r="V96" s="790"/>
      <c r="CA96" s="769">
        <v>74</v>
      </c>
      <c r="CC96" s="771"/>
      <c r="CD96" s="763">
        <f>'MODEL Marketing Stratagy'!D85</f>
        <v>7350</v>
      </c>
      <c r="CE96" s="763">
        <f>'MODEL Marketing Stratagy'!E85</f>
        <v>8150.6250000000036</v>
      </c>
      <c r="CF96" s="763">
        <f>'MODEL Marketing Stratagy'!F85</f>
        <v>8665.0200000000041</v>
      </c>
      <c r="CG96" s="763">
        <f>'MODEL Marketing Stratagy'!G85</f>
        <v>8632.9427625000026</v>
      </c>
      <c r="CJ96" s="763">
        <f>'MODEL Marketing Stratagy'!J85</f>
        <v>1750</v>
      </c>
      <c r="CK96" s="763">
        <f>'MODEL Marketing Stratagy'!K85</f>
        <v>1509.375</v>
      </c>
      <c r="CL96" s="763">
        <f>'MODEL Marketing Stratagy'!L85</f>
        <v>1203.4749999999985</v>
      </c>
      <c r="CM96" s="763">
        <f>'MODEL Marketing Stratagy'!M85</f>
        <v>846.36693749999995</v>
      </c>
      <c r="CP96" s="794">
        <f>'MODEL Marketing Stratagy'!$D76-'MODEL Marketing Stratagy'!$D83</f>
        <v>7350</v>
      </c>
      <c r="CQ96" s="794">
        <f>'MODEL Marketing Stratagy'!$E76-'MODEL Marketing Stratagy'!$E83</f>
        <v>8150.6250000000036</v>
      </c>
      <c r="CR96" s="794">
        <f>'MODEL Marketing Stratagy'!$F76-'MODEL Marketing Stratagy'!$F83</f>
        <v>8665.0200000000041</v>
      </c>
      <c r="CS96" s="794">
        <f>'MODEL Marketing Stratagy'!$G76-'MODEL Marketing Stratagy'!$G83</f>
        <v>8632.9427625000026</v>
      </c>
      <c r="CT96" s="790"/>
      <c r="CU96" s="769"/>
      <c r="CV96" s="794">
        <f>'MODEL Marketing Stratagy'!$J76-'MODEL Marketing Stratagy'!$J83</f>
        <v>1750</v>
      </c>
      <c r="CW96" s="794">
        <f>'MODEL Marketing Stratagy'!$K76-'MODEL Marketing Stratagy'!$K83</f>
        <v>1509.375</v>
      </c>
      <c r="CX96" s="794">
        <f>'MODEL Marketing Stratagy'!$L76-'MODEL Marketing Stratagy'!$L83</f>
        <v>1203.4749999999985</v>
      </c>
      <c r="CY96" s="794">
        <f>'MODEL Marketing Stratagy'!$M76-'MODEL Marketing Stratagy'!$M83</f>
        <v>846.36693749999995</v>
      </c>
    </row>
    <row r="97" spans="1:103">
      <c r="A97" s="761"/>
      <c r="B97" s="769"/>
      <c r="D97" s="771"/>
      <c r="E97" s="769"/>
      <c r="F97" s="769"/>
      <c r="G97" s="769"/>
      <c r="H97" s="769"/>
      <c r="K97" s="769"/>
      <c r="L97" s="769"/>
      <c r="M97" s="769"/>
      <c r="N97" s="769"/>
      <c r="O97" s="769"/>
      <c r="P97" s="769"/>
      <c r="Q97" s="769"/>
      <c r="R97" s="769"/>
      <c r="S97" s="769"/>
      <c r="T97" s="769"/>
      <c r="U97" s="769"/>
      <c r="V97" s="790"/>
      <c r="CA97" s="769">
        <v>75</v>
      </c>
      <c r="CC97" s="771"/>
      <c r="CD97" s="763">
        <f>'MODEL Marketing Stratagy'!D86</f>
        <v>17850</v>
      </c>
      <c r="CE97" s="763">
        <f>'MODEL Marketing Stratagy'!E86</f>
        <v>21191.625000000004</v>
      </c>
      <c r="CF97" s="763">
        <f>'MODEL Marketing Stratagy'!F86</f>
        <v>24661.980000000003</v>
      </c>
      <c r="CG97" s="763">
        <f>'MODEL Marketing Stratagy'!G86</f>
        <v>27949.271962499999</v>
      </c>
      <c r="CJ97" s="763">
        <f>'MODEL Marketing Stratagy'!J86</f>
        <v>10033.333333333332</v>
      </c>
      <c r="CK97" s="763">
        <f>'MODEL Marketing Stratagy'!K86</f>
        <v>12489.574999999997</v>
      </c>
      <c r="CL97" s="763">
        <f>'MODEL Marketing Stratagy'!L86</f>
        <v>15334.122999999996</v>
      </c>
      <c r="CM97" s="763">
        <f>'MODEL Marketing Stratagy'!M86</f>
        <v>18384.367417499994</v>
      </c>
      <c r="CP97" s="794">
        <f>SUM('MODEL Marketing Stratagy'!$D84:$D85)</f>
        <v>17850</v>
      </c>
      <c r="CQ97" s="794">
        <f>SUM('MODEL Marketing Stratagy'!$E84:$E85)</f>
        <v>21191.625000000004</v>
      </c>
      <c r="CR97" s="794">
        <f>SUM('MODEL Marketing Stratagy'!$F84:$F85)</f>
        <v>24661.980000000003</v>
      </c>
      <c r="CS97" s="794">
        <f>SUM('MODEL Marketing Stratagy'!$G84:$G85)</f>
        <v>27949.271962499999</v>
      </c>
      <c r="CT97" s="790"/>
      <c r="CU97" s="769"/>
      <c r="CV97" s="794">
        <f>SUM('MODEL Marketing Stratagy'!$J84:$J85)</f>
        <v>10033.333333333332</v>
      </c>
      <c r="CW97" s="794">
        <f>SUM('MODEL Marketing Stratagy'!$K84:$K85)</f>
        <v>12489.574999999997</v>
      </c>
      <c r="CX97" s="794">
        <f>SUM('MODEL Marketing Stratagy'!$L84:$L85)</f>
        <v>15334.122999999996</v>
      </c>
      <c r="CY97" s="794">
        <f>SUM('MODEL Marketing Stratagy'!$M84:$M85)</f>
        <v>18384.367417499994</v>
      </c>
    </row>
    <row r="98" spans="1:103">
      <c r="A98" s="761"/>
      <c r="B98" s="769"/>
      <c r="D98" s="771"/>
      <c r="E98" s="769"/>
      <c r="F98" s="769"/>
      <c r="G98" s="769"/>
      <c r="H98" s="769"/>
      <c r="K98" s="769"/>
      <c r="L98" s="769"/>
      <c r="M98" s="769"/>
      <c r="N98" s="769"/>
      <c r="O98" s="769"/>
      <c r="P98" s="769"/>
      <c r="Q98" s="769"/>
      <c r="R98" s="769"/>
      <c r="S98" s="769"/>
      <c r="T98" s="769"/>
      <c r="U98" s="769"/>
      <c r="V98" s="790"/>
      <c r="CA98" s="769">
        <v>76</v>
      </c>
      <c r="CC98" s="771"/>
      <c r="CD98" s="763">
        <f>'MODEL Marketing Stratagy'!D87</f>
        <v>0.30909090909090908</v>
      </c>
      <c r="CE98" s="763">
        <f>'MODEL Marketing Stratagy'!E87</f>
        <v>0.31707317073170738</v>
      </c>
      <c r="CF98" s="763">
        <f>'MODEL Marketing Stratagy'!F87</f>
        <v>0.32743362831858408</v>
      </c>
      <c r="CG98" s="763">
        <f>'MODEL Marketing Stratagy'!G87</f>
        <v>0.3416891179571277</v>
      </c>
      <c r="CJ98" s="797">
        <f>'MODEL Marketing Stratagy'!J87</f>
        <v>0.28104575163398687</v>
      </c>
      <c r="CK98" s="763">
        <f>'MODEL Marketing Stratagy'!K87</f>
        <v>0.2954393982671617</v>
      </c>
      <c r="CL98" s="763">
        <f>'MODEL Marketing Stratagy'!L87</f>
        <v>0.29703751524280897</v>
      </c>
      <c r="CM98" s="763">
        <f>'MODEL Marketing Stratagy'!M87</f>
        <v>0.28277379864611274</v>
      </c>
      <c r="CP98" s="790">
        <f>'MODEL Marketing Stratagy'!D86/'MODEL Marketing Stratagy'!D77</f>
        <v>0.30909090909090908</v>
      </c>
      <c r="CQ98" s="790">
        <f>'MODEL Marketing Stratagy'!E86/'MODEL Marketing Stratagy'!E77</f>
        <v>0.31707317073170738</v>
      </c>
      <c r="CR98" s="790">
        <f>'MODEL Marketing Stratagy'!F86/'MODEL Marketing Stratagy'!F77</f>
        <v>0.32743362831858408</v>
      </c>
      <c r="CS98" s="790">
        <f>'MODEL Marketing Stratagy'!G86/'MODEL Marketing Stratagy'!G77</f>
        <v>0.3416891179571277</v>
      </c>
      <c r="CT98" s="790"/>
      <c r="CU98" s="769"/>
      <c r="CV98" s="790">
        <f>'MODEL Marketing Stratagy'!J86/'MODEL Marketing Stratagy'!J77</f>
        <v>0.28104575163398687</v>
      </c>
      <c r="CW98" s="790">
        <f>'MODEL Marketing Stratagy'!K86/'MODEL Marketing Stratagy'!K77</f>
        <v>0.2954393982671617</v>
      </c>
      <c r="CX98" s="790">
        <f>'MODEL Marketing Stratagy'!L86/'MODEL Marketing Stratagy'!L77</f>
        <v>0.29703751524280897</v>
      </c>
      <c r="CY98" s="790">
        <f>'MODEL Marketing Stratagy'!M86/'MODEL Marketing Stratagy'!M77</f>
        <v>0.28277379864611274</v>
      </c>
    </row>
    <row r="99" spans="1:103">
      <c r="A99" s="761"/>
      <c r="B99" s="769"/>
      <c r="D99" s="771"/>
      <c r="E99" s="769"/>
      <c r="F99" s="769"/>
      <c r="G99" s="769"/>
      <c r="H99" s="769"/>
      <c r="K99" s="769"/>
      <c r="L99" s="769"/>
      <c r="M99" s="769"/>
      <c r="N99" s="769"/>
      <c r="O99" s="769"/>
      <c r="P99" s="769"/>
      <c r="Q99" s="769"/>
      <c r="R99" s="769"/>
      <c r="S99" s="769"/>
      <c r="T99" s="769"/>
      <c r="U99" s="769"/>
      <c r="V99" s="790"/>
      <c r="CA99" s="769">
        <v>77</v>
      </c>
      <c r="CC99" s="771"/>
      <c r="CD99" s="763">
        <f>'MODEL Marketing Stratagy'!D92</f>
        <v>2100</v>
      </c>
      <c r="CE99" s="763">
        <f>'MODEL Marketing Stratagy'!E92</f>
        <v>2608.2000000000003</v>
      </c>
      <c r="CF99" s="763">
        <f>'MODEL Marketing Stratagy'!F92</f>
        <v>3199.3919999999998</v>
      </c>
      <c r="CG99" s="763">
        <f>'MODEL Marketing Stratagy'!G92</f>
        <v>3863.2658399999996</v>
      </c>
      <c r="CJ99" s="763">
        <f>'MODEL Marketing Stratagy'!J92</f>
        <v>1995</v>
      </c>
      <c r="CK99" s="763">
        <f>'MODEL Marketing Stratagy'!K92</f>
        <v>2869.02</v>
      </c>
      <c r="CL99" s="763">
        <f>'MODEL Marketing Stratagy'!L92</f>
        <v>4079.2247999999995</v>
      </c>
      <c r="CM99" s="763">
        <f>'MODEL Marketing Stratagy'!M92</f>
        <v>5739.7092479999983</v>
      </c>
      <c r="CP99" s="794">
        <f>'MODEL Marketing Stratagy'!$D75*'MODEL Marketing Stratagy'!$D90</f>
        <v>2100</v>
      </c>
      <c r="CQ99" s="794">
        <f>'MODEL Marketing Stratagy'!$E75*'MODEL Marketing Stratagy'!$E90</f>
        <v>2608.2000000000003</v>
      </c>
      <c r="CR99" s="794">
        <f>'MODEL Marketing Stratagy'!$F75*'MODEL Marketing Stratagy'!$F90</f>
        <v>3199.3919999999998</v>
      </c>
      <c r="CS99" s="794">
        <f>'MODEL Marketing Stratagy'!$G75*'MODEL Marketing Stratagy'!$G90</f>
        <v>3863.2658399999996</v>
      </c>
      <c r="CT99" s="790"/>
      <c r="CU99" s="769"/>
      <c r="CV99" s="794">
        <f>'MODEL Marketing Stratagy'!$J75*'MODEL Marketing Stratagy'!$J90</f>
        <v>1995</v>
      </c>
      <c r="CW99" s="794">
        <f>'MODEL Marketing Stratagy'!$K75*'MODEL Marketing Stratagy'!$K90</f>
        <v>2869.02</v>
      </c>
      <c r="CX99" s="794">
        <f>'MODEL Marketing Stratagy'!$L75*'MODEL Marketing Stratagy'!$L90</f>
        <v>4079.2247999999995</v>
      </c>
      <c r="CY99" s="794">
        <f>'MODEL Marketing Stratagy'!$M75*'MODEL Marketing Stratagy'!$M90</f>
        <v>5739.7092479999983</v>
      </c>
    </row>
    <row r="100" spans="1:103">
      <c r="A100" s="761"/>
      <c r="B100" s="769"/>
      <c r="D100" s="771"/>
      <c r="E100" s="769"/>
      <c r="F100" s="769"/>
      <c r="G100" s="769"/>
      <c r="H100" s="769"/>
      <c r="K100" s="769"/>
      <c r="L100" s="769"/>
      <c r="M100" s="769"/>
      <c r="N100" s="769"/>
      <c r="O100" s="769"/>
      <c r="P100" s="769"/>
      <c r="Q100" s="769"/>
      <c r="R100" s="769"/>
      <c r="S100" s="769"/>
      <c r="T100" s="769"/>
      <c r="U100" s="769"/>
      <c r="V100" s="790"/>
      <c r="CA100" s="769">
        <v>78</v>
      </c>
      <c r="CC100" s="771"/>
      <c r="CD100" s="763">
        <f>'MODEL Marketing Stratagy'!D93</f>
        <v>1837.5</v>
      </c>
      <c r="CE100" s="763">
        <f>'MODEL Marketing Stratagy'!E93</f>
        <v>2037.6562500000005</v>
      </c>
      <c r="CF100" s="763">
        <f>'MODEL Marketing Stratagy'!F93</f>
        <v>2166.2550000000006</v>
      </c>
      <c r="CG100" s="763">
        <f>'MODEL Marketing Stratagy'!G93</f>
        <v>2158.2356906250011</v>
      </c>
      <c r="CJ100" s="763">
        <f>'MODEL Marketing Stratagy'!J93</f>
        <v>787.50000000000011</v>
      </c>
      <c r="CK100" s="763">
        <f>'MODEL Marketing Stratagy'!K93</f>
        <v>679.21875000000011</v>
      </c>
      <c r="CL100" s="763">
        <f>'MODEL Marketing Stratagy'!L93</f>
        <v>541.56374999999991</v>
      </c>
      <c r="CM100" s="763">
        <f>'MODEL Marketing Stratagy'!M93</f>
        <v>380.86512187499989</v>
      </c>
      <c r="CP100" s="794">
        <f>'MODEL Marketing Stratagy'!$D76*'MODEL Marketing Stratagy'!$D91</f>
        <v>1837.5</v>
      </c>
      <c r="CQ100" s="794">
        <f>'MODEL Marketing Stratagy'!$E76*'MODEL Marketing Stratagy'!$E91</f>
        <v>2037.6562500000005</v>
      </c>
      <c r="CR100" s="794">
        <f>'MODEL Marketing Stratagy'!$F76*'MODEL Marketing Stratagy'!$F91</f>
        <v>2166.2550000000006</v>
      </c>
      <c r="CS100" s="794">
        <f>'MODEL Marketing Stratagy'!$G76*'MODEL Marketing Stratagy'!$G91</f>
        <v>2158.2356906250011</v>
      </c>
      <c r="CT100" s="790"/>
      <c r="CU100" s="769"/>
      <c r="CV100" s="794">
        <f>'MODEL Marketing Stratagy'!$J76*'MODEL Marketing Stratagy'!$J91</f>
        <v>787.50000000000011</v>
      </c>
      <c r="CW100" s="794">
        <f>'MODEL Marketing Stratagy'!$K76*'MODEL Marketing Stratagy'!$K91</f>
        <v>679.21875000000011</v>
      </c>
      <c r="CX100" s="794">
        <f>'MODEL Marketing Stratagy'!$L76*'MODEL Marketing Stratagy'!$L91</f>
        <v>541.56374999999991</v>
      </c>
      <c r="CY100" s="794">
        <f>'MODEL Marketing Stratagy'!$M76*'MODEL Marketing Stratagy'!$M91</f>
        <v>380.86512187499989</v>
      </c>
    </row>
    <row r="101" spans="1:103">
      <c r="A101" s="761"/>
      <c r="B101" s="769"/>
      <c r="D101" s="771"/>
      <c r="E101" s="769"/>
      <c r="F101" s="769"/>
      <c r="G101" s="769"/>
      <c r="H101" s="769"/>
      <c r="K101" s="769"/>
      <c r="L101" s="769"/>
      <c r="M101" s="769"/>
      <c r="N101" s="769"/>
      <c r="O101" s="769"/>
      <c r="P101" s="769"/>
      <c r="Q101" s="769"/>
      <c r="R101" s="769"/>
      <c r="S101" s="769"/>
      <c r="T101" s="769"/>
      <c r="U101" s="769"/>
      <c r="V101" s="790"/>
      <c r="CA101" s="769">
        <v>79</v>
      </c>
      <c r="CC101" s="771"/>
      <c r="CD101" s="763">
        <f>'MODEL Marketing Stratagy'!D94</f>
        <v>8400</v>
      </c>
      <c r="CE101" s="763">
        <f>'MODEL Marketing Stratagy'!E94</f>
        <v>10432.799999999999</v>
      </c>
      <c r="CF101" s="763">
        <f>'MODEL Marketing Stratagy'!F94</f>
        <v>12797.567999999999</v>
      </c>
      <c r="CG101" s="763">
        <f>'MODEL Marketing Stratagy'!G94</f>
        <v>15453.063359999996</v>
      </c>
      <c r="CJ101" s="763">
        <f>'MODEL Marketing Stratagy'!J94</f>
        <v>6288.3333333333321</v>
      </c>
      <c r="CK101" s="763">
        <f>'MODEL Marketing Stratagy'!K94</f>
        <v>8111.1799999999967</v>
      </c>
      <c r="CL101" s="763">
        <f>'MODEL Marketing Stratagy'!L94</f>
        <v>10051.423199999997</v>
      </c>
      <c r="CM101" s="763">
        <f>'MODEL Marketing Stratagy'!M94</f>
        <v>11798.291231999996</v>
      </c>
      <c r="CP101" s="794">
        <f>'MODEL Marketing Stratagy'!$D84-'MODEL Marketing Stratagy'!$D92</f>
        <v>8400</v>
      </c>
      <c r="CQ101" s="794">
        <f>'MODEL Marketing Stratagy'!$E84-'MODEL Marketing Stratagy'!$E92</f>
        <v>10432.799999999999</v>
      </c>
      <c r="CR101" s="794">
        <f>'MODEL Marketing Stratagy'!$F84-'MODEL Marketing Stratagy'!$F92</f>
        <v>12797.567999999999</v>
      </c>
      <c r="CS101" s="794">
        <f>'MODEL Marketing Stratagy'!$G84-'MODEL Marketing Stratagy'!$G92</f>
        <v>15453.063359999996</v>
      </c>
      <c r="CT101" s="790"/>
      <c r="CU101" s="769"/>
      <c r="CV101" s="794">
        <f>'MODEL Marketing Stratagy'!$J84-'MODEL Marketing Stratagy'!$J92</f>
        <v>6288.3333333333321</v>
      </c>
      <c r="CW101" s="794">
        <f>'MODEL Marketing Stratagy'!$K84-'MODEL Marketing Stratagy'!$K92</f>
        <v>8111.1799999999967</v>
      </c>
      <c r="CX101" s="794">
        <f>'MODEL Marketing Stratagy'!$L84-'MODEL Marketing Stratagy'!$L92</f>
        <v>10051.423199999997</v>
      </c>
      <c r="CY101" s="794">
        <f>'MODEL Marketing Stratagy'!$M84-'MODEL Marketing Stratagy'!$M92</f>
        <v>11798.291231999996</v>
      </c>
    </row>
    <row r="102" spans="1:103">
      <c r="A102" s="761"/>
      <c r="B102" s="769"/>
      <c r="D102" s="771"/>
      <c r="E102" s="769"/>
      <c r="F102" s="769"/>
      <c r="G102" s="769"/>
      <c r="H102" s="769"/>
      <c r="K102" s="769"/>
      <c r="L102" s="769"/>
      <c r="M102" s="769"/>
      <c r="N102" s="769"/>
      <c r="O102" s="769"/>
      <c r="P102" s="769"/>
      <c r="Q102" s="769"/>
      <c r="R102" s="769"/>
      <c r="S102" s="769"/>
      <c r="T102" s="769"/>
      <c r="U102" s="769"/>
      <c r="V102" s="790"/>
      <c r="CA102" s="769">
        <v>80</v>
      </c>
      <c r="CC102" s="771"/>
      <c r="CD102" s="763">
        <f>'MODEL Marketing Stratagy'!D95</f>
        <v>5512.5</v>
      </c>
      <c r="CE102" s="763">
        <f>'MODEL Marketing Stratagy'!E95</f>
        <v>6112.9687500000036</v>
      </c>
      <c r="CF102" s="763">
        <f>'MODEL Marketing Stratagy'!F95</f>
        <v>6498.7650000000031</v>
      </c>
      <c r="CG102" s="763">
        <f>'MODEL Marketing Stratagy'!G95</f>
        <v>6474.7070718750019</v>
      </c>
      <c r="CJ102" s="763">
        <f>'MODEL Marketing Stratagy'!J95</f>
        <v>962.49999999999989</v>
      </c>
      <c r="CK102" s="763">
        <f>'MODEL Marketing Stratagy'!K95</f>
        <v>830.15624999999989</v>
      </c>
      <c r="CL102" s="763">
        <f>'MODEL Marketing Stratagy'!L95</f>
        <v>661.91124999999863</v>
      </c>
      <c r="CM102" s="763">
        <f>'MODEL Marketing Stratagy'!M95</f>
        <v>465.50181562500006</v>
      </c>
      <c r="CP102" s="794">
        <f>'MODEL Marketing Stratagy'!$D85-'MODEL Marketing Stratagy'!$D93</f>
        <v>5512.5</v>
      </c>
      <c r="CQ102" s="794">
        <f>'MODEL Marketing Stratagy'!$E85-'MODEL Marketing Stratagy'!$E93</f>
        <v>6112.9687500000036</v>
      </c>
      <c r="CR102" s="794">
        <f>'MODEL Marketing Stratagy'!$F85-'MODEL Marketing Stratagy'!$F93</f>
        <v>6498.7650000000031</v>
      </c>
      <c r="CS102" s="794">
        <f>'MODEL Marketing Stratagy'!$G85-'MODEL Marketing Stratagy'!$G93</f>
        <v>6474.7070718750019</v>
      </c>
      <c r="CT102" s="790"/>
      <c r="CU102" s="769"/>
      <c r="CV102" s="794">
        <f>'MODEL Marketing Stratagy'!$J85-'MODEL Marketing Stratagy'!$J93</f>
        <v>962.49999999999989</v>
      </c>
      <c r="CW102" s="794">
        <f>'MODEL Marketing Stratagy'!$K85-'MODEL Marketing Stratagy'!$K93</f>
        <v>830.15624999999989</v>
      </c>
      <c r="CX102" s="794">
        <f>'MODEL Marketing Stratagy'!$L85-'MODEL Marketing Stratagy'!$L93</f>
        <v>661.91124999999863</v>
      </c>
      <c r="CY102" s="794">
        <f>'MODEL Marketing Stratagy'!$M85-'MODEL Marketing Stratagy'!$M93</f>
        <v>465.50181562500006</v>
      </c>
    </row>
    <row r="103" spans="1:103">
      <c r="A103" s="761"/>
      <c r="B103" s="769"/>
      <c r="D103" s="771"/>
      <c r="E103" s="769"/>
      <c r="F103" s="769"/>
      <c r="G103" s="769"/>
      <c r="H103" s="769"/>
      <c r="K103" s="769"/>
      <c r="L103" s="769"/>
      <c r="M103" s="769"/>
      <c r="N103" s="769"/>
      <c r="O103" s="769"/>
      <c r="P103" s="769"/>
      <c r="Q103" s="769"/>
      <c r="R103" s="769"/>
      <c r="S103" s="769"/>
      <c r="T103" s="769"/>
      <c r="U103" s="769"/>
      <c r="V103" s="790"/>
      <c r="CA103" s="769">
        <v>81</v>
      </c>
      <c r="CC103" s="771"/>
      <c r="CD103" s="763">
        <f>'MODEL Marketing Stratagy'!D96</f>
        <v>13912.5</v>
      </c>
      <c r="CE103" s="763">
        <f>'MODEL Marketing Stratagy'!E96</f>
        <v>16545.768750000003</v>
      </c>
      <c r="CF103" s="763">
        <f>'MODEL Marketing Stratagy'!F96</f>
        <v>19296.333000000002</v>
      </c>
      <c r="CG103" s="763">
        <f>'MODEL Marketing Stratagy'!G96</f>
        <v>21927.770431874997</v>
      </c>
      <c r="CJ103" s="763">
        <f>'MODEL Marketing Stratagy'!J96</f>
        <v>7250.8333333333321</v>
      </c>
      <c r="CK103" s="763">
        <f>'MODEL Marketing Stratagy'!K96</f>
        <v>8941.3362499999967</v>
      </c>
      <c r="CL103" s="763">
        <f>'MODEL Marketing Stratagy'!L96</f>
        <v>10713.334449999997</v>
      </c>
      <c r="CM103" s="763">
        <f>'MODEL Marketing Stratagy'!M96</f>
        <v>12263.793047624997</v>
      </c>
      <c r="CP103" s="794">
        <f>SUM('MODEL Marketing Stratagy'!$D94:$D95)</f>
        <v>13912.5</v>
      </c>
      <c r="CQ103" s="794">
        <f>SUM('MODEL Marketing Stratagy'!$E94:$E95)</f>
        <v>16545.768750000003</v>
      </c>
      <c r="CR103" s="794">
        <f>SUM('MODEL Marketing Stratagy'!$F94:$F95)</f>
        <v>19296.333000000002</v>
      </c>
      <c r="CS103" s="794">
        <f>SUM('MODEL Marketing Stratagy'!$G94:$G95)</f>
        <v>21927.770431874997</v>
      </c>
      <c r="CT103" s="790"/>
      <c r="CU103" s="769"/>
      <c r="CV103" s="794">
        <f>SUM('MODEL Marketing Stratagy'!$J94:$J95)</f>
        <v>7250.8333333333321</v>
      </c>
      <c r="CW103" s="794">
        <f>SUM('MODEL Marketing Stratagy'!$K94:$K95)</f>
        <v>8941.3362499999967</v>
      </c>
      <c r="CX103" s="794">
        <f>SUM('MODEL Marketing Stratagy'!$L94:$L95)</f>
        <v>10713.334449999997</v>
      </c>
      <c r="CY103" s="794">
        <f>SUM('MODEL Marketing Stratagy'!$M94:$M95)</f>
        <v>12263.793047624997</v>
      </c>
    </row>
    <row r="104" spans="1:103">
      <c r="A104" s="761"/>
      <c r="B104" s="769"/>
      <c r="D104" s="771"/>
      <c r="E104" s="769"/>
      <c r="F104" s="769"/>
      <c r="G104" s="769"/>
      <c r="H104" s="769"/>
      <c r="K104" s="769"/>
      <c r="M104" s="769"/>
      <c r="N104" s="769"/>
      <c r="O104" s="769"/>
      <c r="P104" s="769"/>
      <c r="Q104" s="769"/>
      <c r="R104" s="769"/>
      <c r="S104" s="769"/>
      <c r="T104" s="769"/>
      <c r="U104" s="769"/>
      <c r="V104" s="769"/>
      <c r="W104" s="769"/>
      <c r="X104" s="769"/>
      <c r="Y104" s="769"/>
      <c r="Z104" s="769"/>
      <c r="AA104" s="769"/>
      <c r="AB104" s="769"/>
      <c r="AC104" s="769"/>
      <c r="AD104" s="769"/>
      <c r="AE104" s="769"/>
      <c r="AF104" s="769"/>
      <c r="CA104" s="769">
        <v>82</v>
      </c>
      <c r="CC104" s="771"/>
      <c r="CD104" s="780">
        <f>'MODEL Marketing Stratagy'!B100</f>
        <v>0.15</v>
      </c>
      <c r="CJ104" s="786">
        <f>'MODEL Marketing Stratagy'!H58</f>
        <v>0.15</v>
      </c>
    </row>
    <row r="105" spans="1:103">
      <c r="A105" s="761"/>
      <c r="B105" s="769"/>
      <c r="D105" s="771"/>
      <c r="E105" s="769"/>
      <c r="F105" s="769"/>
      <c r="G105" s="769"/>
      <c r="H105" s="769"/>
      <c r="K105" s="769"/>
      <c r="M105" s="769"/>
      <c r="N105" s="769"/>
      <c r="O105" s="769"/>
      <c r="P105" s="769"/>
      <c r="Q105" s="769"/>
      <c r="R105" s="769"/>
      <c r="S105" s="769"/>
      <c r="T105" s="769"/>
      <c r="U105" s="769"/>
      <c r="V105" s="769"/>
      <c r="W105" s="769"/>
      <c r="X105" s="769"/>
      <c r="Y105" s="769"/>
      <c r="Z105" s="769"/>
      <c r="AA105" s="769"/>
      <c r="AB105" s="769"/>
      <c r="AC105" s="769"/>
      <c r="AD105" s="769"/>
      <c r="AE105" s="769"/>
      <c r="AF105" s="769"/>
      <c r="CA105" s="769">
        <v>83</v>
      </c>
      <c r="CC105" s="771"/>
      <c r="CD105" s="780">
        <f>'MODEL Marketing Stratagy'!B103</f>
        <v>0.37999999999999967</v>
      </c>
      <c r="CJ105" s="786">
        <f>'MODEL Marketing Stratagy'!H61</f>
        <v>0.37999999999999967</v>
      </c>
    </row>
    <row r="106" spans="1:103">
      <c r="A106" s="761"/>
      <c r="B106" s="769"/>
      <c r="D106" s="771"/>
      <c r="E106" s="769"/>
      <c r="F106" s="769"/>
      <c r="G106" s="769"/>
      <c r="H106" s="769"/>
      <c r="K106" s="769"/>
      <c r="M106" s="769"/>
      <c r="N106" s="769"/>
      <c r="O106" s="769"/>
      <c r="P106" s="769"/>
      <c r="Q106" s="769"/>
      <c r="R106" s="769"/>
      <c r="S106" s="769"/>
      <c r="T106" s="769"/>
      <c r="U106" s="769"/>
      <c r="V106" s="769"/>
      <c r="W106" s="769"/>
      <c r="X106" s="769"/>
      <c r="Y106" s="769"/>
      <c r="Z106" s="769"/>
      <c r="AA106" s="769"/>
      <c r="AB106" s="769"/>
      <c r="AC106" s="769"/>
      <c r="AD106" s="769"/>
      <c r="AE106" s="769"/>
      <c r="AF106" s="769"/>
      <c r="CA106" s="769">
        <v>84</v>
      </c>
      <c r="CC106" s="771"/>
      <c r="CD106" s="780">
        <f>'MODEL Marketing Stratagy'!B106</f>
        <v>0.22118211819083444</v>
      </c>
      <c r="CJ106" s="786">
        <f>'MODEL Marketing Stratagy'!N77</f>
        <v>0.22118211819083444</v>
      </c>
    </row>
    <row r="107" spans="1:103">
      <c r="A107" s="761"/>
      <c r="B107" s="769"/>
      <c r="D107" s="771"/>
      <c r="E107" s="769"/>
      <c r="F107" s="769"/>
      <c r="G107" s="769"/>
      <c r="H107" s="769"/>
      <c r="K107" s="769"/>
      <c r="M107" s="769"/>
      <c r="N107" s="769"/>
      <c r="O107" s="769"/>
      <c r="P107" s="769"/>
      <c r="Q107" s="769"/>
      <c r="R107" s="769"/>
      <c r="S107" s="769"/>
      <c r="T107" s="769"/>
      <c r="U107" s="769"/>
      <c r="V107" s="769"/>
      <c r="W107" s="769"/>
      <c r="X107" s="769"/>
      <c r="Y107" s="769"/>
      <c r="Z107" s="769"/>
      <c r="AA107" s="769"/>
      <c r="AB107" s="769"/>
      <c r="AC107" s="769"/>
      <c r="AD107" s="769"/>
      <c r="AE107" s="769"/>
      <c r="AF107" s="769"/>
      <c r="CA107" s="769">
        <v>85</v>
      </c>
      <c r="CC107" s="771"/>
      <c r="CD107" s="780">
        <f>'MODEL Marketing Stratagy'!B109</f>
        <v>-5.5673608582633149E-2</v>
      </c>
      <c r="CJ107" s="786">
        <f>'MODEL Marketing Stratagy'!N73</f>
        <v>-5.5673608582633149E-2</v>
      </c>
    </row>
    <row r="108" spans="1:103">
      <c r="A108" s="761"/>
      <c r="B108" s="769"/>
      <c r="D108" s="771"/>
      <c r="E108" s="769"/>
      <c r="F108" s="769"/>
      <c r="G108" s="769"/>
      <c r="H108" s="769"/>
      <c r="K108" s="769"/>
      <c r="M108" s="769"/>
      <c r="N108" s="769"/>
      <c r="O108" s="769"/>
      <c r="P108" s="769"/>
      <c r="Q108" s="769"/>
      <c r="R108" s="769"/>
      <c r="S108" s="769"/>
      <c r="T108" s="769"/>
      <c r="U108" s="769"/>
      <c r="V108" s="769"/>
      <c r="W108" s="769"/>
      <c r="X108" s="769"/>
      <c r="Y108" s="769"/>
      <c r="Z108" s="769"/>
      <c r="AA108" s="769"/>
      <c r="AB108" s="769"/>
      <c r="AC108" s="769"/>
      <c r="AD108" s="769"/>
      <c r="AE108" s="769"/>
      <c r="AF108" s="769"/>
      <c r="CA108" s="769">
        <v>86</v>
      </c>
      <c r="CC108" s="771"/>
      <c r="CD108" s="780">
        <f>'MODEL Marketing Stratagy'!B112</f>
        <v>0.16375912551897387</v>
      </c>
      <c r="CJ108" s="786">
        <f>'MODEL Marketing Stratagy'!H96</f>
        <v>0.16375912551897387</v>
      </c>
    </row>
    <row r="109" spans="1:103">
      <c r="A109" s="761"/>
      <c r="B109" s="769"/>
      <c r="D109" s="771"/>
      <c r="E109" s="769"/>
      <c r="F109" s="769"/>
      <c r="G109" s="769"/>
      <c r="H109" s="769"/>
      <c r="K109" s="769"/>
      <c r="L109" s="786"/>
      <c r="M109" s="769"/>
      <c r="S109" s="769"/>
      <c r="T109" s="769"/>
      <c r="U109" s="769"/>
      <c r="V109" s="769"/>
      <c r="W109" s="769"/>
      <c r="X109" s="769"/>
      <c r="Y109" s="769"/>
      <c r="Z109" s="769"/>
      <c r="AA109" s="769"/>
      <c r="AB109" s="769"/>
      <c r="AC109" s="769"/>
      <c r="AD109" s="769"/>
      <c r="AE109" s="769"/>
      <c r="AF109" s="769"/>
      <c r="CA109" s="769">
        <v>87</v>
      </c>
      <c r="CC109" s="771"/>
      <c r="CD109" s="780" t="str">
        <f>'MODEL Marketing Stratagy'!B115</f>
        <v>Both Companies</v>
      </c>
    </row>
    <row r="110" spans="1:103">
      <c r="A110" s="761"/>
      <c r="B110" s="769"/>
      <c r="D110" s="771"/>
      <c r="E110" s="769"/>
      <c r="F110" s="769"/>
      <c r="G110" s="769"/>
      <c r="H110" s="769"/>
      <c r="K110" s="769"/>
      <c r="L110" s="786"/>
      <c r="M110" s="769"/>
      <c r="S110" s="769"/>
      <c r="T110" s="769"/>
      <c r="U110" s="769"/>
      <c r="V110" s="769"/>
      <c r="W110" s="769"/>
      <c r="X110" s="769"/>
      <c r="Y110" s="769"/>
      <c r="Z110" s="769"/>
      <c r="AA110" s="769"/>
      <c r="AB110" s="769"/>
      <c r="AC110" s="769"/>
      <c r="AD110" s="769"/>
      <c r="AE110" s="769"/>
      <c r="AF110" s="769"/>
      <c r="CA110" s="769">
        <v>88</v>
      </c>
      <c r="CC110" s="771"/>
      <c r="CD110" s="780" t="str">
        <f>'MODEL Marketing Stratagy'!B118</f>
        <v>All of the above</v>
      </c>
      <c r="CE110" s="780"/>
      <c r="CF110" s="780"/>
      <c r="CG110" s="780"/>
      <c r="CH110" s="780"/>
      <c r="CI110" s="780"/>
      <c r="CJ110" s="780"/>
      <c r="CK110" s="780"/>
      <c r="CL110" s="780"/>
      <c r="CM110" s="780"/>
      <c r="CN110" s="780"/>
      <c r="CO110" s="780"/>
      <c r="CP110" s="780"/>
    </row>
    <row r="111" spans="1:103">
      <c r="A111" s="761"/>
      <c r="B111" s="769"/>
      <c r="D111" s="771"/>
      <c r="E111" s="769"/>
      <c r="F111" s="769"/>
      <c r="G111" s="769"/>
      <c r="H111" s="769"/>
      <c r="K111" s="769"/>
      <c r="L111" s="769"/>
      <c r="M111" s="769"/>
      <c r="N111" s="769"/>
      <c r="O111" s="769"/>
      <c r="P111" s="769"/>
      <c r="Q111" s="769"/>
      <c r="R111" s="769"/>
      <c r="X111" s="769"/>
      <c r="Y111" s="769"/>
      <c r="CA111" s="769">
        <v>89</v>
      </c>
      <c r="CC111" s="771"/>
      <c r="CD111" s="763">
        <f>'MODEL Make-Buy Decision'!E44</f>
        <v>-5000</v>
      </c>
      <c r="CE111" s="763">
        <f>'MODEL Make-Buy Decision'!F44</f>
        <v>3775</v>
      </c>
      <c r="CF111" s="763">
        <f>'MODEL Make-Buy Decision'!G44</f>
        <v>13457.125</v>
      </c>
      <c r="CG111" s="763">
        <f>'MODEL Make-Buy Decision'!H44</f>
        <v>24078.124375000003</v>
      </c>
      <c r="CH111" s="763">
        <f>'MODEL Make-Buy Decision'!I44</f>
        <v>35670.858728125007</v>
      </c>
      <c r="CJ111" s="789">
        <f>('MODEL Make-Buy Decision'!D50-'MODEL Make-Buy Decision'!D52)*0.05</f>
        <v>-5000</v>
      </c>
      <c r="CK111" s="789">
        <f>('MODEL Make-Buy Decision'!E50-'MODEL Make-Buy Decision'!E52)*0.05</f>
        <v>3775</v>
      </c>
      <c r="CL111" s="789">
        <f>('MODEL Make-Buy Decision'!F50-'MODEL Make-Buy Decision'!F52)*0.05</f>
        <v>13457.125</v>
      </c>
      <c r="CM111" s="789">
        <f>('MODEL Make-Buy Decision'!G50-'MODEL Make-Buy Decision'!G52)*0.05</f>
        <v>24078.124375000003</v>
      </c>
      <c r="CN111" s="789">
        <f>('MODEL Make-Buy Decision'!H50-'MODEL Make-Buy Decision'!H52)*0.05</f>
        <v>35670.858728125007</v>
      </c>
    </row>
    <row r="112" spans="1:103">
      <c r="A112" s="761"/>
      <c r="B112" s="769"/>
      <c r="D112" s="771"/>
      <c r="E112" s="769"/>
      <c r="F112" s="769"/>
      <c r="G112" s="769"/>
      <c r="H112" s="769"/>
      <c r="K112" s="769"/>
      <c r="L112" s="769"/>
      <c r="M112" s="769"/>
      <c r="N112" s="769"/>
      <c r="O112" s="769"/>
      <c r="P112" s="769"/>
      <c r="Q112" s="769"/>
      <c r="R112" s="769"/>
      <c r="X112" s="769"/>
      <c r="Y112" s="769"/>
      <c r="CA112" s="769">
        <v>90</v>
      </c>
      <c r="CC112" s="771"/>
      <c r="CD112" s="763">
        <f>'MODEL Make-Buy Decision'!E50</f>
        <v>375500</v>
      </c>
      <c r="CE112" s="763">
        <f>'MODEL Make-Buy Decision'!F50</f>
        <v>762785</v>
      </c>
      <c r="CF112" s="763">
        <f>'MODEL Make-Buy Decision'!G50</f>
        <v>1187624.9750000001</v>
      </c>
      <c r="CG112" s="763">
        <f>'MODEL Make-Buy Decision'!H50</f>
        <v>1651334.3491250002</v>
      </c>
      <c r="CH112" s="763">
        <f>'MODEL Make-Buy Decision'!I50</f>
        <v>2155273.5513443751</v>
      </c>
      <c r="CJ112" s="789">
        <f>'MODEL Make-Buy Decision'!D50+'MODEL Make-Buy Decision'!E63</f>
        <v>375500</v>
      </c>
      <c r="CK112" s="789">
        <f>'MODEL Make-Buy Decision'!E50+'MODEL Make-Buy Decision'!F63</f>
        <v>762785</v>
      </c>
      <c r="CL112" s="789">
        <f>'MODEL Make-Buy Decision'!F50+'MODEL Make-Buy Decision'!G63</f>
        <v>1187624.9750000001</v>
      </c>
      <c r="CM112" s="789">
        <f>'MODEL Make-Buy Decision'!G50+'MODEL Make-Buy Decision'!H63</f>
        <v>1651334.3491250002</v>
      </c>
      <c r="CN112" s="789">
        <f>'MODEL Make-Buy Decision'!H50+'MODEL Make-Buy Decision'!I63</f>
        <v>2155273.5513443751</v>
      </c>
    </row>
    <row r="113" spans="1:104">
      <c r="A113" s="761"/>
      <c r="B113" s="769"/>
      <c r="D113" s="771"/>
      <c r="E113" s="769"/>
      <c r="F113" s="769"/>
      <c r="G113" s="769"/>
      <c r="H113" s="769"/>
      <c r="K113" s="769"/>
      <c r="L113" s="769"/>
      <c r="M113" s="769"/>
      <c r="N113" s="769"/>
      <c r="O113" s="769"/>
      <c r="P113" s="769"/>
      <c r="Q113" s="769"/>
      <c r="R113" s="769"/>
      <c r="X113" s="769"/>
      <c r="Y113" s="769"/>
      <c r="CA113" s="769">
        <v>91</v>
      </c>
      <c r="CC113" s="771"/>
      <c r="CD113" s="763">
        <f>'MODEL Make-Buy Decision'!E51</f>
        <v>360000</v>
      </c>
      <c r="CE113" s="763">
        <f>'MODEL Make-Buy Decision'!F51</f>
        <v>420000</v>
      </c>
      <c r="CF113" s="763">
        <f>'MODEL Make-Buy Decision'!G51</f>
        <v>480000</v>
      </c>
      <c r="CG113" s="763">
        <f>'MODEL Make-Buy Decision'!H51</f>
        <v>540000</v>
      </c>
      <c r="CH113" s="763">
        <f>'MODEL Make-Buy Decision'!I51</f>
        <v>600000</v>
      </c>
      <c r="CJ113" s="789">
        <f>'MODEL Make-Buy Decision'!D51-'MODEL Make-Buy Decision'!E57-'MODEL Make-Buy Decision'!E59</f>
        <v>240000</v>
      </c>
      <c r="CK113" s="789">
        <f>'MODEL Make-Buy Decision'!E51-'MODEL Make-Buy Decision'!F57-'MODEL Make-Buy Decision'!F59</f>
        <v>288000</v>
      </c>
      <c r="CL113" s="789">
        <f>'MODEL Make-Buy Decision'!F51-'MODEL Make-Buy Decision'!G57-'MODEL Make-Buy Decision'!G59</f>
        <v>336000</v>
      </c>
      <c r="CM113" s="789">
        <f>'MODEL Make-Buy Decision'!G51-'MODEL Make-Buy Decision'!H57-'MODEL Make-Buy Decision'!H59</f>
        <v>384000</v>
      </c>
      <c r="CN113" s="789">
        <f>'MODEL Make-Buy Decision'!H51-'MODEL Make-Buy Decision'!I57-'MODEL Make-Buy Decision'!I59</f>
        <v>432000</v>
      </c>
    </row>
    <row r="114" spans="1:104">
      <c r="A114" s="761"/>
      <c r="B114" s="769"/>
      <c r="D114" s="771"/>
      <c r="E114" s="769"/>
      <c r="F114" s="769"/>
      <c r="G114" s="769"/>
      <c r="H114" s="769"/>
      <c r="K114" s="769"/>
      <c r="L114" s="769"/>
      <c r="M114" s="769"/>
      <c r="N114" s="769"/>
      <c r="O114" s="769"/>
      <c r="P114" s="769"/>
      <c r="Q114" s="769"/>
      <c r="R114" s="769"/>
      <c r="X114" s="769"/>
      <c r="Y114" s="769"/>
      <c r="CA114" s="769">
        <v>92</v>
      </c>
      <c r="CC114" s="771"/>
      <c r="CD114" s="763">
        <f>'MODEL Make-Buy Decision'!E52</f>
        <v>300000</v>
      </c>
      <c r="CE114" s="763">
        <f>'MODEL Make-Buy Decision'!F52</f>
        <v>493642.5</v>
      </c>
      <c r="CF114" s="763">
        <f>'MODEL Make-Buy Decision'!G52</f>
        <v>706062.48750000005</v>
      </c>
      <c r="CG114" s="763">
        <f>'MODEL Make-Buy Decision'!H52</f>
        <v>937917.17456250009</v>
      </c>
      <c r="CH114" s="763">
        <f>'MODEL Make-Buy Decision'!I52</f>
        <v>1189886.7756721876</v>
      </c>
      <c r="CJ114" s="789">
        <f>'MODEL Make-Buy Decision'!D52+'MODEL Make-Buy Decision'!E61</f>
        <v>300000</v>
      </c>
      <c r="CK114" s="789">
        <f>'MODEL Make-Buy Decision'!E52+'MODEL Make-Buy Decision'!F61</f>
        <v>493642.5</v>
      </c>
      <c r="CL114" s="789">
        <f>'MODEL Make-Buy Decision'!F52+'MODEL Make-Buy Decision'!G61</f>
        <v>706062.48750000005</v>
      </c>
      <c r="CM114" s="789">
        <f>'MODEL Make-Buy Decision'!G52+'MODEL Make-Buy Decision'!H61</f>
        <v>937917.17456250009</v>
      </c>
      <c r="CN114" s="789">
        <f>'MODEL Make-Buy Decision'!H52+'MODEL Make-Buy Decision'!I61</f>
        <v>1189886.7756721876</v>
      </c>
    </row>
    <row r="115" spans="1:104">
      <c r="A115" s="761"/>
      <c r="B115" s="769"/>
      <c r="D115" s="771"/>
      <c r="E115" s="769"/>
      <c r="F115" s="769"/>
      <c r="G115" s="769"/>
      <c r="H115" s="769"/>
      <c r="K115" s="769"/>
      <c r="L115" s="769"/>
      <c r="M115" s="769"/>
      <c r="N115" s="769"/>
      <c r="O115" s="769"/>
      <c r="P115" s="769"/>
      <c r="Q115" s="769"/>
      <c r="R115" s="769"/>
      <c r="X115" s="769"/>
      <c r="Y115" s="769"/>
      <c r="CA115" s="769">
        <v>93</v>
      </c>
      <c r="CC115" s="771"/>
      <c r="CD115" s="763">
        <f>'MODEL Make-Buy Decision'!E53</f>
        <v>215500</v>
      </c>
      <c r="CE115" s="763">
        <f>'MODEL Make-Buy Decision'!F53</f>
        <v>337142.5</v>
      </c>
      <c r="CF115" s="763">
        <f>'MODEL Make-Buy Decision'!G53</f>
        <v>465562.48749999999</v>
      </c>
      <c r="CG115" s="763">
        <f>'MODEL Make-Buy Decision'!H53</f>
        <v>601417.17456249997</v>
      </c>
      <c r="CH115" s="763">
        <f>'MODEL Make-Buy Decision'!I53</f>
        <v>745386.77567218745</v>
      </c>
      <c r="CJ115" s="789">
        <f>'MODEL Make-Buy Decision'!D53+'MODEL Make-Buy Decision'!E47</f>
        <v>215500</v>
      </c>
      <c r="CK115" s="789">
        <f>'MODEL Make-Buy Decision'!E53+'MODEL Make-Buy Decision'!F47</f>
        <v>337142.5</v>
      </c>
      <c r="CL115" s="789">
        <f>'MODEL Make-Buy Decision'!F53+'MODEL Make-Buy Decision'!G47</f>
        <v>465562.48749999999</v>
      </c>
      <c r="CM115" s="789">
        <f>'MODEL Make-Buy Decision'!G53+'MODEL Make-Buy Decision'!H47</f>
        <v>601417.17456249997</v>
      </c>
      <c r="CN115" s="789">
        <f>'MODEL Make-Buy Decision'!H53+'MODEL Make-Buy Decision'!I47</f>
        <v>745386.77567218745</v>
      </c>
    </row>
    <row r="116" spans="1:104">
      <c r="A116" s="761"/>
      <c r="B116" s="769"/>
      <c r="D116" s="771"/>
      <c r="E116" s="769"/>
      <c r="F116" s="769"/>
      <c r="G116" s="769"/>
      <c r="H116" s="769"/>
      <c r="K116" s="769"/>
      <c r="L116" s="769"/>
      <c r="M116" s="769"/>
      <c r="N116" s="769"/>
      <c r="O116" s="769"/>
      <c r="P116" s="769"/>
      <c r="Q116" s="769"/>
      <c r="R116" s="769"/>
      <c r="X116" s="769"/>
      <c r="Y116" s="769"/>
      <c r="CA116" s="769">
        <v>94</v>
      </c>
      <c r="CC116" s="771"/>
      <c r="CD116" s="763">
        <f>'MODEL Make-Buy Decision'!E56</f>
        <v>115500</v>
      </c>
      <c r="CE116" s="763">
        <f>'MODEL Make-Buy Decision'!F56</f>
        <v>121642.5</v>
      </c>
      <c r="CF116" s="763">
        <f>'MODEL Make-Buy Decision'!G56</f>
        <v>128419.9875</v>
      </c>
      <c r="CG116" s="763">
        <f>'MODEL Make-Buy Decision'!H56</f>
        <v>135854.68706250002</v>
      </c>
      <c r="CH116" s="763">
        <f>'MODEL Make-Buy Decision'!I56</f>
        <v>143969.6011096875</v>
      </c>
      <c r="CJ116" s="789">
        <f>'MODEL Make-Buy Decision'!E47</f>
        <v>115500</v>
      </c>
      <c r="CK116" s="789">
        <f>'MODEL Make-Buy Decision'!F47</f>
        <v>121642.5</v>
      </c>
      <c r="CL116" s="789">
        <f>'MODEL Make-Buy Decision'!G47</f>
        <v>128419.9875</v>
      </c>
      <c r="CM116" s="789">
        <f>'MODEL Make-Buy Decision'!H47</f>
        <v>135854.68706250002</v>
      </c>
      <c r="CN116" s="789">
        <f>'MODEL Make-Buy Decision'!I47</f>
        <v>143969.6011096875</v>
      </c>
    </row>
    <row r="117" spans="1:104">
      <c r="A117" s="761"/>
      <c r="B117" s="769"/>
      <c r="D117" s="771"/>
      <c r="E117" s="769"/>
      <c r="F117" s="769"/>
      <c r="G117" s="769"/>
      <c r="H117" s="769"/>
      <c r="K117" s="769"/>
      <c r="L117" s="769"/>
      <c r="M117" s="769"/>
      <c r="N117" s="769"/>
      <c r="O117" s="769"/>
      <c r="P117" s="769"/>
      <c r="Q117" s="769"/>
      <c r="R117" s="769"/>
      <c r="X117" s="769"/>
      <c r="Y117" s="769"/>
      <c r="CA117" s="769">
        <v>95</v>
      </c>
      <c r="CC117" s="771"/>
      <c r="CD117" s="763">
        <f>'MODEL Make-Buy Decision'!E57</f>
        <v>60000</v>
      </c>
      <c r="CE117" s="763">
        <f>'MODEL Make-Buy Decision'!F57</f>
        <v>72000</v>
      </c>
      <c r="CF117" s="763">
        <f>'MODEL Make-Buy Decision'!G57</f>
        <v>84000</v>
      </c>
      <c r="CG117" s="763">
        <f>'MODEL Make-Buy Decision'!H57</f>
        <v>96000</v>
      </c>
      <c r="CH117" s="763">
        <f>'MODEL Make-Buy Decision'!I57</f>
        <v>108000</v>
      </c>
      <c r="CJ117" s="789">
        <f>-'MODEL Make-Buy Decision'!E40</f>
        <v>60000</v>
      </c>
      <c r="CK117" s="789">
        <f>-'MODEL Make-Buy Decision'!F40</f>
        <v>60000</v>
      </c>
      <c r="CL117" s="789">
        <f>-'MODEL Make-Buy Decision'!G40</f>
        <v>60000</v>
      </c>
      <c r="CM117" s="789">
        <f>-'MODEL Make-Buy Decision'!H40</f>
        <v>60000</v>
      </c>
      <c r="CN117" s="789">
        <f>-'MODEL Make-Buy Decision'!I40</f>
        <v>60000</v>
      </c>
    </row>
    <row r="118" spans="1:104">
      <c r="A118" s="761"/>
      <c r="B118" s="769"/>
      <c r="D118" s="771"/>
      <c r="E118" s="769"/>
      <c r="F118" s="769"/>
      <c r="G118" s="769"/>
      <c r="H118" s="769"/>
      <c r="K118" s="769"/>
      <c r="L118" s="769"/>
      <c r="M118" s="769"/>
      <c r="N118" s="769"/>
      <c r="O118" s="769"/>
      <c r="P118" s="769"/>
      <c r="Q118" s="769"/>
      <c r="R118" s="769"/>
      <c r="X118" s="769"/>
      <c r="Y118" s="769"/>
      <c r="CA118" s="769">
        <v>96</v>
      </c>
      <c r="CC118" s="771"/>
      <c r="CD118" s="763">
        <f>'MODEL Make-Buy Decision'!E61</f>
        <v>150000</v>
      </c>
      <c r="CE118" s="763">
        <f>'MODEL Make-Buy Decision'!F61</f>
        <v>193642.5</v>
      </c>
      <c r="CF118" s="763">
        <f>'MODEL Make-Buy Decision'!G61</f>
        <v>212419.98749999999</v>
      </c>
      <c r="CG118" s="763">
        <f>'MODEL Make-Buy Decision'!H61</f>
        <v>231854.68706250002</v>
      </c>
      <c r="CH118" s="763">
        <f>'MODEL Make-Buy Decision'!I61</f>
        <v>251969.6011096875</v>
      </c>
      <c r="CJ118" s="789">
        <f>-'MODEL Make-Buy Decision'!$D52/5</f>
        <v>-30000</v>
      </c>
      <c r="CK118" s="789">
        <f>-'MODEL Make-Buy Decision'!$D52/5</f>
        <v>-30000</v>
      </c>
      <c r="CL118" s="789">
        <f>-'MODEL Make-Buy Decision'!$D52/5</f>
        <v>-30000</v>
      </c>
      <c r="CM118" s="789">
        <f>-'MODEL Make-Buy Decision'!$D52/5</f>
        <v>-30000</v>
      </c>
      <c r="CN118" s="789">
        <f>-'MODEL Make-Buy Decision'!$D52/5</f>
        <v>-30000</v>
      </c>
    </row>
    <row r="119" spans="1:104">
      <c r="A119" s="761"/>
      <c r="B119" s="769"/>
      <c r="D119" s="771"/>
      <c r="E119" s="769"/>
      <c r="F119" s="769"/>
      <c r="G119" s="769"/>
      <c r="H119" s="769"/>
      <c r="K119" s="769"/>
      <c r="M119" s="769"/>
      <c r="N119" s="769"/>
      <c r="O119" s="769"/>
      <c r="P119" s="769"/>
      <c r="Q119" s="769"/>
      <c r="R119" s="769"/>
      <c r="S119" s="769"/>
      <c r="T119" s="769"/>
      <c r="U119" s="769"/>
      <c r="V119" s="769"/>
      <c r="W119" s="769"/>
      <c r="X119" s="769"/>
      <c r="Y119" s="769"/>
      <c r="CA119" s="769">
        <v>97</v>
      </c>
      <c r="CC119" s="771"/>
      <c r="CD119" s="763">
        <f>'MODEL Make-Buy Decision'!B66</f>
        <v>1414794.238164851</v>
      </c>
      <c r="CJ119" s="789">
        <f>NPV(0.1,'MODEL Make-Buy Decision'!E63:I63)+'MODEL Make-Buy Decision'!D63</f>
        <v>1414794.238164851</v>
      </c>
    </row>
    <row r="120" spans="1:104">
      <c r="A120" s="761"/>
      <c r="B120" s="769"/>
      <c r="D120" s="771"/>
      <c r="E120" s="769"/>
      <c r="F120" s="769"/>
      <c r="G120" s="769"/>
      <c r="H120" s="769"/>
      <c r="K120" s="769"/>
      <c r="M120" s="769"/>
      <c r="N120" s="769"/>
      <c r="O120" s="769"/>
      <c r="P120" s="769"/>
      <c r="Q120" s="769"/>
      <c r="R120" s="769"/>
      <c r="S120" s="769"/>
      <c r="T120" s="769"/>
      <c r="U120" s="769"/>
      <c r="V120" s="769"/>
      <c r="W120" s="769"/>
      <c r="X120" s="769"/>
      <c r="Y120" s="769"/>
      <c r="CA120" s="769">
        <v>98</v>
      </c>
      <c r="CC120" s="771"/>
      <c r="CD120" s="763">
        <f>'MODEL Make-Buy Decision'!B69</f>
        <v>1344664.11</v>
      </c>
      <c r="CJ120" s="763">
        <f>'MODEL Make-Buy Decision'!F81</f>
        <v>1344664.1100901265</v>
      </c>
    </row>
    <row r="121" spans="1:104">
      <c r="A121" s="761"/>
      <c r="B121" s="769"/>
      <c r="D121" s="771"/>
      <c r="E121" s="769"/>
      <c r="F121" s="769"/>
      <c r="G121" s="769"/>
      <c r="H121" s="769"/>
      <c r="K121" s="769"/>
      <c r="M121" s="769"/>
      <c r="N121" s="769"/>
      <c r="O121" s="769"/>
      <c r="P121" s="769"/>
      <c r="Q121" s="769"/>
      <c r="R121" s="769"/>
      <c r="S121" s="769"/>
      <c r="T121" s="769"/>
      <c r="U121" s="769"/>
      <c r="V121" s="769"/>
      <c r="W121" s="769"/>
      <c r="X121" s="769"/>
      <c r="Y121" s="769"/>
      <c r="CA121" s="769">
        <v>99</v>
      </c>
      <c r="CC121" s="771"/>
      <c r="CD121" s="763">
        <f>'MODEL Make-Buy Decision'!B72</f>
        <v>555513.87</v>
      </c>
      <c r="CJ121" s="763">
        <f>'MODEL Make-Buy Decision'!D81</f>
        <v>555513.87322688138</v>
      </c>
    </row>
    <row r="122" spans="1:104">
      <c r="A122" s="761"/>
      <c r="B122" s="769"/>
      <c r="D122" s="771"/>
      <c r="E122" s="769"/>
      <c r="F122" s="769"/>
      <c r="G122" s="769"/>
      <c r="H122" s="769"/>
      <c r="K122" s="769"/>
      <c r="M122" s="769"/>
      <c r="N122" s="769"/>
      <c r="O122" s="769"/>
      <c r="P122" s="769"/>
      <c r="Q122" s="769"/>
      <c r="R122" s="769"/>
      <c r="S122" s="769"/>
      <c r="T122" s="769"/>
      <c r="U122" s="769"/>
      <c r="V122" s="769"/>
      <c r="W122" s="769"/>
      <c r="X122" s="769"/>
      <c r="Y122" s="769"/>
      <c r="CA122" s="769">
        <v>100</v>
      </c>
      <c r="CC122" s="771"/>
      <c r="CD122" s="798" t="str">
        <f>'MODEL Make-Buy Decision'!B87</f>
        <v>$250,000 with 50% debt financed</v>
      </c>
      <c r="CJ122" s="769" t="str">
        <f>IF('MODEL Make-Buy Decision'!F82&lt;'MODEL Make-Buy Decision'!E84,"$350,000 with 25% debt financed","$250,000 with 50% debt financed")</f>
        <v>$250,000 with 50% debt financed</v>
      </c>
    </row>
    <row r="123" spans="1:104">
      <c r="A123" s="761"/>
      <c r="B123" s="769"/>
      <c r="D123" s="820"/>
      <c r="E123" s="799"/>
      <c r="F123" s="799"/>
      <c r="G123" s="800"/>
      <c r="H123" s="799"/>
      <c r="K123" s="799"/>
      <c r="L123" s="799"/>
      <c r="M123" s="799"/>
      <c r="N123" s="799"/>
      <c r="O123" s="799"/>
      <c r="P123" s="799"/>
      <c r="Q123" s="799"/>
      <c r="R123" s="799"/>
      <c r="S123" s="799"/>
      <c r="T123" s="799"/>
      <c r="U123" s="799"/>
      <c r="V123" s="799"/>
      <c r="W123" s="799"/>
      <c r="CA123" s="769">
        <v>101</v>
      </c>
      <c r="CC123" s="801"/>
      <c r="CD123" s="763">
        <f>'MODEL Manufacturing Strategy'!D44</f>
        <v>9.5000000000000001E-2</v>
      </c>
      <c r="CE123" s="763">
        <f>'MODEL Manufacturing Strategy'!E44</f>
        <v>0.09</v>
      </c>
      <c r="CF123" s="763">
        <f>'MODEL Manufacturing Strategy'!F44</f>
        <v>8.4999999999999992E-2</v>
      </c>
      <c r="CG123" s="763">
        <f>'MODEL Manufacturing Strategy'!G44</f>
        <v>7.9999999999999988E-2</v>
      </c>
      <c r="CH123" s="763">
        <f>'MODEL Manufacturing Strategy'!H44</f>
        <v>7.4999999999999983E-2</v>
      </c>
      <c r="CI123" s="763">
        <f>'MODEL Manufacturing Strategy'!I44</f>
        <v>6.9999999999999979E-2</v>
      </c>
      <c r="CJ123" s="763">
        <f>'MODEL Manufacturing Strategy'!J44</f>
        <v>6.4999999999999974E-2</v>
      </c>
      <c r="CK123" s="763">
        <f>'MODEL Manufacturing Strategy'!K44</f>
        <v>5.9999999999999977E-2</v>
      </c>
      <c r="CL123" s="763">
        <f>'MODEL Manufacturing Strategy'!L44</f>
        <v>5.4999999999999979E-2</v>
      </c>
      <c r="CM123" s="763">
        <f>'MODEL Manufacturing Strategy'!M44</f>
        <v>4.9999999999999982E-2</v>
      </c>
      <c r="CP123" s="802">
        <f>'MODEL Manufacturing Strategy'!C44-0.5%</f>
        <v>9.5000000000000001E-2</v>
      </c>
      <c r="CQ123" s="802">
        <f>'MODEL Manufacturing Strategy'!D44-0.5%</f>
        <v>0.09</v>
      </c>
      <c r="CR123" s="802">
        <f>'MODEL Manufacturing Strategy'!E44-0.5%</f>
        <v>8.4999999999999992E-2</v>
      </c>
      <c r="CS123" s="802">
        <f>'MODEL Manufacturing Strategy'!F44-0.5%</f>
        <v>7.9999999999999988E-2</v>
      </c>
      <c r="CT123" s="802">
        <f>'MODEL Manufacturing Strategy'!G44-0.5%</f>
        <v>7.4999999999999983E-2</v>
      </c>
      <c r="CU123" s="802">
        <f>'MODEL Manufacturing Strategy'!H44-0.5%</f>
        <v>6.9999999999999979E-2</v>
      </c>
      <c r="CV123" s="802">
        <f>'MODEL Manufacturing Strategy'!I44-0.5%</f>
        <v>6.4999999999999974E-2</v>
      </c>
      <c r="CW123" s="802">
        <f>'MODEL Manufacturing Strategy'!J44-0.5%</f>
        <v>5.9999999999999977E-2</v>
      </c>
      <c r="CX123" s="802">
        <f>'MODEL Manufacturing Strategy'!K44-0.5%</f>
        <v>5.4999999999999979E-2</v>
      </c>
      <c r="CY123" s="802">
        <f>'MODEL Manufacturing Strategy'!L44-0.5%</f>
        <v>4.9999999999999982E-2</v>
      </c>
      <c r="CZ123" s="799"/>
    </row>
    <row r="124" spans="1:104">
      <c r="A124" s="761"/>
      <c r="B124" s="769"/>
      <c r="D124" s="820"/>
      <c r="E124" s="799"/>
      <c r="F124" s="799"/>
      <c r="G124" s="800"/>
      <c r="H124" s="799"/>
      <c r="K124" s="799"/>
      <c r="L124" s="799"/>
      <c r="M124" s="799"/>
      <c r="N124" s="799"/>
      <c r="O124" s="799"/>
      <c r="P124" s="799"/>
      <c r="Q124" s="799"/>
      <c r="R124" s="799"/>
      <c r="S124" s="799"/>
      <c r="T124" s="799"/>
      <c r="U124" s="799"/>
      <c r="V124" s="799"/>
      <c r="W124" s="799"/>
      <c r="CA124" s="769">
        <v>102</v>
      </c>
      <c r="CC124" s="801"/>
      <c r="CD124" s="763">
        <f>'MODEL Manufacturing Strategy'!D45</f>
        <v>0.05</v>
      </c>
      <c r="CE124" s="763">
        <f>'MODEL Manufacturing Strategy'!E45</f>
        <v>0.05</v>
      </c>
      <c r="CF124" s="763">
        <f>'MODEL Manufacturing Strategy'!F45</f>
        <v>0.05</v>
      </c>
      <c r="CG124" s="763">
        <f>'MODEL Manufacturing Strategy'!G45</f>
        <v>0.05</v>
      </c>
      <c r="CH124" s="763">
        <f>'MODEL Manufacturing Strategy'!H45</f>
        <v>0.05</v>
      </c>
      <c r="CI124" s="763">
        <f>'MODEL Manufacturing Strategy'!I45</f>
        <v>0.05</v>
      </c>
      <c r="CJ124" s="763">
        <f>'MODEL Manufacturing Strategy'!J45</f>
        <v>0.05</v>
      </c>
      <c r="CK124" s="763">
        <f>'MODEL Manufacturing Strategy'!K45</f>
        <v>0.05</v>
      </c>
      <c r="CL124" s="763">
        <f>'MODEL Manufacturing Strategy'!L45</f>
        <v>0.05</v>
      </c>
      <c r="CM124" s="763">
        <f>'MODEL Manufacturing Strategy'!M45</f>
        <v>0.05</v>
      </c>
      <c r="CP124" s="803">
        <v>0.1</v>
      </c>
      <c r="CQ124" s="803">
        <v>0.1</v>
      </c>
      <c r="CR124" s="803">
        <v>0.1</v>
      </c>
      <c r="CS124" s="803">
        <v>0.1</v>
      </c>
      <c r="CT124" s="803">
        <v>0.1</v>
      </c>
      <c r="CU124" s="803">
        <v>0.1</v>
      </c>
      <c r="CV124" s="803">
        <v>0.1</v>
      </c>
      <c r="CW124" s="803">
        <v>0.1</v>
      </c>
      <c r="CX124" s="803">
        <v>0.1</v>
      </c>
      <c r="CY124" s="803">
        <v>0.1</v>
      </c>
      <c r="CZ124" s="799"/>
    </row>
    <row r="125" spans="1:104">
      <c r="A125" s="761"/>
      <c r="B125" s="769"/>
      <c r="D125" s="820"/>
      <c r="E125" s="799"/>
      <c r="F125" s="799"/>
      <c r="G125" s="800"/>
      <c r="H125" s="799"/>
      <c r="K125" s="799"/>
      <c r="L125" s="799"/>
      <c r="M125" s="799"/>
      <c r="N125" s="799"/>
      <c r="O125" s="799"/>
      <c r="P125" s="799"/>
      <c r="Q125" s="799"/>
      <c r="R125" s="799"/>
      <c r="S125" s="799"/>
      <c r="T125" s="799"/>
      <c r="U125" s="799"/>
      <c r="V125" s="799"/>
      <c r="W125" s="799"/>
      <c r="CA125" s="769">
        <v>103</v>
      </c>
      <c r="CC125" s="801"/>
      <c r="CD125" s="780">
        <f>'MODEL Manufacturing Strategy'!D54</f>
        <v>0.3</v>
      </c>
      <c r="CE125" s="780">
        <f>'MODEL Manufacturing Strategy'!E54</f>
        <v>0.3</v>
      </c>
      <c r="CF125" s="780">
        <f>'MODEL Manufacturing Strategy'!F54</f>
        <v>0.3</v>
      </c>
      <c r="CG125" s="780">
        <f>'MODEL Manufacturing Strategy'!G54</f>
        <v>0.3</v>
      </c>
      <c r="CH125" s="780">
        <f>'MODEL Manufacturing Strategy'!H54</f>
        <v>0.3</v>
      </c>
      <c r="CI125" s="780">
        <f>'MODEL Manufacturing Strategy'!I54</f>
        <v>0.3</v>
      </c>
      <c r="CJ125" s="780">
        <f>'MODEL Manufacturing Strategy'!J54</f>
        <v>0.3</v>
      </c>
      <c r="CK125" s="780">
        <f>'MODEL Manufacturing Strategy'!K54</f>
        <v>0.3</v>
      </c>
      <c r="CL125" s="780">
        <f>'MODEL Manufacturing Strategy'!L54</f>
        <v>0.3</v>
      </c>
      <c r="CM125" s="780">
        <f>'MODEL Manufacturing Strategy'!M54</f>
        <v>0.3</v>
      </c>
      <c r="CN125" s="780"/>
      <c r="CO125" s="780"/>
      <c r="CP125" s="804">
        <f>'MODEL Manufacturing Strategy'!C54</f>
        <v>0.3</v>
      </c>
      <c r="CQ125" s="803">
        <f t="shared" ref="CQ125:CY125" si="11">CP125</f>
        <v>0.3</v>
      </c>
      <c r="CR125" s="803">
        <f t="shared" si="11"/>
        <v>0.3</v>
      </c>
      <c r="CS125" s="803">
        <f t="shared" si="11"/>
        <v>0.3</v>
      </c>
      <c r="CT125" s="803">
        <f t="shared" si="11"/>
        <v>0.3</v>
      </c>
      <c r="CU125" s="803">
        <f t="shared" si="11"/>
        <v>0.3</v>
      </c>
      <c r="CV125" s="803">
        <f t="shared" si="11"/>
        <v>0.3</v>
      </c>
      <c r="CW125" s="803">
        <f t="shared" si="11"/>
        <v>0.3</v>
      </c>
      <c r="CX125" s="803">
        <f t="shared" si="11"/>
        <v>0.3</v>
      </c>
      <c r="CY125" s="803">
        <f t="shared" si="11"/>
        <v>0.3</v>
      </c>
      <c r="CZ125" s="799"/>
    </row>
    <row r="126" spans="1:104" ht="15.75">
      <c r="A126" s="761"/>
      <c r="B126" s="769"/>
      <c r="D126" s="820"/>
      <c r="E126" s="201"/>
      <c r="F126" s="201"/>
      <c r="G126" s="800"/>
      <c r="H126" s="799"/>
      <c r="K126" s="799"/>
      <c r="L126" s="799"/>
      <c r="M126" s="799"/>
      <c r="N126" s="799"/>
      <c r="O126" s="799"/>
      <c r="P126" s="799"/>
      <c r="Q126" s="799"/>
      <c r="R126" s="799"/>
      <c r="S126" s="799"/>
      <c r="T126" s="799"/>
      <c r="U126" s="799"/>
      <c r="V126" s="799"/>
      <c r="W126" s="799"/>
      <c r="CA126" s="769">
        <v>104</v>
      </c>
      <c r="CC126" s="801"/>
      <c r="CD126" s="780">
        <f>'MODEL Manufacturing Strategy'!D55</f>
        <v>0.54999999999999993</v>
      </c>
      <c r="CE126" s="780">
        <f>'MODEL Manufacturing Strategy'!E55</f>
        <v>0.54999999999999993</v>
      </c>
      <c r="CF126" s="780">
        <f>'MODEL Manufacturing Strategy'!F55</f>
        <v>0.54999999999999993</v>
      </c>
      <c r="CG126" s="780">
        <f>'MODEL Manufacturing Strategy'!G55</f>
        <v>0.54999999999999993</v>
      </c>
      <c r="CH126" s="780">
        <f>'MODEL Manufacturing Strategy'!H55</f>
        <v>0.54999999999999993</v>
      </c>
      <c r="CI126" s="780">
        <f>'MODEL Manufacturing Strategy'!I55</f>
        <v>0.54999999999999993</v>
      </c>
      <c r="CJ126" s="780">
        <f>'MODEL Manufacturing Strategy'!J55</f>
        <v>0.54999999999999993</v>
      </c>
      <c r="CK126" s="780">
        <f>'MODEL Manufacturing Strategy'!K55</f>
        <v>0.54999999999999993</v>
      </c>
      <c r="CL126" s="780">
        <f>'MODEL Manufacturing Strategy'!L55</f>
        <v>0.54999999999999993</v>
      </c>
      <c r="CM126" s="780">
        <f>'MODEL Manufacturing Strategy'!M55</f>
        <v>0.54999999999999993</v>
      </c>
      <c r="CN126" s="780"/>
      <c r="CO126" s="780"/>
      <c r="CP126" s="804">
        <f>'MODEL Manufacturing Strategy'!C55-5%</f>
        <v>0.54999999999999993</v>
      </c>
      <c r="CQ126" s="804">
        <f t="shared" ref="CQ126:CY126" si="12">CP126</f>
        <v>0.54999999999999993</v>
      </c>
      <c r="CR126" s="804">
        <f t="shared" si="12"/>
        <v>0.54999999999999993</v>
      </c>
      <c r="CS126" s="804">
        <f t="shared" si="12"/>
        <v>0.54999999999999993</v>
      </c>
      <c r="CT126" s="804">
        <f t="shared" si="12"/>
        <v>0.54999999999999993</v>
      </c>
      <c r="CU126" s="804">
        <f t="shared" si="12"/>
        <v>0.54999999999999993</v>
      </c>
      <c r="CV126" s="804">
        <f t="shared" si="12"/>
        <v>0.54999999999999993</v>
      </c>
      <c r="CW126" s="804">
        <f t="shared" si="12"/>
        <v>0.54999999999999993</v>
      </c>
      <c r="CX126" s="804">
        <f t="shared" si="12"/>
        <v>0.54999999999999993</v>
      </c>
      <c r="CY126" s="804">
        <f t="shared" si="12"/>
        <v>0.54999999999999993</v>
      </c>
      <c r="CZ126" s="799"/>
    </row>
    <row r="127" spans="1:104" ht="15.75">
      <c r="A127" s="761"/>
      <c r="B127" s="769"/>
      <c r="D127" s="820"/>
      <c r="E127" s="201"/>
      <c r="F127" s="201"/>
      <c r="G127" s="800"/>
      <c r="H127" s="799"/>
      <c r="K127" s="799"/>
      <c r="L127" s="799"/>
      <c r="M127" s="799"/>
      <c r="N127" s="799"/>
      <c r="O127" s="799"/>
      <c r="P127" s="799"/>
      <c r="Q127" s="799"/>
      <c r="R127" s="799"/>
      <c r="S127" s="799"/>
      <c r="T127" s="799"/>
      <c r="U127" s="799"/>
      <c r="V127" s="799"/>
      <c r="W127" s="799"/>
      <c r="CA127" s="769">
        <v>105</v>
      </c>
      <c r="CC127" s="801"/>
      <c r="CD127" s="763">
        <f>'MODEL Manufacturing Strategy'!D58</f>
        <v>175.74749999999997</v>
      </c>
      <c r="CE127" s="763">
        <f>'MODEL Manufacturing Strategy'!E58</f>
        <v>191.564775</v>
      </c>
      <c r="CF127" s="763">
        <f>'MODEL Manufacturing Strategy'!F58</f>
        <v>207.84778087500001</v>
      </c>
      <c r="CG127" s="763">
        <f>'MODEL Manufacturing Strategy'!G58</f>
        <v>224.475603345</v>
      </c>
      <c r="CH127" s="763">
        <f>'MODEL Manufacturing Strategy'!H58</f>
        <v>241.31127359587498</v>
      </c>
      <c r="CI127" s="763">
        <f>'MODEL Manufacturing Strategy'!I58</f>
        <v>258.20306274758627</v>
      </c>
      <c r="CJ127" s="763">
        <f>'MODEL Manufacturing Strategy'!J58</f>
        <v>274.98626182617932</v>
      </c>
      <c r="CK127" s="763">
        <f>'MODEL Manufacturing Strategy'!K58</f>
        <v>291.48543753575012</v>
      </c>
      <c r="CL127" s="763">
        <f>'MODEL Manufacturing Strategy'!L58</f>
        <v>307.51713660021636</v>
      </c>
      <c r="CM127" s="763">
        <f>'MODEL Manufacturing Strategy'!M58</f>
        <v>322.89299343022714</v>
      </c>
      <c r="CP127" s="805">
        <f>'MODEL Manufacturing Strategy'!D40*'MODEL Manufacturing Strategy'!D54</f>
        <v>175.74749999999997</v>
      </c>
      <c r="CQ127" s="805">
        <f>'MODEL Manufacturing Strategy'!E40*'MODEL Manufacturing Strategy'!E54</f>
        <v>191.564775</v>
      </c>
      <c r="CR127" s="805">
        <f>'MODEL Manufacturing Strategy'!F40*'MODEL Manufacturing Strategy'!F54</f>
        <v>207.84778087500001</v>
      </c>
      <c r="CS127" s="805">
        <f>'MODEL Manufacturing Strategy'!G40*'MODEL Manufacturing Strategy'!G54</f>
        <v>224.475603345</v>
      </c>
      <c r="CT127" s="805">
        <f>'MODEL Manufacturing Strategy'!H40*'MODEL Manufacturing Strategy'!H54</f>
        <v>241.31127359587498</v>
      </c>
      <c r="CU127" s="805">
        <f>'MODEL Manufacturing Strategy'!I40*'MODEL Manufacturing Strategy'!I54</f>
        <v>258.20306274758627</v>
      </c>
      <c r="CV127" s="805">
        <f>'MODEL Manufacturing Strategy'!J40*'MODEL Manufacturing Strategy'!J54</f>
        <v>274.98626182617932</v>
      </c>
      <c r="CW127" s="805">
        <f>'MODEL Manufacturing Strategy'!K40*'MODEL Manufacturing Strategy'!K54</f>
        <v>291.48543753575012</v>
      </c>
      <c r="CX127" s="805">
        <f>'MODEL Manufacturing Strategy'!L40*'MODEL Manufacturing Strategy'!L54</f>
        <v>307.51713660021636</v>
      </c>
      <c r="CY127" s="805">
        <f>'MODEL Manufacturing Strategy'!M40*'MODEL Manufacturing Strategy'!M54</f>
        <v>322.89299343022714</v>
      </c>
      <c r="CZ127" s="799"/>
    </row>
    <row r="128" spans="1:104" ht="15.75">
      <c r="A128" s="761"/>
      <c r="B128" s="769"/>
      <c r="D128" s="820"/>
      <c r="E128" s="201"/>
      <c r="F128" s="201"/>
      <c r="G128" s="800"/>
      <c r="H128" s="799"/>
      <c r="K128" s="799"/>
      <c r="L128" s="799"/>
      <c r="M128" s="799"/>
      <c r="N128" s="799"/>
      <c r="O128" s="799"/>
      <c r="P128" s="799"/>
      <c r="Q128" s="799"/>
      <c r="R128" s="799"/>
      <c r="S128" s="799"/>
      <c r="T128" s="799"/>
      <c r="U128" s="799"/>
      <c r="V128" s="799"/>
      <c r="W128" s="799"/>
      <c r="CA128" s="769">
        <v>106</v>
      </c>
      <c r="CC128" s="801"/>
      <c r="CD128" s="763">
        <f>'MODEL Manufacturing Strategy'!D59</f>
        <v>308.96249999999998</v>
      </c>
      <c r="CE128" s="763">
        <f>'MODEL Manufacturing Strategy'!E59</f>
        <v>324.41062499999992</v>
      </c>
      <c r="CF128" s="763">
        <f>'MODEL Manufacturing Strategy'!F59</f>
        <v>340.63115624999995</v>
      </c>
      <c r="CG128" s="763">
        <f>'MODEL Manufacturing Strategy'!G59</f>
        <v>357.66271406249996</v>
      </c>
      <c r="CH128" s="763">
        <f>'MODEL Manufacturing Strategy'!H59</f>
        <v>375.54584976562495</v>
      </c>
      <c r="CI128" s="763">
        <f>'MODEL Manufacturing Strategy'!I59</f>
        <v>394.32314225390627</v>
      </c>
      <c r="CJ128" s="763">
        <f>'MODEL Manufacturing Strategy'!J59</f>
        <v>414.0392993666016</v>
      </c>
      <c r="CK128" s="763">
        <f>'MODEL Manufacturing Strategy'!K59</f>
        <v>434.74126433493171</v>
      </c>
      <c r="CL128" s="763">
        <f>'MODEL Manufacturing Strategy'!L59</f>
        <v>456.47832755167832</v>
      </c>
      <c r="CM128" s="763">
        <f>'MODEL Manufacturing Strategy'!M59</f>
        <v>479.30224392926226</v>
      </c>
      <c r="CP128" s="805">
        <f>'MODEL Manufacturing Strategy'!D41*'MODEL Manufacturing Strategy'!D55</f>
        <v>308.96249999999998</v>
      </c>
      <c r="CQ128" s="805">
        <f>'MODEL Manufacturing Strategy'!E41*'MODEL Manufacturing Strategy'!E55</f>
        <v>324.41062499999992</v>
      </c>
      <c r="CR128" s="805">
        <f>'MODEL Manufacturing Strategy'!F41*'MODEL Manufacturing Strategy'!F55</f>
        <v>340.63115624999995</v>
      </c>
      <c r="CS128" s="805">
        <f>'MODEL Manufacturing Strategy'!G41*'MODEL Manufacturing Strategy'!G55</f>
        <v>357.66271406249996</v>
      </c>
      <c r="CT128" s="805">
        <f>'MODEL Manufacturing Strategy'!H41*'MODEL Manufacturing Strategy'!H55</f>
        <v>375.54584976562495</v>
      </c>
      <c r="CU128" s="805">
        <f>'MODEL Manufacturing Strategy'!I41*'MODEL Manufacturing Strategy'!I55</f>
        <v>394.32314225390627</v>
      </c>
      <c r="CV128" s="805">
        <f>'MODEL Manufacturing Strategy'!J41*'MODEL Manufacturing Strategy'!J55</f>
        <v>414.0392993666016</v>
      </c>
      <c r="CW128" s="805">
        <f>'MODEL Manufacturing Strategy'!K41*'MODEL Manufacturing Strategy'!K55</f>
        <v>434.74126433493171</v>
      </c>
      <c r="CX128" s="805">
        <f>'MODEL Manufacturing Strategy'!L41*'MODEL Manufacturing Strategy'!L55</f>
        <v>456.47832755167832</v>
      </c>
      <c r="CY128" s="805">
        <f>'MODEL Manufacturing Strategy'!M41*'MODEL Manufacturing Strategy'!M55</f>
        <v>479.30224392926226</v>
      </c>
      <c r="CZ128" s="799"/>
    </row>
    <row r="129" spans="1:104">
      <c r="A129" s="761"/>
      <c r="B129" s="769"/>
      <c r="D129" s="820"/>
      <c r="E129" s="799"/>
      <c r="F129" s="799"/>
      <c r="G129" s="800"/>
      <c r="H129" s="799"/>
      <c r="K129" s="799"/>
      <c r="L129" s="799"/>
      <c r="M129" s="799"/>
      <c r="N129" s="799"/>
      <c r="O129" s="799"/>
      <c r="P129" s="799"/>
      <c r="Q129" s="799"/>
      <c r="R129" s="799"/>
      <c r="S129" s="799"/>
      <c r="T129" s="799"/>
      <c r="U129" s="799"/>
      <c r="V129" s="799"/>
      <c r="W129" s="799"/>
      <c r="CA129" s="769">
        <v>107</v>
      </c>
      <c r="CC129" s="801"/>
      <c r="CD129" s="763">
        <f>'MODEL Manufacturing Strategy'!D73</f>
        <v>175.74749999999997</v>
      </c>
      <c r="CE129" s="763">
        <f>'MODEL Manufacturing Strategy'!E73</f>
        <v>191.564775</v>
      </c>
      <c r="CF129" s="763">
        <f>'MODEL Manufacturing Strategy'!F73</f>
        <v>207.84778087500001</v>
      </c>
      <c r="CG129" s="763">
        <f>'MODEL Manufacturing Strategy'!G73</f>
        <v>224.475603345</v>
      </c>
      <c r="CH129" s="763">
        <f>'MODEL Manufacturing Strategy'!H73</f>
        <v>241.31127359587498</v>
      </c>
      <c r="CI129" s="763">
        <f>'MODEL Manufacturing Strategy'!I73</f>
        <v>258.20306274758627</v>
      </c>
      <c r="CJ129" s="763">
        <f>'MODEL Manufacturing Strategy'!J73</f>
        <v>274.98626182617932</v>
      </c>
      <c r="CK129" s="763">
        <f>'MODEL Manufacturing Strategy'!K73</f>
        <v>291.48543753575012</v>
      </c>
      <c r="CL129" s="763">
        <f>'MODEL Manufacturing Strategy'!L73</f>
        <v>307.51713660021636</v>
      </c>
      <c r="CM129" s="763">
        <f>'MODEL Manufacturing Strategy'!M73</f>
        <v>322.89299343022714</v>
      </c>
      <c r="CP129" s="806">
        <f>MIN('MODEL Manufacturing Strategy'!D58,500)</f>
        <v>175.74749999999997</v>
      </c>
      <c r="CQ129" s="806">
        <f>MIN('MODEL Manufacturing Strategy'!E58,'MODEL Manufacturing Strategy'!D100)</f>
        <v>191.564775</v>
      </c>
      <c r="CR129" s="806">
        <f>MIN('MODEL Manufacturing Strategy'!F58,'MODEL Manufacturing Strategy'!E100)</f>
        <v>207.84778087500001</v>
      </c>
      <c r="CS129" s="806">
        <f>MIN('MODEL Manufacturing Strategy'!G58,'MODEL Manufacturing Strategy'!F100)</f>
        <v>224.475603345</v>
      </c>
      <c r="CT129" s="806">
        <f>MIN('MODEL Manufacturing Strategy'!H58,'MODEL Manufacturing Strategy'!G100)</f>
        <v>241.31127359587498</v>
      </c>
      <c r="CU129" s="806">
        <f>MIN('MODEL Manufacturing Strategy'!I58,'MODEL Manufacturing Strategy'!H100)</f>
        <v>258.20306274758627</v>
      </c>
      <c r="CV129" s="806">
        <f>MIN('MODEL Manufacturing Strategy'!J58,'MODEL Manufacturing Strategy'!I100)</f>
        <v>274.98626182617932</v>
      </c>
      <c r="CW129" s="806">
        <f>MIN('MODEL Manufacturing Strategy'!K58,'MODEL Manufacturing Strategy'!J100)</f>
        <v>291.48543753575012</v>
      </c>
      <c r="CX129" s="806">
        <f>MIN('MODEL Manufacturing Strategy'!L58,'MODEL Manufacturing Strategy'!K100)</f>
        <v>307.51713660021636</v>
      </c>
      <c r="CY129" s="806">
        <f>MIN('MODEL Manufacturing Strategy'!M58,'MODEL Manufacturing Strategy'!L100)</f>
        <v>322.89299343022714</v>
      </c>
      <c r="CZ129" s="806"/>
    </row>
    <row r="130" spans="1:104">
      <c r="A130" s="761"/>
      <c r="B130" s="769"/>
      <c r="D130" s="820"/>
      <c r="E130" s="799"/>
      <c r="F130" s="799"/>
      <c r="G130" s="800"/>
      <c r="H130" s="799"/>
      <c r="K130" s="799"/>
      <c r="L130" s="799"/>
      <c r="M130" s="799"/>
      <c r="N130" s="799"/>
      <c r="O130" s="799"/>
      <c r="P130" s="799"/>
      <c r="Q130" s="799"/>
      <c r="R130" s="799"/>
      <c r="S130" s="799"/>
      <c r="T130" s="799"/>
      <c r="U130" s="799"/>
      <c r="V130" s="799"/>
      <c r="W130" s="799"/>
      <c r="CA130" s="769">
        <v>108</v>
      </c>
      <c r="CC130" s="801"/>
      <c r="CD130" s="763">
        <f>'MODEL Manufacturing Strategy'!D74</f>
        <v>308.96249999999998</v>
      </c>
      <c r="CE130" s="763">
        <f>'MODEL Manufacturing Strategy'!E74</f>
        <v>308.435225</v>
      </c>
      <c r="CF130" s="763">
        <f>'MODEL Manufacturing Strategy'!F74</f>
        <v>292.15221912499999</v>
      </c>
      <c r="CG130" s="763">
        <f>'MODEL Manufacturing Strategy'!G74</f>
        <v>275.52439665500003</v>
      </c>
      <c r="CH130" s="763">
        <f>'MODEL Manufacturing Strategy'!H74</f>
        <v>258.68872640412502</v>
      </c>
      <c r="CI130" s="763">
        <f>'MODEL Manufacturing Strategy'!I74</f>
        <v>241.79693725241373</v>
      </c>
      <c r="CJ130" s="763">
        <f>'MODEL Manufacturing Strategy'!J74</f>
        <v>225.01373817382068</v>
      </c>
      <c r="CK130" s="763">
        <f>'MODEL Manufacturing Strategy'!K74</f>
        <v>208.51456246424988</v>
      </c>
      <c r="CL130" s="763">
        <f>'MODEL Manufacturing Strategy'!L74</f>
        <v>192.48286339978364</v>
      </c>
      <c r="CM130" s="763">
        <f>'MODEL Manufacturing Strategy'!M74</f>
        <v>177.10700656977286</v>
      </c>
      <c r="CP130" s="806">
        <f>MIN(CD128,500-CD129)</f>
        <v>308.96249999999998</v>
      </c>
      <c r="CQ130" s="806">
        <f t="shared" ref="CQ130:CY130" si="13">MIN(CE128,500-CE129)</f>
        <v>308.435225</v>
      </c>
      <c r="CR130" s="806">
        <f t="shared" si="13"/>
        <v>292.15221912499999</v>
      </c>
      <c r="CS130" s="806">
        <f t="shared" si="13"/>
        <v>275.52439665500003</v>
      </c>
      <c r="CT130" s="806">
        <f t="shared" si="13"/>
        <v>258.68872640412502</v>
      </c>
      <c r="CU130" s="806">
        <f t="shared" si="13"/>
        <v>241.79693725241373</v>
      </c>
      <c r="CV130" s="806">
        <f t="shared" si="13"/>
        <v>225.01373817382068</v>
      </c>
      <c r="CW130" s="806">
        <f t="shared" si="13"/>
        <v>208.51456246424988</v>
      </c>
      <c r="CX130" s="806">
        <f t="shared" si="13"/>
        <v>192.48286339978364</v>
      </c>
      <c r="CY130" s="806">
        <f t="shared" si="13"/>
        <v>177.10700656977286</v>
      </c>
      <c r="CZ130" s="806"/>
    </row>
    <row r="131" spans="1:104" ht="15.75">
      <c r="A131" s="761"/>
      <c r="B131" s="769"/>
      <c r="D131" s="820"/>
      <c r="E131" s="201"/>
      <c r="F131" s="201"/>
      <c r="G131" s="799"/>
      <c r="H131" s="799"/>
      <c r="K131" s="799"/>
      <c r="L131" s="799"/>
      <c r="M131" s="799"/>
      <c r="N131" s="799"/>
      <c r="O131" s="799"/>
      <c r="P131" s="799"/>
      <c r="Q131" s="799"/>
      <c r="R131" s="799"/>
      <c r="S131" s="799"/>
      <c r="T131" s="799"/>
      <c r="U131" s="799"/>
      <c r="V131" s="799"/>
      <c r="W131" s="799"/>
      <c r="CA131" s="769">
        <v>109</v>
      </c>
      <c r="CC131" s="801"/>
      <c r="CD131" s="763">
        <f>'MODEL Manufacturing Strategy'!D93</f>
        <v>45</v>
      </c>
      <c r="CP131" s="799">
        <f>IF('MODEL Manufacturing Strategy'!$D$91='MODEL Manufacturing Strategy'!$B$80,'MODEL Manufacturing Strategy'!$F$80,IF('MODEL Manufacturing Strategy'!$D$91='MODEL Manufacturing Strategy'!$B$81,'MODEL Manufacturing Strategy'!$F$81,'MODEL Manufacturing Strategy'!$F$82))</f>
        <v>45</v>
      </c>
      <c r="CQ131" s="799"/>
      <c r="CR131" s="799"/>
      <c r="CS131" s="799"/>
      <c r="CT131" s="799"/>
      <c r="CU131" s="799"/>
      <c r="CV131" s="799"/>
      <c r="CW131" s="799"/>
      <c r="CX131" s="799"/>
      <c r="CY131" s="799"/>
      <c r="CZ131" s="799"/>
    </row>
    <row r="132" spans="1:104" ht="15.75">
      <c r="A132" s="761"/>
      <c r="B132" s="769"/>
      <c r="D132" s="820"/>
      <c r="E132" s="201"/>
      <c r="F132" s="201"/>
      <c r="G132" s="800"/>
      <c r="H132" s="799"/>
      <c r="K132" s="799"/>
      <c r="L132" s="799"/>
      <c r="M132" s="799"/>
      <c r="N132" s="799"/>
      <c r="O132" s="799"/>
      <c r="P132" s="799"/>
      <c r="Q132" s="799"/>
      <c r="R132" s="799"/>
      <c r="S132" s="799"/>
      <c r="T132" s="799"/>
      <c r="U132" s="799"/>
      <c r="V132" s="799"/>
      <c r="W132" s="799"/>
      <c r="CA132" s="769">
        <v>110</v>
      </c>
      <c r="CC132" s="801"/>
      <c r="CD132" s="775">
        <f>'MODEL Manufacturing Strategy'!D102</f>
        <v>350</v>
      </c>
      <c r="CE132" s="775">
        <f>'MODEL Manufacturing Strategy'!E102</f>
        <v>700</v>
      </c>
      <c r="CF132" s="775">
        <f>'MODEL Manufacturing Strategy'!F102</f>
        <v>1400</v>
      </c>
      <c r="CG132" s="775">
        <f>'MODEL Manufacturing Strategy'!G102</f>
        <v>2800</v>
      </c>
      <c r="CH132" s="775">
        <f>'MODEL Manufacturing Strategy'!H102</f>
        <v>5600</v>
      </c>
      <c r="CI132" s="775">
        <f>'MODEL Manufacturing Strategy'!I102</f>
        <v>11200</v>
      </c>
      <c r="CJ132" s="775">
        <f>'MODEL Manufacturing Strategy'!J102</f>
        <v>22400</v>
      </c>
      <c r="CK132" s="775">
        <f>'MODEL Manufacturing Strategy'!K102</f>
        <v>44800</v>
      </c>
      <c r="CL132" s="775">
        <f>'MODEL Manufacturing Strategy'!L102</f>
        <v>89600</v>
      </c>
      <c r="CM132" s="775">
        <f>'MODEL Manufacturing Strategy'!M102</f>
        <v>179200</v>
      </c>
      <c r="CN132" s="775"/>
      <c r="CO132" s="775"/>
      <c r="CP132" s="807">
        <f>IF('MODEL Manufacturing Strategy'!D100&lt;'MODEL Manufacturing Strategy'!E57,'MODEL Manufacturing Strategy'!$D$91,0)</f>
        <v>150</v>
      </c>
      <c r="CQ132" s="807">
        <f>IF('MODEL Manufacturing Strategy'!E100&lt;'MODEL Manufacturing Strategy'!F57,'MODEL Manufacturing Strategy'!$D$91,0)</f>
        <v>0</v>
      </c>
      <c r="CR132" s="807">
        <f>IF('MODEL Manufacturing Strategy'!F100&lt;'MODEL Manufacturing Strategy'!G57,'MODEL Manufacturing Strategy'!$D$91,0)</f>
        <v>0</v>
      </c>
      <c r="CS132" s="807">
        <f>IF('MODEL Manufacturing Strategy'!G100&lt;'MODEL Manufacturing Strategy'!H57,'MODEL Manufacturing Strategy'!$D$91,0)</f>
        <v>0</v>
      </c>
      <c r="CT132" s="807">
        <f>IF('MODEL Manufacturing Strategy'!H100&lt;'MODEL Manufacturing Strategy'!I57,'MODEL Manufacturing Strategy'!$D$91,0)</f>
        <v>0</v>
      </c>
      <c r="CU132" s="807">
        <f>IF('MODEL Manufacturing Strategy'!I100&lt;'MODEL Manufacturing Strategy'!J57,'MODEL Manufacturing Strategy'!$D$91,0)</f>
        <v>0</v>
      </c>
      <c r="CV132" s="807">
        <f>IF('MODEL Manufacturing Strategy'!J100&lt;'MODEL Manufacturing Strategy'!K57,'MODEL Manufacturing Strategy'!$D$91,0)</f>
        <v>0</v>
      </c>
      <c r="CW132" s="807">
        <f>IF('MODEL Manufacturing Strategy'!K100&lt;'MODEL Manufacturing Strategy'!L57,'MODEL Manufacturing Strategy'!$D$91,0)</f>
        <v>0</v>
      </c>
      <c r="CX132" s="807">
        <f>IF('MODEL Manufacturing Strategy'!L100&lt;'MODEL Manufacturing Strategy'!M57,'MODEL Manufacturing Strategy'!$D$91,0)</f>
        <v>0</v>
      </c>
      <c r="CY132" s="807">
        <f>IF('MODEL Manufacturing Strategy'!M100&lt;'MODEL Manufacturing Strategy'!N57,'MODEL Manufacturing Strategy'!$D$91,0)</f>
        <v>0</v>
      </c>
      <c r="CZ132" s="799"/>
    </row>
    <row r="133" spans="1:104" ht="15.75">
      <c r="A133" s="761"/>
      <c r="B133" s="769"/>
      <c r="D133" s="820"/>
      <c r="E133" s="201"/>
      <c r="F133" s="201"/>
      <c r="G133" s="800"/>
      <c r="H133" s="799"/>
      <c r="K133" s="799"/>
      <c r="L133" s="799"/>
      <c r="M133" s="799"/>
      <c r="N133" s="799"/>
      <c r="O133" s="799"/>
      <c r="P133" s="799"/>
      <c r="Q133" s="799"/>
      <c r="R133" s="799"/>
      <c r="S133" s="799"/>
      <c r="T133" s="799"/>
      <c r="U133" s="799"/>
      <c r="V133" s="799"/>
      <c r="W133" s="799"/>
      <c r="CA133" s="769">
        <v>111</v>
      </c>
      <c r="CC133" s="801"/>
      <c r="CD133" s="763">
        <f>'MODEL Manufacturing Strategy'!D108</f>
        <v>-41.037500000000023</v>
      </c>
      <c r="CE133" s="763">
        <f>'MODEL Manufacturing Strategy'!E108</f>
        <v>-375.58937500000008</v>
      </c>
      <c r="CF133" s="763">
        <f>'MODEL Manufacturing Strategy'!F108</f>
        <v>-1059.36884375</v>
      </c>
      <c r="CG133" s="763">
        <f>'MODEL Manufacturing Strategy'!G108</f>
        <v>-2442.3372859374999</v>
      </c>
      <c r="CH133" s="763">
        <f>'MODEL Manufacturing Strategy'!H108</f>
        <v>-5224.4541502343754</v>
      </c>
      <c r="CI133" s="763">
        <f>'MODEL Manufacturing Strategy'!I108</f>
        <v>-10805.676857746093</v>
      </c>
      <c r="CJ133" s="763">
        <f>'MODEL Manufacturing Strategy'!J108</f>
        <v>-21985.960700633397</v>
      </c>
      <c r="CK133" s="763">
        <f>'MODEL Manufacturing Strategy'!K108</f>
        <v>-44365.258735665069</v>
      </c>
      <c r="CL133" s="763">
        <f>'MODEL Manufacturing Strategy'!L108</f>
        <v>-89143.521672448318</v>
      </c>
      <c r="CM133" s="763">
        <f>'MODEL Manufacturing Strategy'!M108</f>
        <v>-178720.69775607073</v>
      </c>
      <c r="CP133" s="808">
        <f>IF('MODEL Manufacturing Strategy'!D59&gt;'MODEL Manufacturing Strategy'!D74,'MODEL Manufacturing Strategy'!D59-'MODEL Manufacturing Strategy'!D74,0)</f>
        <v>0</v>
      </c>
      <c r="CQ133" s="808">
        <f>IF('MODEL Manufacturing Strategy'!E59&gt;'MODEL Manufacturing Strategy'!E74,'MODEL Manufacturing Strategy'!E59-'MODEL Manufacturing Strategy'!E74,0)</f>
        <v>15.975399999999922</v>
      </c>
      <c r="CR133" s="808">
        <f>IF('MODEL Manufacturing Strategy'!F59&gt;'MODEL Manufacturing Strategy'!F74,'MODEL Manufacturing Strategy'!F59-'MODEL Manufacturing Strategy'!F74,0)</f>
        <v>48.478937124999959</v>
      </c>
      <c r="CS133" s="808">
        <f>IF('MODEL Manufacturing Strategy'!G59&gt;'MODEL Manufacturing Strategy'!G74,'MODEL Manufacturing Strategy'!G59-'MODEL Manufacturing Strategy'!G74,0)</f>
        <v>82.138317407499926</v>
      </c>
      <c r="CT133" s="808">
        <f>IF('MODEL Manufacturing Strategy'!H59&gt;'MODEL Manufacturing Strategy'!H74,'MODEL Manufacturing Strategy'!H59-'MODEL Manufacturing Strategy'!H74,0)</f>
        <v>116.85712336149993</v>
      </c>
      <c r="CU133" s="808">
        <f>IF('MODEL Manufacturing Strategy'!I59&gt;'MODEL Manufacturing Strategy'!I74,'MODEL Manufacturing Strategy'!I59-'MODEL Manufacturing Strategy'!I74,0)</f>
        <v>152.52620500149254</v>
      </c>
      <c r="CV133" s="808">
        <f>IF('MODEL Manufacturing Strategy'!J59&gt;'MODEL Manufacturing Strategy'!J74,'MODEL Manufacturing Strategy'!J59-'MODEL Manufacturing Strategy'!J74,0)</f>
        <v>189.02556119278091</v>
      </c>
      <c r="CW133" s="808">
        <f>IF('MODEL Manufacturing Strategy'!K59&gt;'MODEL Manufacturing Strategy'!K74,'MODEL Manufacturing Strategy'!K59-'MODEL Manufacturing Strategy'!K74,0)</f>
        <v>226.22670187068184</v>
      </c>
      <c r="CX133" s="808">
        <f>IF('MODEL Manufacturing Strategy'!L59&gt;'MODEL Manufacturing Strategy'!L74,'MODEL Manufacturing Strategy'!L59-'MODEL Manufacturing Strategy'!L74,0)</f>
        <v>263.99546415189468</v>
      </c>
      <c r="CY133" s="808">
        <f>IF('MODEL Manufacturing Strategy'!M59&gt;'MODEL Manufacturing Strategy'!M74,'MODEL Manufacturing Strategy'!M59-'MODEL Manufacturing Strategy'!M74,0)</f>
        <v>302.1952373594894</v>
      </c>
      <c r="CZ133" s="799"/>
    </row>
    <row r="134" spans="1:104" ht="15.75">
      <c r="A134" s="761"/>
      <c r="B134" s="769"/>
      <c r="D134" s="820"/>
      <c r="E134" s="201"/>
      <c r="F134" s="201"/>
      <c r="G134" s="800"/>
      <c r="H134" s="799"/>
      <c r="K134" s="799"/>
      <c r="L134" s="799"/>
      <c r="M134" s="799"/>
      <c r="N134" s="799"/>
      <c r="O134" s="799"/>
      <c r="P134" s="799"/>
      <c r="Q134" s="799"/>
      <c r="R134" s="799"/>
      <c r="S134" s="799"/>
      <c r="T134" s="799"/>
      <c r="U134" s="799"/>
      <c r="V134" s="799"/>
      <c r="W134" s="799"/>
      <c r="CA134" s="769">
        <v>112</v>
      </c>
      <c r="CC134" s="801"/>
      <c r="CD134" s="809">
        <f>'MODEL Manufacturing Strategy'!D133</f>
        <v>10354.125000000004</v>
      </c>
      <c r="CE134" s="809">
        <f>'MODEL Manufacturing Strategy'!E133</f>
        <v>45695.33625</v>
      </c>
      <c r="CF134" s="809">
        <f>'MODEL Manufacturing Strategy'!F133</f>
        <v>117732.36470625001</v>
      </c>
      <c r="CG134" s="809">
        <f>'MODEL Manufacturing Strategy'!G133</f>
        <v>263219.71127025003</v>
      </c>
      <c r="CH134" s="809">
        <f>'MODEL Manufacturing Strategy'!H133</f>
        <v>555662.60232958128</v>
      </c>
      <c r="CI134" s="809">
        <f>'MODEL Manufacturing Strategy'!I133</f>
        <v>1142066.9211724643</v>
      </c>
      <c r="CJ134" s="809">
        <f>'MODEL Manufacturing Strategy'!J133</f>
        <v>2316439.1149340267</v>
      </c>
      <c r="CK134" s="809">
        <f>'MODEL Manufacturing Strategy'!K133</f>
        <v>4666786.0775498152</v>
      </c>
      <c r="CL134" s="809">
        <f>'MODEL Manufacturing Strategy'!L133</f>
        <v>9369115.0100679211</v>
      </c>
      <c r="CM134" s="809">
        <f>'MODEL Manufacturing Strategy'!M133</f>
        <v>18775433.260571316</v>
      </c>
      <c r="CN134" s="809"/>
      <c r="CO134" s="809"/>
      <c r="CP134" s="799">
        <f>IFERROR(VLOOKUP('MODEL Manufacturing Strategy'!D102,'MODEL Manufacturing Strategy'!$B$80:$C$82,2,FALSE),0)</f>
        <v>0</v>
      </c>
      <c r="CQ134" s="799">
        <f>IFERROR(VLOOKUP('MODEL Manufacturing Strategy'!E102,'MODEL Manufacturing Strategy'!$B$80:$C$82,2,FALSE),0)</f>
        <v>0</v>
      </c>
      <c r="CR134" s="799">
        <f>IFERROR(VLOOKUP('MODEL Manufacturing Strategy'!F102,'MODEL Manufacturing Strategy'!$B$80:$C$82,2,FALSE),0)</f>
        <v>0</v>
      </c>
      <c r="CS134" s="799">
        <f>IFERROR(VLOOKUP('MODEL Manufacturing Strategy'!G102,'MODEL Manufacturing Strategy'!$B$80:$C$82,2,FALSE),0)</f>
        <v>0</v>
      </c>
      <c r="CT134" s="799">
        <f>IFERROR(VLOOKUP('MODEL Manufacturing Strategy'!H102,'MODEL Manufacturing Strategy'!$B$80:$C$82,2,FALSE),0)</f>
        <v>0</v>
      </c>
      <c r="CU134" s="799">
        <f>IFERROR(VLOOKUP('MODEL Manufacturing Strategy'!I102,'MODEL Manufacturing Strategy'!$B$80:$C$82,2,FALSE),0)</f>
        <v>0</v>
      </c>
      <c r="CV134" s="799">
        <f>IFERROR(VLOOKUP('MODEL Manufacturing Strategy'!J102,'MODEL Manufacturing Strategy'!$B$80:$C$82,2,FALSE),0)</f>
        <v>0</v>
      </c>
      <c r="CW134" s="799">
        <f>IFERROR(VLOOKUP('MODEL Manufacturing Strategy'!K102,'MODEL Manufacturing Strategy'!$B$80:$C$82,2,FALSE),0)</f>
        <v>0</v>
      </c>
      <c r="CX134" s="799">
        <f>IFERROR(VLOOKUP('MODEL Manufacturing Strategy'!L102,'MODEL Manufacturing Strategy'!$B$80:$C$82,2,FALSE),0)</f>
        <v>0</v>
      </c>
      <c r="CY134" s="799">
        <f>IFERROR(VLOOKUP('MODEL Manufacturing Strategy'!M102,'MODEL Manufacturing Strategy'!$B$80:$C$82,2,FALSE),0)</f>
        <v>0</v>
      </c>
      <c r="CZ134" s="799"/>
    </row>
    <row r="135" spans="1:104" ht="15.75">
      <c r="A135" s="761"/>
      <c r="B135" s="769"/>
      <c r="D135" s="820"/>
      <c r="E135" s="201"/>
      <c r="F135" s="201"/>
      <c r="G135" s="800"/>
      <c r="H135" s="799"/>
      <c r="K135" s="799"/>
      <c r="L135" s="799"/>
      <c r="M135" s="799"/>
      <c r="N135" s="799"/>
      <c r="O135" s="799"/>
      <c r="P135" s="799"/>
      <c r="Q135" s="799"/>
      <c r="R135" s="799"/>
      <c r="S135" s="799"/>
      <c r="T135" s="799"/>
      <c r="U135" s="799"/>
      <c r="V135" s="799"/>
      <c r="W135" s="799"/>
      <c r="CA135" s="769">
        <v>113</v>
      </c>
      <c r="CC135" s="801"/>
      <c r="CD135" s="809">
        <f>'MODEL Manufacturing Strategy'!D136</f>
        <v>0</v>
      </c>
      <c r="CE135" s="809">
        <f>'MODEL Manufacturing Strategy'!E136</f>
        <v>0</v>
      </c>
      <c r="CF135" s="809">
        <f>'MODEL Manufacturing Strategy'!F136</f>
        <v>0</v>
      </c>
      <c r="CG135" s="809">
        <f>'MODEL Manufacturing Strategy'!G136</f>
        <v>0</v>
      </c>
      <c r="CH135" s="809">
        <f>'MODEL Manufacturing Strategy'!H136</f>
        <v>0</v>
      </c>
      <c r="CI135" s="809">
        <f>'MODEL Manufacturing Strategy'!I136</f>
        <v>0</v>
      </c>
      <c r="CJ135" s="809">
        <f>'MODEL Manufacturing Strategy'!J136</f>
        <v>0</v>
      </c>
      <c r="CK135" s="809">
        <f>'MODEL Manufacturing Strategy'!K136</f>
        <v>0</v>
      </c>
      <c r="CL135" s="809">
        <f>'MODEL Manufacturing Strategy'!L136</f>
        <v>0</v>
      </c>
      <c r="CM135" s="809">
        <f>'MODEL Manufacturing Strategy'!M136</f>
        <v>0</v>
      </c>
      <c r="CN135" s="809">
        <f>'MODEL Manufacturing Strategy'!N136</f>
        <v>0</v>
      </c>
      <c r="CO135" s="809"/>
      <c r="CP135" s="810">
        <f>'MODEL Manufacturing Strategy'!D127+'MODEL Manufacturing Strategy'!D131-'MODEL Manufacturing Strategy'!D133</f>
        <v>-20708.250000000007</v>
      </c>
      <c r="CQ135" s="810">
        <f>'MODEL Manufacturing Strategy'!E127+'MODEL Manufacturing Strategy'!E131-'MODEL Manufacturing Strategy'!E133</f>
        <v>-80890.672500000001</v>
      </c>
      <c r="CR135" s="810">
        <f>'MODEL Manufacturing Strategy'!F127+'MODEL Manufacturing Strategy'!F131-'MODEL Manufacturing Strategy'!F133</f>
        <v>-203964.72941250002</v>
      </c>
      <c r="CS135" s="810">
        <f>'MODEL Manufacturing Strategy'!G127+'MODEL Manufacturing Strategy'!G131-'MODEL Manufacturing Strategy'!G133</f>
        <v>-452939.42254050006</v>
      </c>
      <c r="CT135" s="810">
        <f>'MODEL Manufacturing Strategy'!H127+'MODEL Manufacturing Strategy'!H131-'MODEL Manufacturing Strategy'!H133</f>
        <v>-953825.20465916255</v>
      </c>
      <c r="CU135" s="810">
        <f>'MODEL Manufacturing Strategy'!I127+'MODEL Manufacturing Strategy'!I131-'MODEL Manufacturing Strategy'!I133</f>
        <v>-1958633.8423449285</v>
      </c>
      <c r="CV135" s="810">
        <f>'MODEL Manufacturing Strategy'!J127+'MODEL Manufacturing Strategy'!J131-'MODEL Manufacturing Strategy'!J133</f>
        <v>-3971378.2298680535</v>
      </c>
      <c r="CW135" s="810">
        <f>'MODEL Manufacturing Strategy'!K127+'MODEL Manufacturing Strategy'!K131-'MODEL Manufacturing Strategy'!K133</f>
        <v>-8000072.1550996304</v>
      </c>
      <c r="CX135" s="810">
        <f>'MODEL Manufacturing Strategy'!L127+'MODEL Manufacturing Strategy'!L131-'MODEL Manufacturing Strategy'!L133</f>
        <v>-16060730.020135842</v>
      </c>
      <c r="CY135" s="810">
        <f>'MODEL Manufacturing Strategy'!M127+'MODEL Manufacturing Strategy'!M131-'MODEL Manufacturing Strategy'!M133</f>
        <v>-32185366.521142632</v>
      </c>
      <c r="CZ135" s="810" t="e">
        <f>'MODEL Manufacturing Strategy'!M136/('MODEL Manufacturing Strategy'!D142)</f>
        <v>#DIV/0!</v>
      </c>
    </row>
    <row r="136" spans="1:104" ht="15.75">
      <c r="A136" s="761"/>
      <c r="B136" s="769"/>
      <c r="D136" s="820"/>
      <c r="E136" s="201"/>
      <c r="F136" s="201"/>
      <c r="G136" s="799"/>
      <c r="H136" s="799"/>
      <c r="K136" s="799"/>
      <c r="M136" s="799"/>
      <c r="N136" s="799"/>
      <c r="O136" s="799"/>
      <c r="P136" s="799"/>
      <c r="Q136" s="799"/>
      <c r="R136" s="799"/>
      <c r="S136" s="799"/>
      <c r="T136" s="799"/>
      <c r="U136" s="799"/>
      <c r="V136" s="799"/>
      <c r="W136" s="799"/>
      <c r="X136" s="799"/>
      <c r="Y136" s="799"/>
      <c r="Z136" s="799"/>
      <c r="AA136" s="799"/>
      <c r="AB136" s="799"/>
      <c r="AC136" s="799"/>
      <c r="AD136" s="799"/>
      <c r="AE136" s="799"/>
      <c r="AF136" s="799"/>
      <c r="AG136" s="799"/>
      <c r="AH136" s="799"/>
      <c r="CA136" s="769">
        <v>114</v>
      </c>
      <c r="CC136" s="801"/>
      <c r="CD136" s="809">
        <f>'MODEL Manufacturing Strategy'!D145</f>
        <v>0</v>
      </c>
      <c r="CE136" s="809"/>
      <c r="CF136" s="809"/>
      <c r="CG136" s="809"/>
      <c r="CH136" s="809"/>
      <c r="CI136" s="809"/>
      <c r="CJ136" s="809"/>
      <c r="CK136" s="809"/>
      <c r="CL136" s="809"/>
      <c r="CM136" s="938">
        <f>NPV('MODEL Manufacturing Strategy'!$D$142,'MODEL Manufacturing Strategy'!$E$136:$M$136)+'MODEL Manufacturing Strategy'!D136+'MODEL Manufacturing Strategy'!N136/(1+'MODEL Manufacturing Strategy'!D142)^9</f>
        <v>0</v>
      </c>
      <c r="CN136" s="809"/>
      <c r="CO136" s="809"/>
      <c r="CP136" s="809"/>
      <c r="CQ136" s="809"/>
    </row>
    <row r="137" spans="1:104" ht="15.75">
      <c r="A137" s="761"/>
      <c r="B137" s="769"/>
      <c r="D137" s="820"/>
      <c r="E137" s="201"/>
      <c r="F137" s="201"/>
      <c r="G137" s="799"/>
      <c r="H137" s="799"/>
      <c r="K137" s="799"/>
      <c r="M137" s="799"/>
      <c r="N137" s="799"/>
      <c r="O137" s="799"/>
      <c r="P137" s="799"/>
      <c r="Q137" s="799"/>
      <c r="R137" s="799"/>
      <c r="S137" s="799"/>
      <c r="T137" s="799"/>
      <c r="U137" s="799"/>
      <c r="V137" s="799"/>
      <c r="W137" s="799"/>
      <c r="X137" s="799"/>
      <c r="Y137" s="799"/>
      <c r="Z137" s="799"/>
      <c r="AA137" s="799"/>
      <c r="AB137" s="799"/>
      <c r="AC137" s="799"/>
      <c r="AD137" s="799"/>
      <c r="AE137" s="799"/>
      <c r="AF137" s="799"/>
      <c r="AG137" s="799"/>
      <c r="AH137" s="799"/>
      <c r="CA137" s="769">
        <v>115</v>
      </c>
      <c r="CC137" s="801"/>
      <c r="CD137" s="780">
        <f>'MODEL Manufacturing Strategy'!D148</f>
        <v>0</v>
      </c>
      <c r="CE137" s="780"/>
      <c r="CF137" s="780"/>
      <c r="CG137" s="780"/>
      <c r="CH137" s="780"/>
      <c r="CI137" s="780"/>
      <c r="CJ137" s="780"/>
      <c r="CK137" s="780"/>
      <c r="CL137" s="780"/>
      <c r="CM137" s="803" t="e">
        <f>IRR('MODEL Manufacturing Strategy'!$D$136:$N$136)</f>
        <v>#NUM!</v>
      </c>
      <c r="CN137" s="780"/>
      <c r="CO137" s="780"/>
      <c r="CP137" s="780"/>
      <c r="CQ137" s="780"/>
    </row>
    <row r="138" spans="1:104" ht="15.75">
      <c r="A138" s="761"/>
      <c r="B138" s="769"/>
      <c r="D138" s="820"/>
      <c r="E138" s="201"/>
      <c r="F138" s="201"/>
      <c r="G138" s="799"/>
      <c r="H138" s="201"/>
      <c r="K138" s="799"/>
      <c r="L138" s="799"/>
      <c r="M138" s="799"/>
      <c r="N138" s="799"/>
      <c r="O138" s="799"/>
      <c r="P138" s="799"/>
      <c r="Q138" s="799"/>
      <c r="R138" s="799"/>
      <c r="S138" s="799"/>
      <c r="T138" s="799"/>
      <c r="U138" s="799"/>
      <c r="V138" s="799"/>
      <c r="W138" s="799"/>
      <c r="X138" s="799"/>
      <c r="Y138" s="799"/>
      <c r="Z138" s="799"/>
      <c r="AA138" s="799"/>
      <c r="AB138" s="799"/>
      <c r="AC138" s="799"/>
      <c r="AD138" s="799"/>
      <c r="AE138" s="799"/>
      <c r="AF138" s="799"/>
      <c r="AG138" s="799"/>
      <c r="AH138" s="799"/>
      <c r="CA138" s="769">
        <v>116</v>
      </c>
      <c r="CC138" s="801"/>
      <c r="CD138" s="809">
        <f>'MODEL Manufacturing Strategy'!B168</f>
        <v>150</v>
      </c>
      <c r="CE138" s="809"/>
      <c r="CF138" s="809"/>
      <c r="CG138" s="809"/>
      <c r="CH138" s="809"/>
      <c r="CI138" s="809"/>
      <c r="CJ138" s="809"/>
      <c r="CK138" s="809"/>
      <c r="CL138" s="809"/>
      <c r="CM138" s="809"/>
      <c r="CN138" s="809"/>
      <c r="CO138" s="809"/>
      <c r="CP138" s="809"/>
      <c r="CQ138" s="809"/>
    </row>
    <row r="139" spans="1:104">
      <c r="A139" s="761"/>
      <c r="B139" s="769"/>
      <c r="D139" s="771"/>
      <c r="G139" s="769"/>
      <c r="H139" s="769"/>
      <c r="K139" s="769"/>
      <c r="CA139" s="769">
        <v>117</v>
      </c>
      <c r="CC139" s="771"/>
      <c r="CD139" s="763" t="str">
        <f>'MODEL Revise Budget &amp; Staffing'!B111</f>
        <v>Gold</v>
      </c>
      <c r="CH139" s="769" t="str">
        <f>INDEX('MODEL Revise Budget &amp; Staffing'!C101:E101,MATCH(MAX('MODEL Revise Budget &amp; Staffing'!C108:E108),'MODEL Revise Budget &amp; Staffing'!C108:E108))</f>
        <v>Gold</v>
      </c>
    </row>
    <row r="140" spans="1:104">
      <c r="A140" s="761"/>
      <c r="B140" s="769"/>
      <c r="D140" s="771"/>
      <c r="G140" s="769"/>
      <c r="H140" s="769"/>
      <c r="K140" s="769"/>
      <c r="CA140" s="769">
        <v>118</v>
      </c>
      <c r="CC140" s="771"/>
      <c r="CD140" s="763" t="str">
        <f>'MODEL Revise Budget &amp; Staffing'!B130</f>
        <v>Bronze</v>
      </c>
      <c r="CH140" s="769" t="str">
        <f>INDEX('MODEL Revise Budget &amp; Staffing'!C122:E122,MATCH(MAX('MODEL Revise Budget &amp; Staffing'!C127:E127),'MODEL Revise Budget &amp; Staffing'!C127:E127,FALSE))</f>
        <v>Bronze</v>
      </c>
    </row>
    <row r="141" spans="1:104">
      <c r="A141" s="761"/>
      <c r="B141" s="769"/>
      <c r="D141" s="771"/>
      <c r="G141" s="769"/>
      <c r="H141" s="769"/>
      <c r="K141" s="769"/>
      <c r="CA141" s="769">
        <v>119</v>
      </c>
      <c r="CC141" s="771"/>
      <c r="CD141" s="763" t="str">
        <f>'MODEL Revise Budget &amp; Staffing'!B145</f>
        <v>Direct Labor</v>
      </c>
      <c r="CH141" s="769" t="str">
        <f>INDEX('MODEL Revise Budget &amp; Staffing'!B138:B141,MATCH(MAX('MODEL Revise Budget &amp; Staffing'!F138:F141),'MODEL Revise Budget &amp; Staffing'!F138:F141,FALSE))</f>
        <v>Direct Labor</v>
      </c>
    </row>
    <row r="142" spans="1:104">
      <c r="A142" s="761"/>
      <c r="B142" s="769"/>
      <c r="D142" s="771"/>
      <c r="G142" s="769"/>
      <c r="H142" s="769"/>
      <c r="K142" s="769"/>
      <c r="CA142" s="769">
        <v>120</v>
      </c>
      <c r="CC142" s="771"/>
      <c r="CD142" s="763" t="str">
        <f>'MODEL Revise Budget &amp; Staffing'!B174</f>
        <v>Direct Materials</v>
      </c>
      <c r="CH142" s="811" t="str">
        <f>INDEX('MODEL Revise Budget &amp; Staffing'!B167:B170,MATCH(MAX('MODEL Revise Budget &amp; Staffing'!F167:F170),'MODEL Revise Budget &amp; Staffing'!F167:F170,FALSE))</f>
        <v>Fixed Overhead</v>
      </c>
    </row>
    <row r="143" spans="1:104">
      <c r="A143" s="761"/>
      <c r="B143" s="769"/>
      <c r="D143" s="771"/>
      <c r="G143" s="769"/>
      <c r="H143" s="769"/>
      <c r="K143" s="769"/>
      <c r="CA143" s="769">
        <v>121</v>
      </c>
      <c r="CC143" s="771"/>
      <c r="CD143" s="763">
        <f>'MODEL Revise Budget &amp; Staffing'!B180</f>
        <v>2525</v>
      </c>
      <c r="CH143" s="794">
        <f>'MODEL Revise Budget &amp; Staffing'!F158-'MODEL Revise Budget &amp; Staffing'!F108</f>
        <v>2525</v>
      </c>
    </row>
    <row r="144" spans="1:104">
      <c r="A144" s="761"/>
      <c r="B144" s="769"/>
      <c r="D144" s="771"/>
      <c r="G144" s="769"/>
      <c r="H144" s="769"/>
      <c r="K144" s="769"/>
      <c r="L144" s="799"/>
      <c r="M144" s="799"/>
      <c r="N144" s="799"/>
      <c r="CA144" s="769">
        <v>122</v>
      </c>
      <c r="CC144" s="771"/>
      <c r="CD144" s="763" t="str">
        <f>'MODEL Revise Budget &amp; Staffing'!B182</f>
        <v>Unfavorable</v>
      </c>
      <c r="CH144" s="769" t="str">
        <f>IF(CH143&lt;0,'MODEL Revise Budget &amp; Staffing'!AA182,'MODEL Revise Budget &amp; Staffing'!AA183)</f>
        <v>Unfavorable</v>
      </c>
    </row>
    <row r="145" spans="1:89">
      <c r="A145" s="761"/>
      <c r="B145" s="769"/>
      <c r="D145" s="771"/>
      <c r="G145" s="769"/>
      <c r="H145" s="769"/>
      <c r="K145" s="769"/>
      <c r="CA145" s="769">
        <v>123</v>
      </c>
      <c r="CC145" s="771"/>
      <c r="CD145" s="763" t="str">
        <f>'MODEL Revise Budget &amp; Staffing'!B184</f>
        <v>Fixed Overhead</v>
      </c>
      <c r="CH145" s="769" t="str">
        <f>INDEX('MODEL Revise Budget &amp; Staffing'!B167:B170,MATCH(MAX('MODEL Revise Budget &amp; Staffing'!F167:F170),'MODEL Revise Budget &amp; Staffing'!F167:F170,FALSE))</f>
        <v>Fixed Overhead</v>
      </c>
    </row>
    <row r="146" spans="1:89">
      <c r="A146" s="761"/>
      <c r="B146" s="769"/>
      <c r="D146" s="771"/>
      <c r="G146" s="769"/>
      <c r="H146" s="769"/>
      <c r="K146" s="769"/>
      <c r="L146" s="799"/>
      <c r="M146" s="799"/>
      <c r="N146" s="799"/>
      <c r="CA146" s="769">
        <v>124</v>
      </c>
      <c r="CC146" s="771"/>
      <c r="CD146" s="763">
        <f>'MODEL Revise Budget &amp; Staffing'!C205</f>
        <v>7140</v>
      </c>
      <c r="CE146" s="763">
        <f>'MODEL Revise Budget &amp; Staffing'!D205</f>
        <v>2530</v>
      </c>
      <c r="CF146" s="763">
        <f>'MODEL Revise Budget &amp; Staffing'!E205</f>
        <v>2860</v>
      </c>
      <c r="CI146" s="812">
        <f>'MODEL Revise Budget &amp; Staffing'!C200*'MODEL Revise Budget &amp; Staffing'!C81</f>
        <v>7140</v>
      </c>
      <c r="CJ146" s="812">
        <f>'MODEL Revise Budget &amp; Staffing'!D200*'MODEL Revise Budget &amp; Staffing'!D81</f>
        <v>2530</v>
      </c>
      <c r="CK146" s="812">
        <f>'MODEL Revise Budget &amp; Staffing'!E200*'MODEL Revise Budget &amp; Staffing'!E81</f>
        <v>2860</v>
      </c>
    </row>
    <row r="147" spans="1:89">
      <c r="A147" s="761"/>
      <c r="B147" s="769"/>
      <c r="D147" s="760"/>
      <c r="E147" s="505"/>
      <c r="F147" s="505"/>
      <c r="G147" s="505"/>
      <c r="H147" s="505"/>
      <c r="K147" s="505"/>
      <c r="L147" s="526"/>
      <c r="CA147" s="769">
        <v>125</v>
      </c>
      <c r="CC147" s="760"/>
      <c r="CD147" s="780">
        <f>'DATA ANALYSIS Subscription Biz'!B62</f>
        <v>0.59899999999999998</v>
      </c>
    </row>
    <row r="148" spans="1:89">
      <c r="A148" s="761"/>
      <c r="B148" s="769"/>
      <c r="D148" s="760"/>
      <c r="E148" s="505"/>
      <c r="F148" s="505"/>
      <c r="G148" s="505"/>
      <c r="H148" s="505"/>
      <c r="K148" s="505"/>
      <c r="L148" s="505"/>
      <c r="CA148" s="769">
        <v>126</v>
      </c>
      <c r="CC148" s="760"/>
      <c r="CD148" s="780">
        <f>'DATA ANALYSIS Subscription Biz'!B65</f>
        <v>8</v>
      </c>
    </row>
    <row r="149" spans="1:89">
      <c r="A149" s="761"/>
      <c r="B149" s="769"/>
      <c r="D149" s="760"/>
      <c r="E149" s="505"/>
      <c r="F149" s="505"/>
      <c r="G149" s="505"/>
      <c r="H149" s="505"/>
      <c r="K149" s="505"/>
      <c r="L149" s="505"/>
      <c r="CA149" s="769">
        <v>127</v>
      </c>
      <c r="CC149" s="760"/>
      <c r="CD149" s="780">
        <f>'DATA ANALYSIS Subscription Biz'!B68</f>
        <v>140</v>
      </c>
    </row>
    <row r="150" spans="1:89">
      <c r="A150" s="761"/>
      <c r="B150" s="769"/>
      <c r="D150" s="760"/>
      <c r="E150" s="505"/>
      <c r="F150" s="505"/>
      <c r="G150" s="505"/>
      <c r="H150" s="505"/>
      <c r="K150" s="505"/>
      <c r="L150" s="942"/>
      <c r="CA150" s="769">
        <v>128</v>
      </c>
      <c r="CC150" s="760"/>
      <c r="CD150" s="780">
        <f>'DATA ANALYSIS Subscription Biz'!E100</f>
        <v>-7.3248407643312141E-2</v>
      </c>
    </row>
    <row r="151" spans="1:89">
      <c r="A151" s="761"/>
      <c r="B151" s="769"/>
      <c r="D151" s="770"/>
      <c r="E151" s="813"/>
      <c r="CA151" s="769">
        <v>129</v>
      </c>
      <c r="CC151" s="770"/>
    </row>
    <row r="152" spans="1:89">
      <c r="A152" s="761"/>
      <c r="B152" s="769"/>
      <c r="D152" s="770"/>
      <c r="E152" s="813"/>
      <c r="CA152" s="769">
        <v>130</v>
      </c>
      <c r="CC152" s="770"/>
    </row>
    <row r="153" spans="1:89">
      <c r="A153" s="761"/>
      <c r="B153" s="769"/>
      <c r="D153" s="770"/>
      <c r="E153" s="813"/>
      <c r="CA153" s="769">
        <v>131</v>
      </c>
      <c r="CC153" s="770"/>
    </row>
    <row r="154" spans="1:89">
      <c r="A154" s="761"/>
      <c r="B154" s="769"/>
      <c r="D154" s="770"/>
      <c r="E154" s="813"/>
      <c r="CA154" s="769">
        <v>132</v>
      </c>
      <c r="CC154" s="770"/>
    </row>
    <row r="155" spans="1:89">
      <c r="A155" s="761"/>
      <c r="B155" s="769"/>
      <c r="D155" s="770"/>
      <c r="E155" s="813"/>
      <c r="CA155" s="769">
        <v>133</v>
      </c>
      <c r="CC155" s="770"/>
    </row>
    <row r="156" spans="1:89">
      <c r="A156" s="761"/>
      <c r="B156" s="769"/>
      <c r="D156" s="770"/>
      <c r="E156" s="813"/>
      <c r="CA156" s="769">
        <v>134</v>
      </c>
      <c r="CC156" s="770"/>
    </row>
    <row r="157" spans="1:89">
      <c r="A157" s="761"/>
      <c r="B157" s="769"/>
      <c r="D157" s="770"/>
      <c r="E157" s="813"/>
      <c r="CA157" s="769">
        <v>135</v>
      </c>
      <c r="CC157" s="770"/>
    </row>
    <row r="158" spans="1:89">
      <c r="A158" s="761"/>
      <c r="B158" s="769"/>
      <c r="D158" s="770"/>
      <c r="E158" s="813"/>
      <c r="CA158" s="769">
        <v>136</v>
      </c>
      <c r="CC158" s="770"/>
    </row>
    <row r="159" spans="1:89">
      <c r="A159" s="761"/>
      <c r="B159" s="769"/>
      <c r="D159" s="770"/>
      <c r="E159" s="813"/>
      <c r="CA159" s="769">
        <v>137</v>
      </c>
      <c r="CC159" s="770"/>
    </row>
    <row r="160" spans="1:89">
      <c r="A160" s="761"/>
      <c r="B160" s="769"/>
      <c r="D160" s="770"/>
      <c r="E160" s="813"/>
      <c r="CA160" s="769">
        <v>138</v>
      </c>
      <c r="CC160" s="770"/>
    </row>
    <row r="161" spans="1:182">
      <c r="A161" s="761"/>
      <c r="B161" s="769"/>
      <c r="D161" s="815"/>
      <c r="E161" s="814"/>
      <c r="F161" s="814"/>
      <c r="G161" s="814"/>
      <c r="H161" s="814"/>
      <c r="K161" s="814"/>
      <c r="L161" s="814"/>
      <c r="M161" s="814"/>
      <c r="N161" s="814"/>
      <c r="O161" s="814"/>
      <c r="P161" s="814"/>
      <c r="Q161" s="814"/>
      <c r="R161" s="814"/>
      <c r="S161" s="814"/>
      <c r="T161" s="814"/>
      <c r="U161" s="814"/>
      <c r="V161" s="814"/>
      <c r="W161" s="814"/>
      <c r="X161" s="814"/>
      <c r="CA161" s="769">
        <v>139</v>
      </c>
      <c r="CC161" s="815"/>
      <c r="CD161" s="763">
        <f ca="1">'MODEL Product Introduction'!$C222</f>
        <v>152869.92203193705</v>
      </c>
      <c r="CE161" s="763">
        <f ca="1">'MODEL Product Introduction'!$C223</f>
        <v>-5771825.2788704988</v>
      </c>
      <c r="CF161" s="763">
        <f ca="1">'MODEL Product Introduction'!$C224</f>
        <v>-9726230.2964497283</v>
      </c>
      <c r="CG161" s="763">
        <f ca="1">'MODEL Product Introduction'!$C225</f>
        <v>-12700717.699203141</v>
      </c>
      <c r="CH161" s="763">
        <f ca="1">'MODEL Product Introduction'!$C226</f>
        <v>-15251932.678400951</v>
      </c>
      <c r="CI161" s="763">
        <f ca="1">'MODEL Product Introduction'!$C227</f>
        <v>-17694142.610513207</v>
      </c>
      <c r="CJ161" s="763">
        <f ca="1">'MODEL Product Introduction'!$C228</f>
        <v>-20212346.129872087</v>
      </c>
      <c r="CK161" s="763">
        <f ca="1">'MODEL Product Introduction'!$C229</f>
        <v>-22923617.248717569</v>
      </c>
      <c r="CL161" s="763">
        <f ca="1">'MODEL Product Introduction'!$C230</f>
        <v>-25910499.164148226</v>
      </c>
      <c r="CM161" s="763">
        <f ca="1">'MODEL Product Introduction'!$C231</f>
        <v>-29239311.186711378</v>
      </c>
      <c r="CO161" s="751">
        <f ca="1">SUMIF('MODEL Product Introduction'!$A$98:$A$2405,'MODEL Product Introduction'!$B222,'MODEL Product Introduction'!$N$98:$N$217)</f>
        <v>152869.92203193705</v>
      </c>
      <c r="CP161" s="751">
        <f ca="1">SUMIF('MODEL Product Introduction'!$A$98:$A$2405,'MODEL Product Introduction'!$B223,'MODEL Product Introduction'!$N$98:$N$217)</f>
        <v>-5771825.2788704988</v>
      </c>
      <c r="CQ161" s="751">
        <f ca="1">SUMIF('MODEL Product Introduction'!$A$98:$A$2405,'MODEL Product Introduction'!$B224,'MODEL Product Introduction'!$N$98:$N$217)</f>
        <v>-9726230.2964497283</v>
      </c>
      <c r="CR161" s="751">
        <f ca="1">SUMIF('MODEL Product Introduction'!$A$98:$A$2405,'MODEL Product Introduction'!$B225,'MODEL Product Introduction'!$N$98:$N$217)</f>
        <v>-12700717.699203141</v>
      </c>
      <c r="CS161" s="751">
        <f ca="1">SUMIF('MODEL Product Introduction'!$A$98:$A$2405,'MODEL Product Introduction'!$B226,'MODEL Product Introduction'!$N$98:$N$217)</f>
        <v>-15251932.678400951</v>
      </c>
      <c r="CT161" s="751">
        <f ca="1">SUMIF('MODEL Product Introduction'!$A$98:$A$2405,'MODEL Product Introduction'!$B227,'MODEL Product Introduction'!$N$98:$N$217)</f>
        <v>-17694142.610513207</v>
      </c>
      <c r="CU161" s="751">
        <f ca="1">SUMIF('MODEL Product Introduction'!$A$98:$A$2405,'MODEL Product Introduction'!$B228,'MODEL Product Introduction'!$N$98:$N$217)</f>
        <v>-20212346.129872087</v>
      </c>
      <c r="CV161" s="751">
        <f ca="1">SUMIF('MODEL Product Introduction'!$A$98:$A$2405,'MODEL Product Introduction'!$B229,'MODEL Product Introduction'!$N$98:$N$217)</f>
        <v>-22923617.248717569</v>
      </c>
      <c r="CW161" s="751">
        <f ca="1">SUMIF('MODEL Product Introduction'!$A$98:$A$2405,'MODEL Product Introduction'!$B230,'MODEL Product Introduction'!$N$98:$N$217)</f>
        <v>-25910499.164148226</v>
      </c>
      <c r="CX161" s="751">
        <f ca="1">SUMIF('MODEL Product Introduction'!$A$98:$A$2405,'MODEL Product Introduction'!$B231,'MODEL Product Introduction'!$N$98:$N$217)</f>
        <v>-29239311.186711378</v>
      </c>
    </row>
    <row r="162" spans="1:182">
      <c r="A162" s="761"/>
      <c r="B162" s="769"/>
      <c r="D162" s="815"/>
      <c r="E162" s="814"/>
      <c r="F162" s="814"/>
      <c r="G162" s="814"/>
      <c r="H162" s="814"/>
      <c r="K162" s="814"/>
      <c r="M162" s="814"/>
      <c r="N162" s="814"/>
      <c r="O162" s="814"/>
      <c r="P162" s="814"/>
      <c r="Q162" s="814"/>
      <c r="R162" s="774"/>
      <c r="S162" s="774"/>
      <c r="T162" s="814"/>
      <c r="U162" s="814"/>
      <c r="V162" s="814"/>
      <c r="W162" s="814"/>
      <c r="X162" s="814"/>
      <c r="Y162" s="814"/>
      <c r="Z162" s="814"/>
      <c r="AA162" s="814"/>
      <c r="AB162" s="814"/>
      <c r="AC162" s="814"/>
      <c r="AD162" s="814"/>
      <c r="AE162" s="814"/>
      <c r="AF162" s="814"/>
      <c r="AG162" s="814"/>
      <c r="AH162" s="814"/>
      <c r="CA162" s="769">
        <v>140</v>
      </c>
      <c r="CC162" s="815"/>
      <c r="CD162" s="763">
        <f ca="1">'MODEL Product Introduction'!B236</f>
        <v>-83399252.510681927</v>
      </c>
      <c r="CH162" s="789">
        <f ca="1">NPV(10%, 'MODEL Product Introduction'!$C$222:$C$231)+'MODEL Product Introduction'!C232/(1.1)^10</f>
        <v>-177341087.64050195</v>
      </c>
    </row>
    <row r="163" spans="1:182">
      <c r="A163" s="761"/>
      <c r="B163" s="769"/>
      <c r="D163" s="815"/>
      <c r="E163" s="814"/>
      <c r="F163" s="814"/>
      <c r="G163" s="814"/>
      <c r="H163" s="814"/>
      <c r="K163" s="814"/>
      <c r="M163" s="814"/>
      <c r="N163" s="814"/>
      <c r="O163" s="814"/>
      <c r="P163" s="814"/>
      <c r="Q163" s="814"/>
      <c r="R163" s="816"/>
      <c r="S163" s="816"/>
      <c r="T163" s="814"/>
      <c r="U163" s="814"/>
      <c r="V163" s="814"/>
      <c r="W163" s="814"/>
      <c r="X163" s="814"/>
      <c r="Y163" s="814"/>
      <c r="Z163" s="814"/>
      <c r="AA163" s="814"/>
      <c r="AB163" s="814"/>
      <c r="AC163" s="814"/>
      <c r="AD163" s="814"/>
      <c r="AE163" s="814"/>
      <c r="AF163" s="814"/>
      <c r="AG163" s="814"/>
      <c r="AH163" s="814"/>
      <c r="CA163" s="769">
        <v>141</v>
      </c>
      <c r="CC163" s="815"/>
      <c r="CD163" s="780">
        <f ca="1">'MODEL Product Introduction'!B238</f>
        <v>38.425365489737615</v>
      </c>
      <c r="CH163" s="817">
        <f ca="1">IRR('MODEL Product Introduction'!$C$222:$C$232)</f>
        <v>38.425365489744344</v>
      </c>
    </row>
    <row r="164" spans="1:182">
      <c r="A164" s="761"/>
      <c r="B164" s="769"/>
      <c r="D164" s="815"/>
      <c r="E164" s="814"/>
      <c r="F164" s="814"/>
      <c r="G164" s="814"/>
      <c r="H164" s="814"/>
      <c r="K164" s="814"/>
      <c r="L164" s="814"/>
      <c r="M164" s="814"/>
      <c r="N164" s="814"/>
      <c r="O164" s="814"/>
      <c r="P164" s="814"/>
      <c r="Q164" s="814"/>
      <c r="R164" s="816"/>
      <c r="S164" s="816"/>
      <c r="T164" s="814"/>
      <c r="U164" s="814"/>
      <c r="V164" s="814"/>
      <c r="W164" s="814"/>
      <c r="X164" s="814"/>
      <c r="Y164" s="814"/>
      <c r="Z164" s="814"/>
      <c r="AA164" s="814"/>
      <c r="AB164" s="814"/>
      <c r="AC164" s="814"/>
      <c r="AD164" s="814"/>
      <c r="AE164" s="814"/>
      <c r="AF164" s="814"/>
      <c r="AG164" s="814"/>
      <c r="AH164" s="814"/>
      <c r="CA164" s="769">
        <v>142</v>
      </c>
      <c r="CC164" s="815"/>
      <c r="CD164" s="763" t="str">
        <f>'MODEL Product Introduction'!B257</f>
        <v>1.5% growth / Exclude Dec</v>
      </c>
    </row>
    <row r="165" spans="1:182">
      <c r="A165" s="761"/>
      <c r="B165" s="769"/>
      <c r="D165" s="815"/>
      <c r="E165" s="814"/>
      <c r="F165" s="814"/>
      <c r="G165" s="814"/>
      <c r="H165" s="814"/>
      <c r="K165" s="814"/>
      <c r="L165" s="814"/>
      <c r="M165" s="814"/>
      <c r="N165" s="814"/>
      <c r="O165" s="814"/>
      <c r="P165" s="814"/>
      <c r="Q165" s="814"/>
      <c r="R165" s="816"/>
      <c r="S165" s="816"/>
      <c r="T165" s="814"/>
      <c r="U165" s="814"/>
      <c r="V165" s="814"/>
      <c r="W165" s="814"/>
      <c r="X165" s="814"/>
      <c r="Y165" s="814"/>
      <c r="Z165" s="814"/>
      <c r="AA165" s="814"/>
      <c r="AB165" s="814"/>
      <c r="AC165" s="814"/>
      <c r="AD165" s="814"/>
      <c r="AE165" s="814"/>
      <c r="AF165" s="814"/>
      <c r="AG165" s="814"/>
      <c r="AH165" s="814"/>
      <c r="CA165" s="769">
        <v>143</v>
      </c>
      <c r="CC165" s="815"/>
      <c r="CD165" s="763" t="str">
        <f>'MODEL Product Introduction'!B259</f>
        <v>All of the above</v>
      </c>
    </row>
    <row r="166" spans="1:182">
      <c r="A166" s="761"/>
      <c r="B166" s="769"/>
      <c r="D166" s="815"/>
      <c r="E166" s="814"/>
      <c r="F166" s="814"/>
      <c r="G166" s="814"/>
      <c r="H166" s="814"/>
      <c r="K166" s="814"/>
      <c r="M166" s="814"/>
      <c r="N166" s="814"/>
      <c r="O166" s="814"/>
      <c r="P166" s="814"/>
      <c r="Q166" s="814"/>
      <c r="R166" s="816"/>
      <c r="S166" s="816"/>
      <c r="T166" s="814"/>
      <c r="U166" s="814"/>
      <c r="V166" s="814"/>
      <c r="W166" s="814"/>
      <c r="X166" s="814"/>
      <c r="Y166" s="814"/>
      <c r="Z166" s="814"/>
      <c r="AA166" s="814"/>
      <c r="AB166" s="814"/>
      <c r="AC166" s="814"/>
      <c r="AD166" s="814"/>
      <c r="AE166" s="814"/>
      <c r="AF166" s="814"/>
      <c r="AG166" s="814"/>
      <c r="AH166" s="814"/>
      <c r="CA166" s="769">
        <v>144</v>
      </c>
      <c r="CC166" s="815"/>
      <c r="CD166" s="763">
        <f ca="1">'MODEL Product Introduction'!B261</f>
        <v>-239186720.25366184</v>
      </c>
      <c r="CH166" s="818">
        <f ca="1">NPV(10%, 'MODEL Product Introduction'!$C$222:$C$231)</f>
        <v>-83399252.510681927</v>
      </c>
    </row>
    <row r="167" spans="1:182">
      <c r="X167" s="819"/>
    </row>
    <row r="168" spans="1:182">
      <c r="B168" s="939"/>
    </row>
    <row r="169" spans="1:182">
      <c r="B169" s="939"/>
    </row>
    <row r="172" spans="1:182" ht="13.5" thickBot="1"/>
    <row r="173" spans="1:182" ht="13.5" thickBot="1">
      <c r="CL173" s="814"/>
      <c r="CM173" s="814"/>
      <c r="CN173" s="814"/>
      <c r="CO173" s="814"/>
      <c r="CP173" s="814"/>
      <c r="CQ173" s="814">
        <f t="shared" ref="CQ173:CW173" si="14">IFERROR(IF(AND(ABS(FF173-FT173)&lt;100,FF173&lt;&gt;0),0.015,0),0)</f>
        <v>1.4999999999999999E-2</v>
      </c>
      <c r="CR173" s="814">
        <f t="shared" si="14"/>
        <v>0</v>
      </c>
      <c r="CS173" s="814">
        <f t="shared" si="14"/>
        <v>0</v>
      </c>
      <c r="CT173" s="814">
        <f t="shared" si="14"/>
        <v>1.4999999999999999E-2</v>
      </c>
      <c r="CU173" s="814">
        <f t="shared" si="14"/>
        <v>0</v>
      </c>
      <c r="CV173" s="814">
        <f t="shared" si="14"/>
        <v>1.4999999999999999E-2</v>
      </c>
      <c r="CW173" s="814">
        <f t="shared" si="14"/>
        <v>1.4999999999999999E-2</v>
      </c>
      <c r="CX173" s="814"/>
      <c r="FF173" s="763">
        <f>'MODEL Product Introduction'!I98</f>
        <v>100</v>
      </c>
      <c r="FG173" s="763">
        <f>'MODEL Product Introduction'!J98</f>
        <v>337625</v>
      </c>
      <c r="FH173" s="763">
        <f>'MODEL Product Introduction'!K98</f>
        <v>0</v>
      </c>
      <c r="FI173" s="763">
        <f>'MODEL Product Introduction'!L98</f>
        <v>337625</v>
      </c>
      <c r="FJ173" s="763">
        <f>'MODEL Product Introduction'!M98</f>
        <v>37400</v>
      </c>
      <c r="FK173" s="763">
        <f>'MODEL Product Introduction'!N98</f>
        <v>300225</v>
      </c>
      <c r="FL173" s="763">
        <f>'MODEL Product Introduction'!O98</f>
        <v>300225</v>
      </c>
      <c r="FO173" s="11" t="s">
        <v>407</v>
      </c>
      <c r="FP173" s="11"/>
      <c r="FQ173" s="11"/>
      <c r="FR173" s="605"/>
      <c r="FS173" s="606"/>
      <c r="FT173" s="12">
        <f>'MODEL Product Introduction'!$G98*(1+'MODEL Product Introduction'!$H98)</f>
        <v>100</v>
      </c>
      <c r="FU173" s="12">
        <f>SUMPRODUCT('MODEL Product Introduction'!$C98:$F98,'MODEL Product Introduction'!$D$90:$G$90)</f>
        <v>18500</v>
      </c>
      <c r="FV173" s="12">
        <f>SUMPRODUCT('MODEL Product Introduction'!$C98:$F98,'MODEL Product Introduction'!$D$91:$G$91)</f>
        <v>370000</v>
      </c>
      <c r="FW173" s="12">
        <f>'MODEL Product Introduction'!$J98-'MODEL Product Introduction'!$K98</f>
        <v>337625</v>
      </c>
      <c r="FX173" s="12">
        <f>SUM('MODEL Product Introduction'!$C98:$F98)*10+'MODEL Product Introduction'!$I98*'MODEL Product Introduction'!$C98</f>
        <v>407000</v>
      </c>
      <c r="FY173" s="12">
        <f>'MODEL Product Introduction'!$L98-'MODEL Product Introduction'!$M98</f>
        <v>300225</v>
      </c>
      <c r="FZ173" s="12">
        <f>'MODEL Product Introduction'!$N98</f>
        <v>300225</v>
      </c>
    </row>
    <row r="174" spans="1:182" ht="13.5" thickBot="1">
      <c r="CL174" s="814">
        <f t="shared" ref="CL174:CL205" si="15">IFERROR(IF(OR(ABS(FA174-FO174)&lt;100,CC174&lt;&gt;0),0.015,0),0)</f>
        <v>1.4999999999999999E-2</v>
      </c>
      <c r="CM174" s="814"/>
      <c r="CN174" s="814"/>
      <c r="CO174" s="814"/>
      <c r="CP174" s="814"/>
      <c r="CQ174" s="814">
        <f t="shared" ref="CQ174:CQ237" si="16">IFERROR(IF(AND(ABS(FF174-FT174)&lt;100,FF174&lt;&gt;0),0.015,0),0)</f>
        <v>1.4999999999999999E-2</v>
      </c>
      <c r="CR174" s="814">
        <f t="shared" ref="CR174:CR237" si="17">IFERROR(IF(AND(ABS(FG174-FU174)&lt;100,FG174&lt;&gt;0),0.015,0),0)</f>
        <v>0</v>
      </c>
      <c r="CS174" s="814">
        <f t="shared" ref="CS174:CS237" si="18">IFERROR(IF(AND(ABS(FH174-FV174)&lt;100,FH174&lt;&gt;0),0.015,0),0)</f>
        <v>0</v>
      </c>
      <c r="CT174" s="814">
        <f t="shared" ref="CT174:CT237" si="19">IFERROR(IF(AND(ABS(FI174-FW174)&lt;100,FI174&lt;&gt;0),0.015,0),0)</f>
        <v>1.4999999999999999E-2</v>
      </c>
      <c r="CU174" s="814">
        <f t="shared" ref="CU174:CU237" si="20">IFERROR(IF(AND(ABS(FJ174-FX174)&lt;100,FJ174&lt;&gt;0),0.015,0),0)</f>
        <v>0</v>
      </c>
      <c r="CV174" s="814">
        <f t="shared" ref="CV174:CV237" si="21">IFERROR(IF(AND(ABS(FK174-FY174)&lt;100,FK174&lt;&gt;0),0.015,0),0)</f>
        <v>0</v>
      </c>
      <c r="CW174" s="814">
        <f t="shared" ref="CW174:CW237" si="22">IFERROR(IF(AND(ABS(FL174-FZ174)&lt;100,FL174&lt;&gt;0),0.015,0),0)</f>
        <v>1.4999999999999999E-2</v>
      </c>
      <c r="CX174" s="814"/>
      <c r="FA174" s="763">
        <f>'MODEL Product Introduction'!D99</f>
        <v>2590</v>
      </c>
      <c r="FB174" s="763">
        <f>'MODEL Product Introduction'!E99</f>
        <v>0</v>
      </c>
      <c r="FC174" s="763">
        <f>'MODEL Product Introduction'!F99</f>
        <v>0</v>
      </c>
      <c r="FF174" s="763">
        <f>'MODEL Product Introduction'!I99</f>
        <v>100</v>
      </c>
      <c r="FG174" s="763">
        <f>'MODEL Product Introduction'!J99</f>
        <v>577338.75</v>
      </c>
      <c r="FH174" s="763">
        <f>'MODEL Product Introduction'!K99</f>
        <v>259000</v>
      </c>
      <c r="FI174" s="763">
        <f>'MODEL Product Introduction'!L99</f>
        <v>318338.75</v>
      </c>
      <c r="FJ174" s="763">
        <f>'MODEL Product Introduction'!M99</f>
        <v>63670</v>
      </c>
      <c r="FK174" s="763">
        <f>'MODEL Product Introduction'!N99</f>
        <v>254668.75</v>
      </c>
      <c r="FL174" s="763">
        <f>'MODEL Product Introduction'!O99</f>
        <v>554893.75</v>
      </c>
      <c r="FO174" s="5">
        <f>'MODEL Product Introduction'!$C98*(1-'MODEL Product Introduction'!$E$92)</f>
        <v>2590</v>
      </c>
      <c r="FP174" s="11"/>
      <c r="FQ174" s="11"/>
      <c r="FR174" s="605"/>
      <c r="FS174" s="606"/>
      <c r="FT174" s="12">
        <f>'MODEL Product Introduction'!$G99*(1+'MODEL Product Introduction'!$H99)</f>
        <v>100</v>
      </c>
      <c r="FU174" s="12">
        <f>SUMPRODUCT('MODEL Product Introduction'!$C99:$F99,'MODEL Product Introduction'!$D$90:$G$90)</f>
        <v>277685</v>
      </c>
      <c r="FV174" s="12">
        <f>SUMPRODUCT('MODEL Product Introduction'!$C99:$F99,'MODEL Product Introduction'!$D$91:$G$91)</f>
        <v>632700</v>
      </c>
      <c r="FW174" s="12">
        <f>'MODEL Product Introduction'!$J99-'MODEL Product Introduction'!$K99</f>
        <v>318338.75</v>
      </c>
      <c r="FX174" s="12">
        <f>SUM('MODEL Product Introduction'!$C99:$F99)*10+'MODEL Product Introduction'!$I99*'MODEL Product Introduction'!$C99</f>
        <v>436970</v>
      </c>
      <c r="FY174" s="12">
        <f t="shared" ref="FY174:FY205" si="23">FW174-FX174</f>
        <v>-118631.25</v>
      </c>
      <c r="FZ174" s="12">
        <f>'MODEL Product Introduction'!$N99+'MODEL Product Introduction'!$O98</f>
        <v>554893.75</v>
      </c>
    </row>
    <row r="175" spans="1:182" ht="13.5" thickBot="1">
      <c r="CL175" s="814">
        <f t="shared" si="15"/>
        <v>1.4999999999999999E-2</v>
      </c>
      <c r="CM175" s="814">
        <f>IFERROR(IF(AND(ABS(FB175-FP175)&lt;100,FP175&lt;&gt;0),0.015,0),0)</f>
        <v>0</v>
      </c>
      <c r="CN175" s="814"/>
      <c r="CO175" s="814"/>
      <c r="CP175" s="814"/>
      <c r="CQ175" s="814">
        <f t="shared" si="16"/>
        <v>1.4999999999999999E-2</v>
      </c>
      <c r="CR175" s="814">
        <f t="shared" si="17"/>
        <v>0</v>
      </c>
      <c r="CS175" s="814">
        <f t="shared" si="18"/>
        <v>0</v>
      </c>
      <c r="CT175" s="814">
        <f t="shared" si="19"/>
        <v>1.4999999999999999E-2</v>
      </c>
      <c r="CU175" s="814">
        <f t="shared" si="20"/>
        <v>0</v>
      </c>
      <c r="CV175" s="814">
        <f t="shared" si="21"/>
        <v>0</v>
      </c>
      <c r="CW175" s="814">
        <f t="shared" si="22"/>
        <v>1.4999999999999999E-2</v>
      </c>
      <c r="CX175" s="814"/>
      <c r="FA175" s="763">
        <f>'MODEL Product Introduction'!D100</f>
        <v>2615.8999999999996</v>
      </c>
      <c r="FB175" s="763">
        <f>'MODEL Product Introduction'!E100</f>
        <v>3363.3</v>
      </c>
      <c r="FC175" s="763">
        <f>'MODEL Product Introduction'!F100</f>
        <v>0</v>
      </c>
      <c r="FF175" s="763">
        <f>'MODEL Product Introduction'!I100</f>
        <v>100</v>
      </c>
      <c r="FG175" s="763">
        <f>'MODEL Product Introduction'!J100</f>
        <v>890013.26249999995</v>
      </c>
      <c r="FH175" s="763">
        <f>'MODEL Product Introduction'!K100</f>
        <v>597920</v>
      </c>
      <c r="FI175" s="763">
        <f>'MODEL Product Introduction'!L100</f>
        <v>292093.26249999995</v>
      </c>
      <c r="FJ175" s="763">
        <f>'MODEL Product Introduction'!M100</f>
        <v>97935.7</v>
      </c>
      <c r="FK175" s="763">
        <f>'MODEL Product Introduction'!N100</f>
        <v>194157.56249999994</v>
      </c>
      <c r="FL175" s="763">
        <f>'MODEL Product Introduction'!O100</f>
        <v>749051.3125</v>
      </c>
      <c r="FO175" s="5">
        <f>'MODEL Product Introduction'!$C99*(1-'MODEL Product Introduction'!$E$92)</f>
        <v>2615.8999999999996</v>
      </c>
      <c r="FP175" s="5">
        <f>'MODEL Product Introduction'!$D99*(1-'MODEL Product Introduction'!$F$92)</f>
        <v>2331</v>
      </c>
      <c r="FQ175" s="11"/>
      <c r="FR175" s="605"/>
      <c r="FS175" s="606"/>
      <c r="FT175" s="12">
        <f>'MODEL Product Introduction'!$G100*(1+'MODEL Product Introduction'!$H100)</f>
        <v>100</v>
      </c>
      <c r="FU175" s="12">
        <f>SUMPRODUCT('MODEL Product Introduction'!$C100:$F100,'MODEL Product Introduction'!$D$90:$G$90)</f>
        <v>684057.85</v>
      </c>
      <c r="FV175" s="12">
        <f>SUMPRODUCT('MODEL Product Introduction'!$C100:$F100,'MODEL Product Introduction'!$D$91:$G$91)</f>
        <v>975357</v>
      </c>
      <c r="FW175" s="12">
        <f>'MODEL Product Introduction'!$J100-'MODEL Product Introduction'!$K100</f>
        <v>292093.26249999995</v>
      </c>
      <c r="FX175" s="12">
        <f>SUM('MODEL Product Introduction'!$C100:$F100)*10+'MODEL Product Introduction'!$I100*'MODEL Product Introduction'!$C100</f>
        <v>474972.7</v>
      </c>
      <c r="FY175" s="12">
        <f t="shared" si="23"/>
        <v>-182879.43750000006</v>
      </c>
      <c r="FZ175" s="12">
        <f>'MODEL Product Introduction'!$N100+'MODEL Product Introduction'!$O99</f>
        <v>749051.3125</v>
      </c>
    </row>
    <row r="176" spans="1:182" ht="13.5" thickBot="1">
      <c r="CL176" s="814">
        <f t="shared" si="15"/>
        <v>1.4999999999999999E-2</v>
      </c>
      <c r="CM176" s="814">
        <f t="shared" ref="CM176:CM239" si="24">IFERROR(IF(AND(ABS(FB176-FP176)&lt;100,FP176&lt;&gt;0),0.015,0),0)</f>
        <v>0</v>
      </c>
      <c r="CN176" s="814">
        <f t="shared" ref="CN176" si="25">IFERROR(IF(AND(ABS(FC176-FQ176)&lt;100,FC176&lt;&gt;0),0.015,0),0)</f>
        <v>1.4999999999999999E-2</v>
      </c>
      <c r="CO176" s="814"/>
      <c r="CP176" s="814"/>
      <c r="CQ176" s="814">
        <f t="shared" si="16"/>
        <v>1.4999999999999999E-2</v>
      </c>
      <c r="CR176" s="814">
        <f t="shared" si="17"/>
        <v>0</v>
      </c>
      <c r="CS176" s="814">
        <f t="shared" si="18"/>
        <v>0</v>
      </c>
      <c r="CT176" s="814">
        <f t="shared" si="19"/>
        <v>1.4999999999999999E-2</v>
      </c>
      <c r="CU176" s="814">
        <f t="shared" si="20"/>
        <v>0</v>
      </c>
      <c r="CV176" s="814">
        <f t="shared" si="21"/>
        <v>0</v>
      </c>
      <c r="CW176" s="814">
        <f t="shared" si="22"/>
        <v>1.4999999999999999E-2</v>
      </c>
      <c r="CX176" s="814"/>
      <c r="FA176" s="763">
        <f>'MODEL Product Introduction'!D101</f>
        <v>2642.0589999999997</v>
      </c>
      <c r="FB176" s="763">
        <f>'MODEL Product Introduction'!E101</f>
        <v>3396.933</v>
      </c>
      <c r="FC176" s="763">
        <f>'MODEL Product Introduction'!F101</f>
        <v>3195.1350000000002</v>
      </c>
      <c r="FF176" s="763">
        <f>'MODEL Product Introduction'!I101</f>
        <v>100</v>
      </c>
      <c r="FG176" s="763">
        <f>'MODEL Product Introduction'!J101</f>
        <v>1190469.4638749999</v>
      </c>
      <c r="FH176" s="763">
        <f>'MODEL Product Introduction'!K101</f>
        <v>923412.70000000007</v>
      </c>
      <c r="FI176" s="763">
        <f>'MODEL Product Introduction'!L101</f>
        <v>267056.76387499983</v>
      </c>
      <c r="FJ176" s="763">
        <f>'MODEL Product Introduction'!M101</f>
        <v>130862.40700000001</v>
      </c>
      <c r="FK176" s="763">
        <f>'MODEL Product Introduction'!N101</f>
        <v>136194.35687499982</v>
      </c>
      <c r="FL176" s="763">
        <f>'MODEL Product Introduction'!O101</f>
        <v>885245.66937499982</v>
      </c>
      <c r="FO176" s="5">
        <f>'MODEL Product Introduction'!$C100*(1-'MODEL Product Introduction'!$E$92)</f>
        <v>2642.0589999999997</v>
      </c>
      <c r="FP176" s="5">
        <f>'MODEL Product Introduction'!$D100*(1-'MODEL Product Introduction'!$F$92)</f>
        <v>2354.31</v>
      </c>
      <c r="FQ176" s="5">
        <f>('MODEL Product Introduction'!$E100+'MODEL Product Introduction'!$F100)*(1-'MODEL Product Introduction'!$G$92)</f>
        <v>3195.1350000000002</v>
      </c>
      <c r="FR176" s="605"/>
      <c r="FS176" s="606"/>
      <c r="FT176" s="12">
        <f>'MODEL Product Introduction'!$G101*(1+'MODEL Product Introduction'!$H101)</f>
        <v>100</v>
      </c>
      <c r="FU176" s="12">
        <f>SUMPRODUCT('MODEL Product Introduction'!$C101:$F101,'MODEL Product Introduction'!$D$90:$G$90)</f>
        <v>1138217.3284999998</v>
      </c>
      <c r="FV176" s="12">
        <f>SUMPRODUCT('MODEL Product Introduction'!$C101:$F101,'MODEL Product Introduction'!$D$91:$G$91)</f>
        <v>1304624.07</v>
      </c>
      <c r="FW176" s="12">
        <f>'MODEL Product Introduction'!$J101-'MODEL Product Introduction'!$K101</f>
        <v>267056.76387499983</v>
      </c>
      <c r="FX176" s="12">
        <f>SUM('MODEL Product Introduction'!$C101:$F101)*10+'MODEL Product Introduction'!$I101*'MODEL Product Introduction'!$C101</f>
        <v>511673.777</v>
      </c>
      <c r="FY176" s="12">
        <f t="shared" si="23"/>
        <v>-244617.01312500017</v>
      </c>
      <c r="FZ176" s="12">
        <f>'MODEL Product Introduction'!$N101+'MODEL Product Introduction'!$O100</f>
        <v>885245.66937499982</v>
      </c>
    </row>
    <row r="177" spans="90:182" ht="13.5" thickBot="1">
      <c r="CL177" s="814">
        <f t="shared" si="15"/>
        <v>1.4999999999999999E-2</v>
      </c>
      <c r="CM177" s="814">
        <f t="shared" si="24"/>
        <v>0</v>
      </c>
      <c r="CN177" s="814">
        <f t="shared" ref="CN177:CN240" si="26">IFERROR(IF(AND(ABS(FC177-FQ177)&lt;100,FC177&lt;&gt;0),0.015,0),0)</f>
        <v>1.4999999999999999E-2</v>
      </c>
      <c r="CO177" s="814"/>
      <c r="CP177" s="814"/>
      <c r="CQ177" s="814">
        <f t="shared" si="16"/>
        <v>1.4999999999999999E-2</v>
      </c>
      <c r="CR177" s="814">
        <f t="shared" si="17"/>
        <v>0</v>
      </c>
      <c r="CS177" s="814">
        <f t="shared" si="18"/>
        <v>0</v>
      </c>
      <c r="CT177" s="814">
        <f t="shared" si="19"/>
        <v>1.4999999999999999E-2</v>
      </c>
      <c r="CU177" s="814">
        <f t="shared" si="20"/>
        <v>0</v>
      </c>
      <c r="CV177" s="814">
        <f t="shared" si="21"/>
        <v>0</v>
      </c>
      <c r="CW177" s="814">
        <f t="shared" si="22"/>
        <v>1.4999999999999999E-2</v>
      </c>
      <c r="CX177" s="814"/>
      <c r="FA177" s="763">
        <f>'MODEL Product Introduction'!D102</f>
        <v>2668.4795899999999</v>
      </c>
      <c r="FB177" s="763">
        <f>'MODEL Product Introduction'!E102</f>
        <v>3430.9023299999999</v>
      </c>
      <c r="FC177" s="763">
        <f>'MODEL Product Introduction'!F102</f>
        <v>6262.4646000000002</v>
      </c>
      <c r="FF177" s="763">
        <f>'MODEL Product Introduction'!I102</f>
        <v>100</v>
      </c>
      <c r="FG177" s="763">
        <f>'MODEL Product Introduction'!J102</f>
        <v>1479352.42382625</v>
      </c>
      <c r="FH177" s="763">
        <f>'MODEL Product Introduction'!K102</f>
        <v>1236184.652</v>
      </c>
      <c r="FI177" s="763">
        <f>'MODEL Product Introduction'!L102</f>
        <v>243167.77182625001</v>
      </c>
      <c r="FJ177" s="763">
        <f>'MODEL Product Introduction'!M102</f>
        <v>162520.81357</v>
      </c>
      <c r="FK177" s="763">
        <f>'MODEL Product Introduction'!N102</f>
        <v>80646.958256250015</v>
      </c>
      <c r="FL177" s="763">
        <f>'MODEL Product Introduction'!O102</f>
        <v>965892.62763124984</v>
      </c>
      <c r="FO177" s="5">
        <f>'MODEL Product Introduction'!$C101*(1-'MODEL Product Introduction'!$E$92)</f>
        <v>2668.4795899999999</v>
      </c>
      <c r="FP177" s="5">
        <f>'MODEL Product Introduction'!$D101*(1-'MODEL Product Introduction'!$F$92)</f>
        <v>2377.8530999999998</v>
      </c>
      <c r="FQ177" s="5">
        <f>('MODEL Product Introduction'!$E101+'MODEL Product Introduction'!$F101)*(1-'MODEL Product Introduction'!$G$92)</f>
        <v>6262.4646000000002</v>
      </c>
      <c r="FR177" s="605"/>
      <c r="FS177" s="606"/>
      <c r="FT177" s="12">
        <f>'MODEL Product Introduction'!$G102*(1+'MODEL Product Introduction'!$H102)</f>
        <v>100</v>
      </c>
      <c r="FU177" s="12">
        <f>SUMPRODUCT('MODEL Product Introduction'!$C102:$F102,'MODEL Product Introduction'!$D$90:$G$90)</f>
        <v>1574552.4567849999</v>
      </c>
      <c r="FV177" s="12">
        <f>SUMPRODUCT('MODEL Product Introduction'!$C102:$F102,'MODEL Product Introduction'!$D$91:$G$91)</f>
        <v>1621208.1357</v>
      </c>
      <c r="FW177" s="12">
        <f>'MODEL Product Introduction'!$J102-'MODEL Product Introduction'!$K102</f>
        <v>243167.77182625001</v>
      </c>
      <c r="FX177" s="12">
        <f>SUM('MODEL Product Introduction'!$C102:$F102)*10+'MODEL Product Introduction'!$I102*'MODEL Product Introduction'!$C102</f>
        <v>547144.29726999998</v>
      </c>
      <c r="FY177" s="12">
        <f t="shared" si="23"/>
        <v>-303976.52544374997</v>
      </c>
      <c r="FZ177" s="12">
        <f>'MODEL Product Introduction'!$N102+'MODEL Product Introduction'!$O101</f>
        <v>965892.62763124984</v>
      </c>
    </row>
    <row r="178" spans="90:182" ht="13.5" thickBot="1">
      <c r="CL178" s="814">
        <f t="shared" si="15"/>
        <v>1.4999999999999999E-2</v>
      </c>
      <c r="CM178" s="814">
        <f t="shared" si="24"/>
        <v>0</v>
      </c>
      <c r="CN178" s="814">
        <f t="shared" si="26"/>
        <v>1.4999999999999999E-2</v>
      </c>
      <c r="CO178" s="814"/>
      <c r="CP178" s="814"/>
      <c r="CQ178" s="814">
        <f t="shared" si="16"/>
        <v>1.4999999999999999E-2</v>
      </c>
      <c r="CR178" s="814">
        <f t="shared" si="17"/>
        <v>0</v>
      </c>
      <c r="CS178" s="814">
        <f t="shared" si="18"/>
        <v>0</v>
      </c>
      <c r="CT178" s="814">
        <f t="shared" si="19"/>
        <v>1.4999999999999999E-2</v>
      </c>
      <c r="CU178" s="814">
        <f t="shared" si="20"/>
        <v>0</v>
      </c>
      <c r="CV178" s="814">
        <f t="shared" si="21"/>
        <v>0</v>
      </c>
      <c r="CW178" s="814">
        <f t="shared" si="22"/>
        <v>1.4999999999999999E-2</v>
      </c>
      <c r="CX178" s="814"/>
      <c r="FA178" s="763">
        <f>'MODEL Product Introduction'!D103</f>
        <v>2695.1643858999996</v>
      </c>
      <c r="FB178" s="763">
        <f>'MODEL Product Introduction'!E103</f>
        <v>3465.2113533000002</v>
      </c>
      <c r="FC178" s="763">
        <f>'MODEL Product Introduction'!F103</f>
        <v>9208.6985834999996</v>
      </c>
      <c r="FF178" s="763">
        <f>'MODEL Product Introduction'!I103</f>
        <v>100</v>
      </c>
      <c r="FG178" s="763">
        <f>'MODEL Product Introduction'!J103</f>
        <v>1757275.3001113874</v>
      </c>
      <c r="FH178" s="763">
        <f>'MODEL Product Introduction'!K103</f>
        <v>1536907.4322699998</v>
      </c>
      <c r="FI178" s="763">
        <f>'MODEL Product Introduction'!L103</f>
        <v>220367.86784138763</v>
      </c>
      <c r="FJ178" s="763">
        <f>'MODEL Product Introduction'!M103</f>
        <v>192978.11508070002</v>
      </c>
      <c r="FK178" s="763">
        <f>'MODEL Product Introduction'!N103</f>
        <v>27389.75276068761</v>
      </c>
      <c r="FL178" s="763">
        <f>'MODEL Product Introduction'!O103</f>
        <v>993282.38039193745</v>
      </c>
      <c r="FO178" s="5">
        <f>'MODEL Product Introduction'!$C102*(1-'MODEL Product Introduction'!$E$92)</f>
        <v>2695.1643858999996</v>
      </c>
      <c r="FP178" s="5">
        <f>'MODEL Product Introduction'!$D102*(1-'MODEL Product Introduction'!$F$92)</f>
        <v>2401.6316310000002</v>
      </c>
      <c r="FQ178" s="5">
        <f>('MODEL Product Introduction'!$E102+'MODEL Product Introduction'!$F102)*(1-'MODEL Product Introduction'!$G$92)</f>
        <v>9208.6985834999996</v>
      </c>
      <c r="FR178" s="605"/>
      <c r="FS178" s="606"/>
      <c r="FT178" s="12">
        <f>'MODEL Product Introduction'!$G103*(1+'MODEL Product Introduction'!$H103)</f>
        <v>100</v>
      </c>
      <c r="FU178" s="12">
        <f>SUMPRODUCT('MODEL Product Introduction'!$C103:$F103,'MODEL Product Introduction'!$D$90:$G$90)</f>
        <v>1994003.2886028499</v>
      </c>
      <c r="FV178" s="12">
        <f>SUMPRODUCT('MODEL Product Introduction'!$C103:$F103,'MODEL Product Introduction'!$D$91:$G$91)</f>
        <v>1925781.1508069998</v>
      </c>
      <c r="FW178" s="12">
        <f>'MODEL Product Introduction'!$J103-'MODEL Product Introduction'!$K103</f>
        <v>220367.86784138763</v>
      </c>
      <c r="FX178" s="12">
        <f>SUM('MODEL Product Introduction'!$C103:$F103)*10+'MODEL Product Introduction'!$I103*'MODEL Product Introduction'!$C103</f>
        <v>581451.83361770003</v>
      </c>
      <c r="FY178" s="12">
        <f t="shared" si="23"/>
        <v>-361083.9657763124</v>
      </c>
      <c r="FZ178" s="12">
        <f>'MODEL Product Introduction'!$N103+'MODEL Product Introduction'!$O102</f>
        <v>993282.38039193745</v>
      </c>
    </row>
    <row r="179" spans="90:182" ht="13.5" thickBot="1">
      <c r="CL179" s="814">
        <f t="shared" si="15"/>
        <v>1.4999999999999999E-2</v>
      </c>
      <c r="CM179" s="814">
        <f t="shared" si="24"/>
        <v>0</v>
      </c>
      <c r="CN179" s="814">
        <f t="shared" si="26"/>
        <v>1.4999999999999999E-2</v>
      </c>
      <c r="CO179" s="814"/>
      <c r="CP179" s="814"/>
      <c r="CQ179" s="814">
        <f t="shared" si="16"/>
        <v>1.4999999999999999E-2</v>
      </c>
      <c r="CR179" s="814">
        <f t="shared" si="17"/>
        <v>0</v>
      </c>
      <c r="CS179" s="814">
        <f t="shared" si="18"/>
        <v>0</v>
      </c>
      <c r="CT179" s="814">
        <f t="shared" si="19"/>
        <v>1.4999999999999999E-2</v>
      </c>
      <c r="CU179" s="814">
        <f t="shared" si="20"/>
        <v>0</v>
      </c>
      <c r="CV179" s="814">
        <f t="shared" si="21"/>
        <v>0</v>
      </c>
      <c r="CW179" s="814">
        <f t="shared" si="22"/>
        <v>1.4999999999999999E-2</v>
      </c>
      <c r="CX179" s="814"/>
      <c r="FA179" s="763">
        <f>'MODEL Product Introduction'!D104</f>
        <v>2722.116029759</v>
      </c>
      <c r="FB179" s="763">
        <f>'MODEL Product Introduction'!E104</f>
        <v>3499.8634668330001</v>
      </c>
      <c r="FC179" s="763">
        <f>'MODEL Product Introduction'!F104</f>
        <v>12040.214439959998</v>
      </c>
      <c r="FF179" s="763">
        <f>'MODEL Product Introduction'!I104</f>
        <v>100</v>
      </c>
      <c r="FG179" s="763">
        <f>'MODEL Product Introduction'!J104</f>
        <v>2024820.9375570323</v>
      </c>
      <c r="FH179" s="763">
        <f>'MODEL Product Introduction'!K104</f>
        <v>1826219.3936551998</v>
      </c>
      <c r="FI179" s="763">
        <f>'MODEL Product Introduction'!L104</f>
        <v>198601.54390183254</v>
      </c>
      <c r="FJ179" s="763">
        <f>'MODEL Product Introduction'!M104</f>
        <v>222298.18493775697</v>
      </c>
      <c r="FK179" s="763">
        <f>'MODEL Product Introduction'!N104</f>
        <v>-23696.641035924433</v>
      </c>
      <c r="FL179" s="763">
        <f>'MODEL Product Introduction'!O104</f>
        <v>969585.73935601301</v>
      </c>
      <c r="FO179" s="5">
        <f>'MODEL Product Introduction'!$C103*(1-'MODEL Product Introduction'!$E$92)</f>
        <v>2722.116029759</v>
      </c>
      <c r="FP179" s="5">
        <f>'MODEL Product Introduction'!$D103*(1-'MODEL Product Introduction'!$F$92)</f>
        <v>2425.6479473099998</v>
      </c>
      <c r="FQ179" s="5">
        <f>('MODEL Product Introduction'!$E103+'MODEL Product Introduction'!$F103)*(1-'MODEL Product Introduction'!$G$92)</f>
        <v>12040.214439959998</v>
      </c>
      <c r="FR179" s="605"/>
      <c r="FS179" s="606"/>
      <c r="FT179" s="12">
        <f>'MODEL Product Introduction'!$G104*(1+'MODEL Product Introduction'!$H104)</f>
        <v>100</v>
      </c>
      <c r="FU179" s="12">
        <f>SUMPRODUCT('MODEL Product Introduction'!$C104:$F104,'MODEL Product Introduction'!$D$90:$G$90)</f>
        <v>2397463.3633763781</v>
      </c>
      <c r="FV179" s="12">
        <f>SUMPRODUCT('MODEL Product Introduction'!$C104:$F104,'MODEL Product Introduction'!$D$91:$G$91)</f>
        <v>2218981.8493775697</v>
      </c>
      <c r="FW179" s="12">
        <f>'MODEL Product Introduction'!$J104-'MODEL Product Introduction'!$K104</f>
        <v>198601.54390183254</v>
      </c>
      <c r="FX179" s="12">
        <f>SUM('MODEL Product Introduction'!$C104:$F104)*10+'MODEL Product Introduction'!$I104*'MODEL Product Introduction'!$C104</f>
        <v>614660.64066012693</v>
      </c>
      <c r="FY179" s="12">
        <f t="shared" si="23"/>
        <v>-416059.09675829438</v>
      </c>
      <c r="FZ179" s="12">
        <f>'MODEL Product Introduction'!$N104+'MODEL Product Introduction'!$O103</f>
        <v>969585.73935601301</v>
      </c>
    </row>
    <row r="180" spans="90:182" ht="13.5" thickBot="1">
      <c r="CL180" s="814">
        <f t="shared" si="15"/>
        <v>1.4999999999999999E-2</v>
      </c>
      <c r="CM180" s="814">
        <f t="shared" si="24"/>
        <v>0</v>
      </c>
      <c r="CN180" s="814">
        <f t="shared" si="26"/>
        <v>1.4999999999999999E-2</v>
      </c>
      <c r="CO180" s="814"/>
      <c r="CP180" s="814"/>
      <c r="CQ180" s="814">
        <f t="shared" si="16"/>
        <v>1.4999999999999999E-2</v>
      </c>
      <c r="CR180" s="814">
        <f t="shared" si="17"/>
        <v>0</v>
      </c>
      <c r="CS180" s="814">
        <f t="shared" si="18"/>
        <v>0</v>
      </c>
      <c r="CT180" s="814">
        <f t="shared" si="19"/>
        <v>1.4999999999999999E-2</v>
      </c>
      <c r="CU180" s="814">
        <f t="shared" si="20"/>
        <v>0</v>
      </c>
      <c r="CV180" s="814">
        <f t="shared" si="21"/>
        <v>0</v>
      </c>
      <c r="CW180" s="814">
        <f t="shared" si="22"/>
        <v>1.4999999999999999E-2</v>
      </c>
      <c r="CX180" s="814"/>
      <c r="FA180" s="763">
        <f>'MODEL Product Introduction'!D105</f>
        <v>2749.3371900565899</v>
      </c>
      <c r="FB180" s="763">
        <f>'MODEL Product Introduction'!E105</f>
        <v>3534.8621015013305</v>
      </c>
      <c r="FC180" s="763">
        <f>'MODEL Product Introduction'!F105</f>
        <v>14763.074011453347</v>
      </c>
      <c r="FF180" s="763">
        <f>'MODEL Product Introduction'!I105</f>
        <v>100</v>
      </c>
      <c r="FG180" s="763">
        <f>'MODEL Product Introduction'!J105</f>
        <v>2282543.3871549079</v>
      </c>
      <c r="FH180" s="763">
        <f>'MODEL Product Introduction'!K105</f>
        <v>2104727.3303011269</v>
      </c>
      <c r="FI180" s="763">
        <f>'MODEL Product Introduction'!L105</f>
        <v>177816.05685378099</v>
      </c>
      <c r="FJ180" s="763">
        <f>'MODEL Product Introduction'!M105</f>
        <v>250541.74105807208</v>
      </c>
      <c r="FK180" s="763">
        <f>'MODEL Product Introduction'!N105</f>
        <v>-72725.684204291087</v>
      </c>
      <c r="FL180" s="763">
        <f>'MODEL Product Introduction'!O105</f>
        <v>896860.05515172193</v>
      </c>
      <c r="FO180" s="5">
        <f>'MODEL Product Introduction'!$C104*(1-'MODEL Product Introduction'!$E$92)</f>
        <v>2749.3371900565899</v>
      </c>
      <c r="FP180" s="5">
        <f>'MODEL Product Introduction'!$D104*(1-'MODEL Product Introduction'!$F$92)</f>
        <v>2449.9044267831</v>
      </c>
      <c r="FQ180" s="5">
        <f>('MODEL Product Introduction'!$E104+'MODEL Product Introduction'!$F104)*(1-'MODEL Product Introduction'!$G$92)</f>
        <v>14763.074011453347</v>
      </c>
      <c r="FR180" s="605"/>
      <c r="FS180" s="606"/>
      <c r="FT180" s="12">
        <f>'MODEL Product Introduction'!$G105*(1+'MODEL Product Introduction'!$H105)</f>
        <v>100</v>
      </c>
      <c r="FU180" s="12">
        <f>SUMPRODUCT('MODEL Product Introduction'!$C105:$F105,'MODEL Product Introduction'!$D$90:$G$90)</f>
        <v>2785782.036803267</v>
      </c>
      <c r="FV180" s="12">
        <f>SUMPRODUCT('MODEL Product Introduction'!$C105:$F105,'MODEL Product Introduction'!$D$91:$G$91)</f>
        <v>2501417.4105807208</v>
      </c>
      <c r="FW180" s="12">
        <f>'MODEL Product Introduction'!$J105-'MODEL Product Introduction'!$K105</f>
        <v>177816.05685378099</v>
      </c>
      <c r="FX180" s="12">
        <f>SUM('MODEL Product Introduction'!$C105:$F105)*10+'MODEL Product Introduction'!$I105*'MODEL Product Introduction'!$C105</f>
        <v>646831.8213376659</v>
      </c>
      <c r="FY180" s="12">
        <f t="shared" si="23"/>
        <v>-469015.76448388491</v>
      </c>
      <c r="FZ180" s="12">
        <f>'MODEL Product Introduction'!$N105+'MODEL Product Introduction'!$O104</f>
        <v>896860.05515172193</v>
      </c>
    </row>
    <row r="181" spans="90:182" ht="13.5" thickBot="1">
      <c r="CL181" s="814">
        <f t="shared" si="15"/>
        <v>1.4999999999999999E-2</v>
      </c>
      <c r="CM181" s="814">
        <f t="shared" si="24"/>
        <v>0</v>
      </c>
      <c r="CN181" s="814">
        <f t="shared" si="26"/>
        <v>1.4999999999999999E-2</v>
      </c>
      <c r="CO181" s="814"/>
      <c r="CP181" s="814"/>
      <c r="CQ181" s="814">
        <f t="shared" si="16"/>
        <v>1.4999999999999999E-2</v>
      </c>
      <c r="CR181" s="814">
        <f t="shared" si="17"/>
        <v>0</v>
      </c>
      <c r="CS181" s="814">
        <f t="shared" si="18"/>
        <v>0</v>
      </c>
      <c r="CT181" s="814">
        <f t="shared" si="19"/>
        <v>1.4999999999999999E-2</v>
      </c>
      <c r="CU181" s="814">
        <f t="shared" si="20"/>
        <v>0</v>
      </c>
      <c r="CV181" s="814">
        <f t="shared" si="21"/>
        <v>0</v>
      </c>
      <c r="CW181" s="814">
        <f t="shared" si="22"/>
        <v>1.4999999999999999E-2</v>
      </c>
      <c r="CX181" s="814"/>
      <c r="FA181" s="763">
        <f>'MODEL Product Introduction'!D106</f>
        <v>2776.8305619571561</v>
      </c>
      <c r="FB181" s="763">
        <f>'MODEL Product Introduction'!E106</f>
        <v>3570.210722516344</v>
      </c>
      <c r="FC181" s="763">
        <f>'MODEL Product Introduction'!F106</f>
        <v>17383.039307306943</v>
      </c>
      <c r="FF181" s="763">
        <f>'MODEL Product Introduction'!I106</f>
        <v>100</v>
      </c>
      <c r="FG181" s="763">
        <f>'MODEL Product Introduction'!J106</f>
        <v>2530969.349237646</v>
      </c>
      <c r="FH181" s="763">
        <f>'MODEL Product Introduction'!K106</f>
        <v>2373008.0591780441</v>
      </c>
      <c r="FI181" s="763">
        <f>'MODEL Product Introduction'!L106</f>
        <v>157961.29005960189</v>
      </c>
      <c r="FJ181" s="763">
        <f>'MODEL Product Introduction'!M106</f>
        <v>277766.5040260434</v>
      </c>
      <c r="FK181" s="763">
        <f>'MODEL Product Introduction'!N106</f>
        <v>-119805.21396644152</v>
      </c>
      <c r="FL181" s="763">
        <f>'MODEL Product Introduction'!O106</f>
        <v>777054.84118528035</v>
      </c>
      <c r="FO181" s="5">
        <f>'MODEL Product Introduction'!$C105*(1-'MODEL Product Introduction'!$E$92)</f>
        <v>2776.8305619571561</v>
      </c>
      <c r="FP181" s="5">
        <f>'MODEL Product Introduction'!$D105*(1-'MODEL Product Introduction'!$F$92)</f>
        <v>2474.4034710509309</v>
      </c>
      <c r="FQ181" s="5">
        <f>('MODEL Product Introduction'!$E105+'MODEL Product Introduction'!$F105)*(1-'MODEL Product Introduction'!$G$92)</f>
        <v>17383.039307306943</v>
      </c>
      <c r="FR181" s="605"/>
      <c r="FS181" s="606"/>
      <c r="FT181" s="12">
        <f>'MODEL Product Introduction'!$G106*(1+'MODEL Product Introduction'!$H106)</f>
        <v>100</v>
      </c>
      <c r="FU181" s="12">
        <f>SUMPRODUCT('MODEL Product Introduction'!$C106:$F106,'MODEL Product Introduction'!$D$90:$G$90)</f>
        <v>3159766.6949747684</v>
      </c>
      <c r="FV181" s="12">
        <f>SUMPRODUCT('MODEL Product Introduction'!$C106:$F106,'MODEL Product Introduction'!$D$91:$G$91)</f>
        <v>2773665.0402604342</v>
      </c>
      <c r="FW181" s="12">
        <f>'MODEL Product Introduction'!$J106-'MODEL Product Introduction'!$K106</f>
        <v>157961.29005960189</v>
      </c>
      <c r="FX181" s="12">
        <f>SUM('MODEL Product Introduction'!$C106:$F106)*10+'MODEL Product Introduction'!$I106*'MODEL Product Introduction'!$C106</f>
        <v>678023.48510843306</v>
      </c>
      <c r="FY181" s="12">
        <f t="shared" si="23"/>
        <v>-520062.19504883117</v>
      </c>
      <c r="FZ181" s="12">
        <f>'MODEL Product Introduction'!$N106+'MODEL Product Introduction'!$O105</f>
        <v>777054.84118528035</v>
      </c>
    </row>
    <row r="182" spans="90:182" ht="13.5" thickBot="1">
      <c r="CL182" s="814">
        <f t="shared" si="15"/>
        <v>1.4999999999999999E-2</v>
      </c>
      <c r="CM182" s="814">
        <f t="shared" si="24"/>
        <v>0</v>
      </c>
      <c r="CN182" s="814">
        <f t="shared" si="26"/>
        <v>1.4999999999999999E-2</v>
      </c>
      <c r="CO182" s="814"/>
      <c r="CP182" s="814"/>
      <c r="CQ182" s="814">
        <f t="shared" si="16"/>
        <v>1.4999999999999999E-2</v>
      </c>
      <c r="CR182" s="814">
        <f t="shared" si="17"/>
        <v>0</v>
      </c>
      <c r="CS182" s="814">
        <f t="shared" si="18"/>
        <v>0</v>
      </c>
      <c r="CT182" s="814">
        <f t="shared" si="19"/>
        <v>1.4999999999999999E-2</v>
      </c>
      <c r="CU182" s="814">
        <f t="shared" si="20"/>
        <v>0</v>
      </c>
      <c r="CV182" s="814">
        <f t="shared" si="21"/>
        <v>0</v>
      </c>
      <c r="CW182" s="814">
        <f t="shared" si="22"/>
        <v>1.4999999999999999E-2</v>
      </c>
      <c r="CX182" s="814"/>
      <c r="FA182" s="763">
        <f>'MODEL Product Introduction'!D107</f>
        <v>2804.598867576728</v>
      </c>
      <c r="FB182" s="763">
        <f>'MODEL Product Introduction'!E107</f>
        <v>3605.9128297415073</v>
      </c>
      <c r="FC182" s="763">
        <f>'MODEL Product Introduction'!F107</f>
        <v>19905.587528332122</v>
      </c>
      <c r="FF182" s="763">
        <f>'MODEL Product Introduction'!I107</f>
        <v>110</v>
      </c>
      <c r="FG182" s="763">
        <f>'MODEL Product Introduction'!J107</f>
        <v>2770599.5445306525</v>
      </c>
      <c r="FH182" s="763">
        <f>'MODEL Product Introduction'!K107</f>
        <v>2631609.922565036</v>
      </c>
      <c r="FI182" s="763">
        <f>'MODEL Product Introduction'!L107</f>
        <v>138989.62196561648</v>
      </c>
      <c r="FJ182" s="763">
        <f>'MODEL Product Introduction'!M107</f>
        <v>304067.34734582494</v>
      </c>
      <c r="FK182" s="763">
        <f>'MODEL Product Introduction'!N107</f>
        <v>-165077.72538020846</v>
      </c>
      <c r="FL182" s="763">
        <f>'MODEL Product Introduction'!O107</f>
        <v>611977.1158050719</v>
      </c>
      <c r="FO182" s="5">
        <f>'MODEL Product Introduction'!$C106*(1-'MODEL Product Introduction'!$E$92)</f>
        <v>2804.598867576728</v>
      </c>
      <c r="FP182" s="5">
        <f>'MODEL Product Introduction'!$D106*(1-'MODEL Product Introduction'!$F$92)</f>
        <v>2499.1475057614407</v>
      </c>
      <c r="FQ182" s="5">
        <f>('MODEL Product Introduction'!$E106+'MODEL Product Introduction'!$F106)*(1-'MODEL Product Introduction'!$G$92)</f>
        <v>19905.587528332122</v>
      </c>
      <c r="FR182" s="605"/>
      <c r="FS182" s="606"/>
      <c r="FT182" s="12">
        <f>'MODEL Product Introduction'!$G107*(1+'MODEL Product Introduction'!$H107)</f>
        <v>110</v>
      </c>
      <c r="FU182" s="12">
        <f>SUMPRODUCT('MODEL Product Introduction'!$C107:$F107,'MODEL Product Introduction'!$D$90:$G$90)</f>
        <v>3520184.8578378116</v>
      </c>
      <c r="FV182" s="12">
        <f>SUMPRODUCT('MODEL Product Introduction'!$C107:$F107,'MODEL Product Introduction'!$D$91:$G$91)</f>
        <v>3036273.4734582491</v>
      </c>
      <c r="FW182" s="12">
        <f>'MODEL Product Introduction'!$J107-'MODEL Product Introduction'!$K107</f>
        <v>138989.62196561648</v>
      </c>
      <c r="FX182" s="12">
        <f>SUM('MODEL Product Introduction'!$C107:$F107)*10+'MODEL Product Introduction'!$I107*'MODEL Product Introduction'!$C107</f>
        <v>748757.25332835992</v>
      </c>
      <c r="FY182" s="12">
        <f t="shared" si="23"/>
        <v>-609767.63136274344</v>
      </c>
      <c r="FZ182" s="12">
        <f>'MODEL Product Introduction'!$N107+'MODEL Product Introduction'!$O106</f>
        <v>611977.1158050719</v>
      </c>
    </row>
    <row r="183" spans="90:182" ht="13.5" thickBot="1">
      <c r="CL183" s="814">
        <f t="shared" si="15"/>
        <v>1.4999999999999999E-2</v>
      </c>
      <c r="CM183" s="814">
        <f t="shared" si="24"/>
        <v>0</v>
      </c>
      <c r="CN183" s="814">
        <f t="shared" si="26"/>
        <v>1.4999999999999999E-2</v>
      </c>
      <c r="CO183" s="814"/>
      <c r="CP183" s="814"/>
      <c r="CQ183" s="814">
        <f t="shared" si="16"/>
        <v>1.4999999999999999E-2</v>
      </c>
      <c r="CR183" s="814">
        <f t="shared" si="17"/>
        <v>0</v>
      </c>
      <c r="CS183" s="814">
        <f t="shared" si="18"/>
        <v>0</v>
      </c>
      <c r="CT183" s="814">
        <f t="shared" si="19"/>
        <v>1.4999999999999999E-2</v>
      </c>
      <c r="CU183" s="814">
        <f t="shared" si="20"/>
        <v>0</v>
      </c>
      <c r="CV183" s="814">
        <f t="shared" si="21"/>
        <v>0</v>
      </c>
      <c r="CW183" s="814">
        <f t="shared" si="22"/>
        <v>1.4999999999999999E-2</v>
      </c>
      <c r="CX183" s="814"/>
      <c r="FA183" s="763">
        <f>'MODEL Product Introduction'!D108</f>
        <v>2832.6448562524952</v>
      </c>
      <c r="FB183" s="763">
        <f>'MODEL Product Introduction'!E108</f>
        <v>3641.9719580389224</v>
      </c>
      <c r="FC183" s="763">
        <f>'MODEL Product Introduction'!F108</f>
        <v>22335.925340169946</v>
      </c>
      <c r="FF183" s="763">
        <f>'MODEL Product Introduction'!I108</f>
        <v>110</v>
      </c>
      <c r="FG183" s="763">
        <f>'MODEL Product Introduction'!J108</f>
        <v>3001910.0166865578</v>
      </c>
      <c r="FH183" s="763">
        <f>'MODEL Product Introduction'!K108</f>
        <v>2881054.2154461364</v>
      </c>
      <c r="FI183" s="763">
        <f>'MODEL Product Introduction'!L108</f>
        <v>120855.80124042137</v>
      </c>
      <c r="FJ183" s="763">
        <f>'MODEL Product Introduction'!M108</f>
        <v>329416.44018482824</v>
      </c>
      <c r="FK183" s="763">
        <f>'MODEL Product Introduction'!N108</f>
        <v>-208560.63894440688</v>
      </c>
      <c r="FL183" s="763">
        <f>'MODEL Product Introduction'!O108</f>
        <v>403416.47686066502</v>
      </c>
      <c r="FO183" s="5">
        <f>'MODEL Product Introduction'!$C107*(1-'MODEL Product Introduction'!$E$92)</f>
        <v>2832.6448562524952</v>
      </c>
      <c r="FP183" s="5">
        <f>'MODEL Product Introduction'!$D107*(1-'MODEL Product Introduction'!$F$92)</f>
        <v>2524.1389808190552</v>
      </c>
      <c r="FQ183" s="5">
        <f>('MODEL Product Introduction'!$E107+'MODEL Product Introduction'!$F107)*(1-'MODEL Product Introduction'!$G$92)</f>
        <v>22335.925340169946</v>
      </c>
      <c r="FR183" s="605"/>
      <c r="FS183" s="606"/>
      <c r="FT183" s="12">
        <f>'MODEL Product Introduction'!$G108*(1+'MODEL Product Introduction'!$H108)</f>
        <v>110</v>
      </c>
      <c r="FU183" s="12">
        <f>SUMPRODUCT('MODEL Product Introduction'!$C108:$F108,'MODEL Product Introduction'!$D$90:$G$90)</f>
        <v>3867766.1775338203</v>
      </c>
      <c r="FV183" s="12">
        <f>SUMPRODUCT('MODEL Product Introduction'!$C108:$F108,'MODEL Product Introduction'!$D$91:$G$91)</f>
        <v>3289764.4018482822</v>
      </c>
      <c r="FW183" s="12">
        <f>'MODEL Product Introduction'!$J108-'MODEL Product Introduction'!$K108</f>
        <v>120855.80124042137</v>
      </c>
      <c r="FX183" s="12">
        <f>SUM('MODEL Product Introduction'!$C108:$F108)*10+'MODEL Product Introduction'!$I108*'MODEL Product Introduction'!$C108</f>
        <v>778557.64522718848</v>
      </c>
      <c r="FY183" s="12">
        <f t="shared" si="23"/>
        <v>-657701.84398676711</v>
      </c>
      <c r="FZ183" s="12">
        <f>'MODEL Product Introduction'!$N108+'MODEL Product Introduction'!$O107</f>
        <v>403416.47686066502</v>
      </c>
    </row>
    <row r="184" spans="90:182" ht="13.5" thickBot="1">
      <c r="CL184" s="814">
        <f t="shared" si="15"/>
        <v>1.4999999999999999E-2</v>
      </c>
      <c r="CM184" s="814">
        <f t="shared" si="24"/>
        <v>0</v>
      </c>
      <c r="CN184" s="814">
        <f t="shared" si="26"/>
        <v>1.4999999999999999E-2</v>
      </c>
      <c r="CO184" s="814"/>
      <c r="CP184" s="814"/>
      <c r="CQ184" s="814">
        <f t="shared" si="16"/>
        <v>1.4999999999999999E-2</v>
      </c>
      <c r="CR184" s="814">
        <f t="shared" si="17"/>
        <v>0</v>
      </c>
      <c r="CS184" s="814">
        <f t="shared" si="18"/>
        <v>0</v>
      </c>
      <c r="CT184" s="814">
        <f t="shared" si="19"/>
        <v>1.4999999999999999E-2</v>
      </c>
      <c r="CU184" s="814">
        <f t="shared" si="20"/>
        <v>0</v>
      </c>
      <c r="CV184" s="814">
        <f t="shared" si="21"/>
        <v>0</v>
      </c>
      <c r="CW184" s="814">
        <f t="shared" si="22"/>
        <v>1.4999999999999999E-2</v>
      </c>
      <c r="CX184" s="814"/>
      <c r="FA184" s="763">
        <f>'MODEL Product Introduction'!D109</f>
        <v>2860.9713048150202</v>
      </c>
      <c r="FB184" s="763">
        <f>'MODEL Product Introduction'!E109</f>
        <v>3678.3916776193118</v>
      </c>
      <c r="FC184" s="763">
        <f>'MODEL Product Introduction'!F109</f>
        <v>24679.002433298421</v>
      </c>
      <c r="FF184" s="763">
        <f>'MODEL Product Introduction'!I109</f>
        <v>150</v>
      </c>
      <c r="FG184" s="763">
        <f>'MODEL Product Introduction'!J109</f>
        <v>3225353.3697284916</v>
      </c>
      <c r="FH184" s="763">
        <f>'MODEL Product Introduction'!K109</f>
        <v>3121836.5415732753</v>
      </c>
      <c r="FI184" s="763">
        <f>'MODEL Product Introduction'!L109</f>
        <v>103516.8281552163</v>
      </c>
      <c r="FJ184" s="763">
        <f>'MODEL Product Introduction'!M109</f>
        <v>354063.38298394426</v>
      </c>
      <c r="FK184" s="763">
        <f>'MODEL Product Introduction'!N109</f>
        <v>-250546.55482872797</v>
      </c>
      <c r="FL184" s="763">
        <f>'MODEL Product Introduction'!O109</f>
        <v>152869.92203193705</v>
      </c>
      <c r="FO184" s="5">
        <f>'MODEL Product Introduction'!$C108*(1-'MODEL Product Introduction'!$E$92)</f>
        <v>2860.9713048150202</v>
      </c>
      <c r="FP184" s="5">
        <f>'MODEL Product Introduction'!$D108*(1-'MODEL Product Introduction'!$F$92)</f>
        <v>2549.3803706272456</v>
      </c>
      <c r="FQ184" s="5">
        <f>('MODEL Product Introduction'!$E108+'MODEL Product Introduction'!$F108)*(1-'MODEL Product Introduction'!$G$92)</f>
        <v>24679.002433298421</v>
      </c>
      <c r="FR184" s="605"/>
      <c r="FS184" s="606"/>
      <c r="FT184" s="12">
        <f>'MODEL Product Introduction'!$G109*(1+'MODEL Product Introduction'!$H109)</f>
        <v>150</v>
      </c>
      <c r="FU184" s="12">
        <f>SUMPRODUCT('MODEL Product Introduction'!$C109:$F109,'MODEL Product Introduction'!$D$90:$G$90)</f>
        <v>4203204.3368709069</v>
      </c>
      <c r="FV184" s="12">
        <f>SUMPRODUCT('MODEL Product Introduction'!$C109:$F109,'MODEL Product Introduction'!$D$91:$G$91)</f>
        <v>3534633.8298394429</v>
      </c>
      <c r="FW184" s="12">
        <f>'MODEL Product Introduction'!$J109-'MODEL Product Introduction'!$K109</f>
        <v>103516.8281552163</v>
      </c>
      <c r="FX184" s="12">
        <f>SUM('MODEL Product Introduction'!$C109:$F109)*10+'MODEL Product Introduction'!$I109*'MODEL Product Introduction'!$C109</f>
        <v>972659.31538319506</v>
      </c>
      <c r="FY184" s="12">
        <f t="shared" si="23"/>
        <v>-869142.48722797877</v>
      </c>
      <c r="FZ184" s="12">
        <f>'MODEL Product Introduction'!$N109+'MODEL Product Introduction'!$O108</f>
        <v>152869.92203193705</v>
      </c>
    </row>
    <row r="185" spans="90:182" ht="13.5" thickBot="1">
      <c r="CL185" s="814">
        <f t="shared" si="15"/>
        <v>1.4999999999999999E-2</v>
      </c>
      <c r="CM185" s="814">
        <f t="shared" si="24"/>
        <v>0</v>
      </c>
      <c r="CN185" s="814">
        <f t="shared" si="26"/>
        <v>1.4999999999999999E-2</v>
      </c>
      <c r="CO185" s="814"/>
      <c r="CP185" s="814"/>
      <c r="CQ185" s="814">
        <f t="shared" si="16"/>
        <v>1.4999999999999999E-2</v>
      </c>
      <c r="CR185" s="814">
        <f t="shared" si="17"/>
        <v>0</v>
      </c>
      <c r="CS185" s="814">
        <f t="shared" si="18"/>
        <v>0</v>
      </c>
      <c r="CT185" s="814">
        <f t="shared" si="19"/>
        <v>1.4999999999999999E-2</v>
      </c>
      <c r="CU185" s="814">
        <f t="shared" si="20"/>
        <v>0</v>
      </c>
      <c r="CV185" s="814">
        <f t="shared" si="21"/>
        <v>0</v>
      </c>
      <c r="CW185" s="814">
        <f t="shared" si="22"/>
        <v>1.4999999999999999E-2</v>
      </c>
      <c r="CX185" s="814"/>
      <c r="FA185" s="763">
        <f>'MODEL Product Introduction'!D110</f>
        <v>2889.58101786317</v>
      </c>
      <c r="FB185" s="763">
        <f>'MODEL Product Introduction'!E110</f>
        <v>3715.175594395505</v>
      </c>
      <c r="FC185" s="763">
        <f>'MODEL Product Introduction'!F110</f>
        <v>26939.524405371845</v>
      </c>
      <c r="FF185" s="763">
        <f>'MODEL Product Introduction'!I110</f>
        <v>100</v>
      </c>
      <c r="FG185" s="763">
        <f>'MODEL Product Introduction'!J110</f>
        <v>3441359.9436570914</v>
      </c>
      <c r="FH185" s="763">
        <f>'MODEL Product Introduction'!K110</f>
        <v>3354428.1017630519</v>
      </c>
      <c r="FI185" s="763">
        <f>'MODEL Product Introduction'!L110</f>
        <v>86931.841894039419</v>
      </c>
      <c r="FJ185" s="763">
        <f>'MODEL Product Introduction'!M110</f>
        <v>377535.33629118808</v>
      </c>
      <c r="FK185" s="763">
        <f>'MODEL Product Introduction'!N110</f>
        <v>-290603.49439714866</v>
      </c>
      <c r="FL185" s="763">
        <f>'MODEL Product Introduction'!O110</f>
        <v>-137733.57236521161</v>
      </c>
      <c r="FO185" s="5">
        <f>'MODEL Product Introduction'!$C109*(1-'MODEL Product Introduction'!$E$92)</f>
        <v>2889.58101786317</v>
      </c>
      <c r="FP185" s="5">
        <f>'MODEL Product Introduction'!$D109*(1-'MODEL Product Introduction'!$F$92)</f>
        <v>2574.8741743335181</v>
      </c>
      <c r="FQ185" s="5">
        <f>('MODEL Product Introduction'!$E109+'MODEL Product Introduction'!$F109)*(1-'MODEL Product Introduction'!$G$92)</f>
        <v>26939.524405371845</v>
      </c>
      <c r="FR185" s="605"/>
      <c r="FS185" s="606"/>
      <c r="FT185" s="12">
        <f>'MODEL Product Introduction'!$G110*(1+'MODEL Product Introduction'!$H110)</f>
        <v>100</v>
      </c>
      <c r="FU185" s="12">
        <f>SUMPRODUCT('MODEL Product Introduction'!$C110:$F110,'MODEL Product Introduction'!$D$90:$G$90)</f>
        <v>4527158.8529232778</v>
      </c>
      <c r="FV185" s="12">
        <f>SUMPRODUCT('MODEL Product Introduction'!$C110:$F110,'MODEL Product Introduction'!$D$91:$G$91)</f>
        <v>3771353.3629118809</v>
      </c>
      <c r="FW185" s="12">
        <f>'MODEL Product Introduction'!$J110-'MODEL Product Introduction'!$K110</f>
        <v>86931.841894039419</v>
      </c>
      <c r="FX185" s="12">
        <f>SUM('MODEL Product Introduction'!$C110:$F110)*10+'MODEL Product Introduction'!$I110*'MODEL Product Introduction'!$C110</f>
        <v>794060.59744001692</v>
      </c>
      <c r="FY185" s="12">
        <f t="shared" si="23"/>
        <v>-707128.7555459775</v>
      </c>
      <c r="FZ185" s="12">
        <f>'MODEL Product Introduction'!$N110+'MODEL Product Introduction'!$O109</f>
        <v>-137733.57236521161</v>
      </c>
    </row>
    <row r="186" spans="90:182" ht="13.5" thickBot="1">
      <c r="CL186" s="814">
        <f t="shared" si="15"/>
        <v>1.4999999999999999E-2</v>
      </c>
      <c r="CM186" s="814">
        <f t="shared" si="24"/>
        <v>0</v>
      </c>
      <c r="CN186" s="814">
        <f t="shared" si="26"/>
        <v>1.4999999999999999E-2</v>
      </c>
      <c r="CO186" s="814"/>
      <c r="CP186" s="814"/>
      <c r="CQ186" s="814">
        <f t="shared" si="16"/>
        <v>1.4999999999999999E-2</v>
      </c>
      <c r="CR186" s="814">
        <f t="shared" si="17"/>
        <v>0</v>
      </c>
      <c r="CS186" s="814">
        <f t="shared" si="18"/>
        <v>0</v>
      </c>
      <c r="CT186" s="814">
        <f t="shared" si="19"/>
        <v>1.4999999999999999E-2</v>
      </c>
      <c r="CU186" s="814">
        <f t="shared" si="20"/>
        <v>0</v>
      </c>
      <c r="CV186" s="814">
        <f t="shared" si="21"/>
        <v>0</v>
      </c>
      <c r="CW186" s="814">
        <f t="shared" si="22"/>
        <v>1.4999999999999999E-2</v>
      </c>
      <c r="CX186" s="814"/>
      <c r="FA186" s="763">
        <f>'MODEL Product Introduction'!D111</f>
        <v>2918.4768280418016</v>
      </c>
      <c r="FB186" s="763">
        <f>'MODEL Product Introduction'!E111</f>
        <v>3752.3273503394598</v>
      </c>
      <c r="FC186" s="763">
        <f>'MODEL Product Introduction'!F111</f>
        <v>29121.964999778978</v>
      </c>
      <c r="FF186" s="763">
        <f>'MODEL Product Introduction'!I111</f>
        <v>100</v>
      </c>
      <c r="FG186" s="763">
        <f>'MODEL Product Introduction'!J111</f>
        <v>3650338.9313134113</v>
      </c>
      <c r="FH186" s="763">
        <f>'MODEL Product Introduction'!K111</f>
        <v>3579276.9178160243</v>
      </c>
      <c r="FI186" s="763">
        <f>'MODEL Product Introduction'!L111</f>
        <v>71062.013497387059</v>
      </c>
      <c r="FJ186" s="763">
        <f>'MODEL Product Introduction'!M111</f>
        <v>400437.14315763413</v>
      </c>
      <c r="FK186" s="763">
        <f>'MODEL Product Introduction'!N111</f>
        <v>-329375.12966024707</v>
      </c>
      <c r="FL186" s="763">
        <f>'MODEL Product Introduction'!O111</f>
        <v>-467108.70202545868</v>
      </c>
      <c r="FO186" s="5">
        <f>'MODEL Product Introduction'!$C110*(1-'MODEL Product Introduction'!$E$92)</f>
        <v>2918.4768280418016</v>
      </c>
      <c r="FP186" s="5">
        <f>'MODEL Product Introduction'!$D110*(1-'MODEL Product Introduction'!$F$92)</f>
        <v>2600.622916076853</v>
      </c>
      <c r="FQ186" s="5">
        <f>('MODEL Product Introduction'!$E110+'MODEL Product Introduction'!$F110)*(1-'MODEL Product Introduction'!$G$92)</f>
        <v>29121.964999778978</v>
      </c>
      <c r="FR186" s="605"/>
      <c r="FS186" s="606"/>
      <c r="FT186" s="12">
        <f>'MODEL Product Introduction'!$G111*(1+'MODEL Product Introduction'!$H111)</f>
        <v>100</v>
      </c>
      <c r="FU186" s="12">
        <f>SUMPRODUCT('MODEL Product Introduction'!$C111:$F111,'MODEL Product Introduction'!$D$90:$G$90)</f>
        <v>4840256.7905019876</v>
      </c>
      <c r="FV186" s="12">
        <f>SUMPRODUCT('MODEL Product Introduction'!$C111:$F111,'MODEL Product Introduction'!$D$91:$G$91)</f>
        <v>4000371.4315763409</v>
      </c>
      <c r="FW186" s="12">
        <f>'MODEL Product Introduction'!$J111-'MODEL Product Introduction'!$K111</f>
        <v>71062.013497387059</v>
      </c>
      <c r="FX186" s="12">
        <f>SUM('MODEL Product Introduction'!$C111:$F111)*10+'MODEL Product Introduction'!$I111*'MODEL Product Introduction'!$C111</f>
        <v>821131.6569179513</v>
      </c>
      <c r="FY186" s="12">
        <f t="shared" si="23"/>
        <v>-750069.64342056424</v>
      </c>
      <c r="FZ186" s="12">
        <f>'MODEL Product Introduction'!$N111+'MODEL Product Introduction'!$O110</f>
        <v>-467108.70202545868</v>
      </c>
    </row>
    <row r="187" spans="90:182" ht="13.5" thickBot="1">
      <c r="CL187" s="814">
        <f t="shared" si="15"/>
        <v>1.4999999999999999E-2</v>
      </c>
      <c r="CM187" s="814">
        <f t="shared" si="24"/>
        <v>0</v>
      </c>
      <c r="CN187" s="814">
        <f t="shared" si="26"/>
        <v>1.4999999999999999E-2</v>
      </c>
      <c r="CO187" s="814"/>
      <c r="CP187" s="814"/>
      <c r="CQ187" s="814">
        <f t="shared" si="16"/>
        <v>1.4999999999999999E-2</v>
      </c>
      <c r="CR187" s="814">
        <f t="shared" si="17"/>
        <v>0</v>
      </c>
      <c r="CS187" s="814">
        <f t="shared" si="18"/>
        <v>0</v>
      </c>
      <c r="CT187" s="814">
        <f t="shared" si="19"/>
        <v>1.4999999999999999E-2</v>
      </c>
      <c r="CU187" s="814">
        <f t="shared" si="20"/>
        <v>0</v>
      </c>
      <c r="CV187" s="814">
        <f t="shared" si="21"/>
        <v>0</v>
      </c>
      <c r="CW187" s="814">
        <f t="shared" si="22"/>
        <v>1.4999999999999999E-2</v>
      </c>
      <c r="CX187" s="814"/>
      <c r="FA187" s="763">
        <f>'MODEL Product Introduction'!D112</f>
        <v>2947.6615963222198</v>
      </c>
      <c r="FB187" s="763">
        <f>'MODEL Product Introduction'!E112</f>
        <v>3789.850623842854</v>
      </c>
      <c r="FC187" s="763">
        <f>'MODEL Product Introduction'!F112</f>
        <v>31230.577732612517</v>
      </c>
      <c r="FF187" s="763">
        <f>'MODEL Product Introduction'!I112</f>
        <v>100</v>
      </c>
      <c r="FG187" s="763">
        <f>'MODEL Product Introduction'!J112</f>
        <v>3852679.4394353079</v>
      </c>
      <c r="FH187" s="763">
        <f>'MODEL Product Introduction'!K112</f>
        <v>3796808.9952777592</v>
      </c>
      <c r="FI187" s="763">
        <f>'MODEL Product Introduction'!L112</f>
        <v>55870.444157548714</v>
      </c>
      <c r="FJ187" s="763">
        <f>'MODEL Product Introduction'!M112</f>
        <v>422611.44541756797</v>
      </c>
      <c r="FK187" s="763">
        <f>'MODEL Product Introduction'!N112</f>
        <v>-366741.00126001926</v>
      </c>
      <c r="FL187" s="763">
        <f>'MODEL Product Introduction'!O112</f>
        <v>-833849.70328547794</v>
      </c>
      <c r="FO187" s="5">
        <f>'MODEL Product Introduction'!$C111*(1-'MODEL Product Introduction'!$E$92)</f>
        <v>2947.6615963222198</v>
      </c>
      <c r="FP187" s="5">
        <f>'MODEL Product Introduction'!$D111*(1-'MODEL Product Introduction'!$F$92)</f>
        <v>2626.6291452376213</v>
      </c>
      <c r="FQ187" s="5">
        <f>('MODEL Product Introduction'!$E111+'MODEL Product Introduction'!$F111)*(1-'MODEL Product Introduction'!$G$92)</f>
        <v>31230.577732612517</v>
      </c>
      <c r="FR187" s="605"/>
      <c r="FS187" s="606"/>
      <c r="FT187" s="12">
        <f>'MODEL Product Introduction'!$G112*(1+'MODEL Product Introduction'!$H112)</f>
        <v>100</v>
      </c>
      <c r="FU187" s="12">
        <f>SUMPRODUCT('MODEL Product Introduction'!$C112:$F112,'MODEL Product Introduction'!$D$90:$G$90)</f>
        <v>5143094.3900040127</v>
      </c>
      <c r="FV187" s="12">
        <f>SUMPRODUCT('MODEL Product Introduction'!$C112:$F112,'MODEL Product Introduction'!$D$91:$G$91)</f>
        <v>4222114.454175679</v>
      </c>
      <c r="FW187" s="12">
        <f>'MODEL Product Introduction'!$J112-'MODEL Product Introduction'!$K112</f>
        <v>55870.444157548714</v>
      </c>
      <c r="FX187" s="12">
        <f>SUM('MODEL Product Introduction'!$C112:$F112)*10+'MODEL Product Introduction'!$I112*'MODEL Product Introduction'!$C112</f>
        <v>847516.90431548818</v>
      </c>
      <c r="FY187" s="12">
        <f t="shared" si="23"/>
        <v>-791646.46015793947</v>
      </c>
      <c r="FZ187" s="12">
        <f>'MODEL Product Introduction'!$N112+'MODEL Product Introduction'!$O111</f>
        <v>-833849.70328547794</v>
      </c>
    </row>
    <row r="188" spans="90:182" ht="13.5" thickBot="1">
      <c r="CL188" s="814">
        <f t="shared" si="15"/>
        <v>1.4999999999999999E-2</v>
      </c>
      <c r="CM188" s="814">
        <f t="shared" si="24"/>
        <v>0</v>
      </c>
      <c r="CN188" s="814">
        <f t="shared" si="26"/>
        <v>1.4999999999999999E-2</v>
      </c>
      <c r="CO188" s="814"/>
      <c r="CP188" s="814"/>
      <c r="CQ188" s="814">
        <f t="shared" si="16"/>
        <v>1.4999999999999999E-2</v>
      </c>
      <c r="CR188" s="814">
        <f t="shared" si="17"/>
        <v>0</v>
      </c>
      <c r="CS188" s="814">
        <f t="shared" si="18"/>
        <v>0</v>
      </c>
      <c r="CT188" s="814">
        <f t="shared" si="19"/>
        <v>1.4999999999999999E-2</v>
      </c>
      <c r="CU188" s="814">
        <f t="shared" si="20"/>
        <v>0</v>
      </c>
      <c r="CV188" s="814">
        <f t="shared" si="21"/>
        <v>0</v>
      </c>
      <c r="CW188" s="814">
        <f t="shared" si="22"/>
        <v>1.4999999999999999E-2</v>
      </c>
      <c r="CX188" s="814"/>
      <c r="FA188" s="763">
        <f>'MODEL Product Introduction'!D113</f>
        <v>2977.138212285442</v>
      </c>
      <c r="FB188" s="763">
        <f>'MODEL Product Introduction'!E113</f>
        <v>3827.7491300812826</v>
      </c>
      <c r="FC188" s="763">
        <f>'MODEL Product Introduction'!F113</f>
        <v>33269.406938632601</v>
      </c>
      <c r="FF188" s="763">
        <f>'MODEL Product Introduction'!I113</f>
        <v>100</v>
      </c>
      <c r="FG188" s="763">
        <f>'MODEL Product Introduction'!J113</f>
        <v>4048751.4966979846</v>
      </c>
      <c r="FH188" s="763">
        <f>'MODEL Product Introduction'!K113</f>
        <v>4007429.4280999326</v>
      </c>
      <c r="FI188" s="763">
        <f>'MODEL Product Introduction'!L113</f>
        <v>41322.068598052021</v>
      </c>
      <c r="FJ188" s="763">
        <f>'MODEL Product Introduction'!M113</f>
        <v>444098.79415868316</v>
      </c>
      <c r="FK188" s="763">
        <f>'MODEL Product Introduction'!N113</f>
        <v>-402776.72556063114</v>
      </c>
      <c r="FL188" s="763">
        <f>'MODEL Product Introduction'!O113</f>
        <v>-1236626.4288461092</v>
      </c>
      <c r="FO188" s="5">
        <f>'MODEL Product Introduction'!$C112*(1-'MODEL Product Introduction'!$E$92)</f>
        <v>2977.138212285442</v>
      </c>
      <c r="FP188" s="5">
        <f>'MODEL Product Introduction'!$D112*(1-'MODEL Product Introduction'!$F$92)</f>
        <v>2652.895436689998</v>
      </c>
      <c r="FQ188" s="5">
        <f>('MODEL Product Introduction'!$E112+'MODEL Product Introduction'!$F112)*(1-'MODEL Product Introduction'!$G$92)</f>
        <v>33269.406938632601</v>
      </c>
      <c r="FR188" s="605"/>
      <c r="FS188" s="606"/>
      <c r="FT188" s="12">
        <f>'MODEL Product Introduction'!$G113*(1+'MODEL Product Introduction'!$H113)</f>
        <v>100</v>
      </c>
      <c r="FU188" s="12">
        <f>SUMPRODUCT('MODEL Product Introduction'!$C113:$F113,'MODEL Product Introduction'!$D$90:$G$90)</f>
        <v>5436238.6139212074</v>
      </c>
      <c r="FV188" s="12">
        <f>SUMPRODUCT('MODEL Product Introduction'!$C113:$F113,'MODEL Product Introduction'!$D$91:$G$91)</f>
        <v>4436987.9415868316</v>
      </c>
      <c r="FW188" s="12">
        <f>'MODEL Product Introduction'!$J113-'MODEL Product Introduction'!$K113</f>
        <v>41322.068598052021</v>
      </c>
      <c r="FX188" s="12">
        <f>SUM('MODEL Product Introduction'!$C113:$F113)*10+'MODEL Product Introduction'!$I113*'MODEL Product Introduction'!$C113</f>
        <v>873257.30764558259</v>
      </c>
      <c r="FY188" s="12">
        <f t="shared" si="23"/>
        <v>-831935.23904753057</v>
      </c>
      <c r="FZ188" s="12">
        <f>'MODEL Product Introduction'!$N113+'MODEL Product Introduction'!$O112</f>
        <v>-1236626.4288461092</v>
      </c>
    </row>
    <row r="189" spans="90:182" ht="13.5" thickBot="1">
      <c r="CL189" s="814">
        <f t="shared" si="15"/>
        <v>1.4999999999999999E-2</v>
      </c>
      <c r="CM189" s="814">
        <f t="shared" si="24"/>
        <v>0</v>
      </c>
      <c r="CN189" s="814">
        <f t="shared" si="26"/>
        <v>1.4999999999999999E-2</v>
      </c>
      <c r="CO189" s="814"/>
      <c r="CP189" s="814"/>
      <c r="CQ189" s="814">
        <f t="shared" si="16"/>
        <v>1.4999999999999999E-2</v>
      </c>
      <c r="CR189" s="814">
        <f t="shared" si="17"/>
        <v>0</v>
      </c>
      <c r="CS189" s="814">
        <f t="shared" si="18"/>
        <v>0</v>
      </c>
      <c r="CT189" s="814">
        <f t="shared" si="19"/>
        <v>1.4999999999999999E-2</v>
      </c>
      <c r="CU189" s="814">
        <f t="shared" si="20"/>
        <v>0</v>
      </c>
      <c r="CV189" s="814">
        <f t="shared" si="21"/>
        <v>0</v>
      </c>
      <c r="CW189" s="814">
        <f t="shared" si="22"/>
        <v>1.4999999999999999E-2</v>
      </c>
      <c r="CX189" s="814"/>
      <c r="FA189" s="763">
        <f>'MODEL Product Introduction'!D114</f>
        <v>3006.909594408296</v>
      </c>
      <c r="FB189" s="763">
        <f>'MODEL Product Introduction'!E114</f>
        <v>3866.0266213820955</v>
      </c>
      <c r="FC189" s="763">
        <f>'MODEL Product Introduction'!F114</f>
        <v>35242.298265278187</v>
      </c>
      <c r="FF189" s="763">
        <f>'MODEL Product Introduction'!I114</f>
        <v>100</v>
      </c>
      <c r="FG189" s="763">
        <f>'MODEL Product Introduction'!J114</f>
        <v>4238907.0113898711</v>
      </c>
      <c r="FH189" s="763">
        <f>'MODEL Product Introduction'!K114</f>
        <v>4211523.4481068579</v>
      </c>
      <c r="FI189" s="763">
        <f>'MODEL Product Introduction'!L114</f>
        <v>27383.56328301318</v>
      </c>
      <c r="FJ189" s="763">
        <f>'MODEL Product Introduction'!M114</f>
        <v>464937.75467286265</v>
      </c>
      <c r="FK189" s="763">
        <f>'MODEL Product Introduction'!N114</f>
        <v>-437554.19138984947</v>
      </c>
      <c r="FL189" s="763">
        <f>'MODEL Product Introduction'!O114</f>
        <v>-1674180.6202359586</v>
      </c>
      <c r="FO189" s="5">
        <f>'MODEL Product Introduction'!$C113*(1-'MODEL Product Introduction'!$E$92)</f>
        <v>3006.909594408296</v>
      </c>
      <c r="FP189" s="5">
        <f>'MODEL Product Introduction'!$D113*(1-'MODEL Product Introduction'!$F$92)</f>
        <v>2679.424391056898</v>
      </c>
      <c r="FQ189" s="5">
        <f>('MODEL Product Introduction'!$E113+'MODEL Product Introduction'!$F113)*(1-'MODEL Product Introduction'!$G$92)</f>
        <v>35242.298265278187</v>
      </c>
      <c r="FR189" s="605"/>
      <c r="FS189" s="606"/>
      <c r="FT189" s="12">
        <f>'MODEL Product Introduction'!$G114*(1+'MODEL Product Introduction'!$H114)</f>
        <v>100</v>
      </c>
      <c r="FU189" s="12">
        <f>SUMPRODUCT('MODEL Product Introduction'!$C114:$F114,'MODEL Product Introduction'!$D$90:$G$90)</f>
        <v>5720228.6160767153</v>
      </c>
      <c r="FV189" s="12">
        <f>SUMPRODUCT('MODEL Product Introduction'!$C114:$F114,'MODEL Product Introduction'!$D$91:$G$91)</f>
        <v>4645377.5467286259</v>
      </c>
      <c r="FW189" s="12">
        <f>'MODEL Product Introduction'!$J114-'MODEL Product Introduction'!$K114</f>
        <v>27383.56328301318</v>
      </c>
      <c r="FX189" s="12">
        <f>SUM('MODEL Product Introduction'!$C114:$F114)*10+'MODEL Product Introduction'!$I114*'MODEL Product Introduction'!$C114</f>
        <v>898391.85329463112</v>
      </c>
      <c r="FY189" s="12">
        <f t="shared" si="23"/>
        <v>-871008.29001161794</v>
      </c>
      <c r="FZ189" s="12">
        <f>'MODEL Product Introduction'!$N114+'MODEL Product Introduction'!$O113</f>
        <v>-1674180.6202359586</v>
      </c>
    </row>
    <row r="190" spans="90:182" ht="13.5" thickBot="1">
      <c r="CL190" s="814">
        <f t="shared" si="15"/>
        <v>1.4999999999999999E-2</v>
      </c>
      <c r="CM190" s="814">
        <f t="shared" si="24"/>
        <v>0</v>
      </c>
      <c r="CN190" s="814">
        <f t="shared" si="26"/>
        <v>1.4999999999999999E-2</v>
      </c>
      <c r="CO190" s="814"/>
      <c r="CP190" s="814"/>
      <c r="CQ190" s="814">
        <f t="shared" si="16"/>
        <v>1.4999999999999999E-2</v>
      </c>
      <c r="CR190" s="814">
        <f t="shared" si="17"/>
        <v>0</v>
      </c>
      <c r="CS190" s="814">
        <f t="shared" si="18"/>
        <v>0</v>
      </c>
      <c r="CT190" s="814">
        <f t="shared" si="19"/>
        <v>1.4999999999999999E-2</v>
      </c>
      <c r="CU190" s="814">
        <f t="shared" si="20"/>
        <v>0</v>
      </c>
      <c r="CV190" s="814">
        <f t="shared" si="21"/>
        <v>0</v>
      </c>
      <c r="CW190" s="814">
        <f t="shared" si="22"/>
        <v>1.4999999999999999E-2</v>
      </c>
      <c r="CX190" s="814"/>
      <c r="FA190" s="763">
        <f>'MODEL Product Introduction'!D115</f>
        <v>3036.9786903523791</v>
      </c>
      <c r="FB190" s="763">
        <f>'MODEL Product Introduction'!E115</f>
        <v>3904.6868875959162</v>
      </c>
      <c r="FC190" s="763">
        <f>'MODEL Product Introduction'!F115</f>
        <v>37152.908642327267</v>
      </c>
      <c r="FF190" s="763">
        <f>'MODEL Product Introduction'!I115</f>
        <v>100</v>
      </c>
      <c r="FG190" s="763">
        <f>'MODEL Product Introduction'!J115</f>
        <v>4423480.6812424324</v>
      </c>
      <c r="FH190" s="763">
        <f>'MODEL Product Introduction'!K115</f>
        <v>4409457.4220275562</v>
      </c>
      <c r="FI190" s="763">
        <f>'MODEL Product Introduction'!L115</f>
        <v>14023.25921487622</v>
      </c>
      <c r="FJ190" s="763">
        <f>'MODEL Product Introduction'!M115</f>
        <v>485165.00616355421</v>
      </c>
      <c r="FK190" s="763">
        <f>'MODEL Product Introduction'!N115</f>
        <v>-471141.74694867799</v>
      </c>
      <c r="FL190" s="763">
        <f>'MODEL Product Introduction'!O115</f>
        <v>-2145322.3671846366</v>
      </c>
      <c r="FO190" s="5">
        <f>'MODEL Product Introduction'!$C114*(1-'MODEL Product Introduction'!$E$92)</f>
        <v>3036.9786903523791</v>
      </c>
      <c r="FP190" s="5">
        <f>'MODEL Product Introduction'!$D114*(1-'MODEL Product Introduction'!$F$92)</f>
        <v>2706.2186349674666</v>
      </c>
      <c r="FQ190" s="5">
        <f>('MODEL Product Introduction'!$E114+'MODEL Product Introduction'!$F114)*(1-'MODEL Product Introduction'!$G$92)</f>
        <v>37152.908642327267</v>
      </c>
      <c r="FR190" s="605"/>
      <c r="FS190" s="606"/>
      <c r="FT190" s="12">
        <f>'MODEL Product Introduction'!$G115*(1+'MODEL Product Introduction'!$H115)</f>
        <v>100</v>
      </c>
      <c r="FU190" s="12">
        <f>SUMPRODUCT('MODEL Product Introduction'!$C115:$F115,'MODEL Product Introduction'!$D$90:$G$90)</f>
        <v>5995577.1374529647</v>
      </c>
      <c r="FV190" s="12">
        <f>SUMPRODUCT('MODEL Product Introduction'!$C115:$F115,'MODEL Product Introduction'!$D$91:$G$91)</f>
        <v>4847650.0616355427</v>
      </c>
      <c r="FW190" s="12">
        <f>'MODEL Product Introduction'!$J115-'MODEL Product Introduction'!$K115</f>
        <v>14023.25921487622</v>
      </c>
      <c r="FX190" s="12">
        <f>SUM('MODEL Product Introduction'!$C115:$F115)*10+'MODEL Product Introduction'!$I115*'MODEL Product Introduction'!$C115</f>
        <v>922957.64577154035</v>
      </c>
      <c r="FY190" s="12">
        <f t="shared" si="23"/>
        <v>-908934.38655666413</v>
      </c>
      <c r="FZ190" s="12">
        <f>'MODEL Product Introduction'!$N115+'MODEL Product Introduction'!$O114</f>
        <v>-2145322.3671846366</v>
      </c>
    </row>
    <row r="191" spans="90:182" ht="13.5" thickBot="1">
      <c r="CL191" s="814">
        <f t="shared" si="15"/>
        <v>1.4999999999999999E-2</v>
      </c>
      <c r="CM191" s="814">
        <f t="shared" si="24"/>
        <v>0</v>
      </c>
      <c r="CN191" s="814">
        <f t="shared" si="26"/>
        <v>1.4999999999999999E-2</v>
      </c>
      <c r="CO191" s="814"/>
      <c r="CP191" s="814"/>
      <c r="CQ191" s="814">
        <f t="shared" si="16"/>
        <v>1.4999999999999999E-2</v>
      </c>
      <c r="CR191" s="814">
        <f t="shared" si="17"/>
        <v>0</v>
      </c>
      <c r="CS191" s="814">
        <f t="shared" si="18"/>
        <v>0</v>
      </c>
      <c r="CT191" s="814">
        <f t="shared" si="19"/>
        <v>1.4999999999999999E-2</v>
      </c>
      <c r="CU191" s="814">
        <f t="shared" si="20"/>
        <v>0</v>
      </c>
      <c r="CV191" s="814">
        <f t="shared" si="21"/>
        <v>0</v>
      </c>
      <c r="CW191" s="814">
        <f t="shared" si="22"/>
        <v>1.4999999999999999E-2</v>
      </c>
      <c r="CX191" s="814"/>
      <c r="FA191" s="763">
        <f>'MODEL Product Introduction'!D116</f>
        <v>3067.3484772559032</v>
      </c>
      <c r="FB191" s="763">
        <f>'MODEL Product Introduction'!E116</f>
        <v>3943.7337564718755</v>
      </c>
      <c r="FC191" s="763">
        <f>'MODEL Product Introduction'!F116</f>
        <v>39004.715753427023</v>
      </c>
      <c r="FF191" s="763">
        <f>'MODEL Product Introduction'!I116</f>
        <v>100</v>
      </c>
      <c r="FG191" s="763">
        <f>'MODEL Product Introduction'!J116</f>
        <v>4602790.8578065857</v>
      </c>
      <c r="FH191" s="763">
        <f>'MODEL Product Introduction'!K116</f>
        <v>4601579.7987154797</v>
      </c>
      <c r="FI191" s="763">
        <f>'MODEL Product Introduction'!L116</f>
        <v>1211.0590911060572</v>
      </c>
      <c r="FJ191" s="763">
        <f>'MODEL Product Introduction'!M116</f>
        <v>504815.43647195457</v>
      </c>
      <c r="FK191" s="763">
        <f>'MODEL Product Introduction'!N116</f>
        <v>-503604.37738084851</v>
      </c>
      <c r="FL191" s="763">
        <f>'MODEL Product Introduction'!O116</f>
        <v>-2648926.744565485</v>
      </c>
      <c r="FO191" s="5">
        <f>'MODEL Product Introduction'!$C115*(1-'MODEL Product Introduction'!$E$92)</f>
        <v>3067.3484772559032</v>
      </c>
      <c r="FP191" s="5">
        <f>'MODEL Product Introduction'!$D115*(1-'MODEL Product Introduction'!$F$92)</f>
        <v>2733.2808213171411</v>
      </c>
      <c r="FQ191" s="5">
        <f>('MODEL Product Introduction'!$E115+'MODEL Product Introduction'!$F115)*(1-'MODEL Product Introduction'!$G$92)</f>
        <v>39004.715753427023</v>
      </c>
      <c r="FR191" s="605"/>
      <c r="FS191" s="606"/>
      <c r="FT191" s="12">
        <f>'MODEL Product Introduction'!$G116*(1+'MODEL Product Introduction'!$H116)</f>
        <v>100</v>
      </c>
      <c r="FU191" s="12">
        <f>SUMPRODUCT('MODEL Product Introduction'!$C116:$F116,'MODEL Product Introduction'!$D$90:$G$90)</f>
        <v>6262771.8322822014</v>
      </c>
      <c r="FV191" s="12">
        <f>SUMPRODUCT('MODEL Product Introduction'!$C116:$F116,'MODEL Product Introduction'!$D$91:$G$91)</f>
        <v>5044154.3647195464</v>
      </c>
      <c r="FW191" s="12">
        <f>'MODEL Product Introduction'!$J116-'MODEL Product Introduction'!$K116</f>
        <v>1211.0590911060572</v>
      </c>
      <c r="FX191" s="12">
        <f>SUM('MODEL Product Introduction'!$C116:$F116)*10+'MODEL Product Introduction'!$I116*'MODEL Product Introduction'!$C116</f>
        <v>946990.0024760206</v>
      </c>
      <c r="FY191" s="12">
        <f t="shared" si="23"/>
        <v>-945778.94338491454</v>
      </c>
      <c r="FZ191" s="12">
        <f>'MODEL Product Introduction'!$N116+'MODEL Product Introduction'!$O115</f>
        <v>-2648926.744565485</v>
      </c>
    </row>
    <row r="192" spans="90:182" ht="13.5" thickBot="1">
      <c r="CL192" s="814">
        <f t="shared" si="15"/>
        <v>1.4999999999999999E-2</v>
      </c>
      <c r="CM192" s="814">
        <f t="shared" si="24"/>
        <v>0</v>
      </c>
      <c r="CN192" s="814">
        <f t="shared" si="26"/>
        <v>1.4999999999999999E-2</v>
      </c>
      <c r="CO192" s="814"/>
      <c r="CP192" s="814"/>
      <c r="CQ192" s="814">
        <f t="shared" si="16"/>
        <v>1.4999999999999999E-2</v>
      </c>
      <c r="CR192" s="814">
        <f t="shared" si="17"/>
        <v>0</v>
      </c>
      <c r="CS192" s="814">
        <f t="shared" si="18"/>
        <v>0</v>
      </c>
      <c r="CT192" s="814">
        <f t="shared" si="19"/>
        <v>1.4999999999999999E-2</v>
      </c>
      <c r="CU192" s="814">
        <f t="shared" si="20"/>
        <v>0</v>
      </c>
      <c r="CV192" s="814">
        <f t="shared" si="21"/>
        <v>0</v>
      </c>
      <c r="CW192" s="814">
        <f t="shared" si="22"/>
        <v>1.4999999999999999E-2</v>
      </c>
      <c r="CX192" s="814"/>
      <c r="FA192" s="763">
        <f>'MODEL Product Introduction'!D117</f>
        <v>3098.021962028462</v>
      </c>
      <c r="FB192" s="763">
        <f>'MODEL Product Introduction'!E117</f>
        <v>3983.1710940365942</v>
      </c>
      <c r="FC192" s="763">
        <f>'MODEL Product Introduction'!F117</f>
        <v>40801.027034403953</v>
      </c>
      <c r="FF192" s="763">
        <f>'MODEL Product Introduction'!I117</f>
        <v>100</v>
      </c>
      <c r="FG192" s="763">
        <f>'MODEL Product Introduction'!J117</f>
        <v>4777140.3676487943</v>
      </c>
      <c r="FH192" s="763">
        <f>'MODEL Product Introduction'!K117</f>
        <v>4788222.009046901</v>
      </c>
      <c r="FI192" s="763">
        <f>'MODEL Product Introduction'!L117</f>
        <v>-11081.641398106702</v>
      </c>
      <c r="FJ192" s="763">
        <f>'MODEL Product Introduction'!M117</f>
        <v>523922.23207110073</v>
      </c>
      <c r="FK192" s="763">
        <f>'MODEL Product Introduction'!N117</f>
        <v>-535003.87346920744</v>
      </c>
      <c r="FL192" s="763">
        <f>'MODEL Product Introduction'!O117</f>
        <v>-3183930.6180346925</v>
      </c>
      <c r="FO192" s="5">
        <f>'MODEL Product Introduction'!$C116*(1-'MODEL Product Introduction'!$E$92)</f>
        <v>3098.021962028462</v>
      </c>
      <c r="FP192" s="5">
        <f>'MODEL Product Introduction'!$D116*(1-'MODEL Product Introduction'!$F$92)</f>
        <v>2760.6136295303131</v>
      </c>
      <c r="FQ192" s="5">
        <f>('MODEL Product Introduction'!$E116+'MODEL Product Introduction'!$F116)*(1-'MODEL Product Introduction'!$G$92)</f>
        <v>40801.027034403953</v>
      </c>
      <c r="FR192" s="605"/>
      <c r="FS192" s="606"/>
      <c r="FT192" s="12">
        <f>'MODEL Product Introduction'!$G117*(1+'MODEL Product Introduction'!$H117)</f>
        <v>100</v>
      </c>
      <c r="FU192" s="12">
        <f>SUMPRODUCT('MODEL Product Introduction'!$C117:$F117,'MODEL Product Introduction'!$D$90:$G$90)</f>
        <v>6522276.527886997</v>
      </c>
      <c r="FV192" s="12">
        <f>SUMPRODUCT('MODEL Product Introduction'!$C117:$F117,'MODEL Product Introduction'!$D$91:$G$91)</f>
        <v>5235222.3207110073</v>
      </c>
      <c r="FW192" s="12">
        <f>'MODEL Product Introduction'!$J117-'MODEL Product Introduction'!$K117</f>
        <v>-11081.641398106702</v>
      </c>
      <c r="FX192" s="12">
        <f>SUM('MODEL Product Introduction'!$C117:$F117)*10+'MODEL Product Introduction'!$I117*'MODEL Product Introduction'!$C117</f>
        <v>970522.54373520752</v>
      </c>
      <c r="FY192" s="12">
        <f t="shared" si="23"/>
        <v>-981604.18513331423</v>
      </c>
      <c r="FZ192" s="12">
        <f>'MODEL Product Introduction'!$N117+'MODEL Product Introduction'!$O116</f>
        <v>-3183930.6180346925</v>
      </c>
    </row>
    <row r="193" spans="90:182" ht="13.5" thickBot="1">
      <c r="CL193" s="814">
        <f t="shared" si="15"/>
        <v>1.4999999999999999E-2</v>
      </c>
      <c r="CM193" s="814">
        <f t="shared" si="24"/>
        <v>0</v>
      </c>
      <c r="CN193" s="814">
        <f t="shared" si="26"/>
        <v>1.4999999999999999E-2</v>
      </c>
      <c r="CO193" s="814"/>
      <c r="CP193" s="814"/>
      <c r="CQ193" s="814">
        <f t="shared" si="16"/>
        <v>1.4999999999999999E-2</v>
      </c>
      <c r="CR193" s="814">
        <f t="shared" si="17"/>
        <v>0</v>
      </c>
      <c r="CS193" s="814">
        <f t="shared" si="18"/>
        <v>0</v>
      </c>
      <c r="CT193" s="814">
        <f t="shared" si="19"/>
        <v>1.4999999999999999E-2</v>
      </c>
      <c r="CU193" s="814">
        <f t="shared" si="20"/>
        <v>0</v>
      </c>
      <c r="CV193" s="814">
        <f t="shared" si="21"/>
        <v>0</v>
      </c>
      <c r="CW193" s="814">
        <f t="shared" si="22"/>
        <v>1.4999999999999999E-2</v>
      </c>
      <c r="CX193" s="814"/>
      <c r="FA193" s="763">
        <f>'MODEL Product Introduction'!D118</f>
        <v>3129.002181648747</v>
      </c>
      <c r="FB193" s="763">
        <f>'MODEL Product Introduction'!E118</f>
        <v>4023.0028049769608</v>
      </c>
      <c r="FC193" s="763">
        <f>'MODEL Product Introduction'!F118</f>
        <v>42544.988222018517</v>
      </c>
      <c r="FF193" s="763">
        <f>'MODEL Product Introduction'!I118</f>
        <v>100</v>
      </c>
      <c r="FG193" s="763">
        <f>'MODEL Product Introduction'!J118</f>
        <v>4946817.2925262172</v>
      </c>
      <c r="FH193" s="763">
        <f>'MODEL Product Introduction'!K118</f>
        <v>4969699.3208644232</v>
      </c>
      <c r="FI193" s="763">
        <f>'MODEL Product Introduction'!L118</f>
        <v>-22882.028338206001</v>
      </c>
      <c r="FJ193" s="763">
        <f>'MODEL Product Introduction'!M118</f>
        <v>542516.96356451709</v>
      </c>
      <c r="FK193" s="763">
        <f>'MODEL Product Introduction'!N118</f>
        <v>-565398.99190272309</v>
      </c>
      <c r="FL193" s="763">
        <f>'MODEL Product Introduction'!O118</f>
        <v>-3749329.6099374155</v>
      </c>
      <c r="FO193" s="5">
        <f>'MODEL Product Introduction'!$C117*(1-'MODEL Product Introduction'!$E$92)</f>
        <v>3129.002181648747</v>
      </c>
      <c r="FP193" s="5">
        <f>'MODEL Product Introduction'!$D117*(1-'MODEL Product Introduction'!$F$92)</f>
        <v>2788.2197658256159</v>
      </c>
      <c r="FQ193" s="5">
        <f>('MODEL Product Introduction'!$E117+'MODEL Product Introduction'!$F117)*(1-'MODEL Product Introduction'!$G$92)</f>
        <v>42544.988222018517</v>
      </c>
      <c r="FR193" s="605"/>
      <c r="FS193" s="606"/>
      <c r="FT193" s="12">
        <f>'MODEL Product Introduction'!$G118*(1+'MODEL Product Introduction'!$H118)</f>
        <v>100</v>
      </c>
      <c r="FU193" s="12">
        <f>SUMPRODUCT('MODEL Product Introduction'!$C118:$F118,'MODEL Product Introduction'!$D$90:$G$90)</f>
        <v>6774532.42158374</v>
      </c>
      <c r="FV193" s="12">
        <f>SUMPRODUCT('MODEL Product Introduction'!$C118:$F118,'MODEL Product Introduction'!$D$91:$G$91)</f>
        <v>5421169.6356451698</v>
      </c>
      <c r="FW193" s="12">
        <f>'MODEL Product Introduction'!$J118-'MODEL Product Introduction'!$K118</f>
        <v>-22882.028338206001</v>
      </c>
      <c r="FX193" s="12">
        <f>SUM('MODEL Product Introduction'!$C118:$F118)*10+'MODEL Product Introduction'!$I118*'MODEL Product Introduction'!$C118</f>
        <v>993587.27834526484</v>
      </c>
      <c r="FY193" s="12">
        <f t="shared" si="23"/>
        <v>-1016469.3066834708</v>
      </c>
      <c r="FZ193" s="12">
        <f>'MODEL Product Introduction'!$N118+'MODEL Product Introduction'!$O117</f>
        <v>-3749329.6099374155</v>
      </c>
    </row>
    <row r="194" spans="90:182" ht="13.5" thickBot="1">
      <c r="CL194" s="814">
        <f t="shared" si="15"/>
        <v>1.4999999999999999E-2</v>
      </c>
      <c r="CM194" s="814">
        <f t="shared" si="24"/>
        <v>0</v>
      </c>
      <c r="CN194" s="814">
        <f t="shared" si="26"/>
        <v>1.4999999999999999E-2</v>
      </c>
      <c r="CO194" s="814"/>
      <c r="CP194" s="814"/>
      <c r="CQ194" s="814">
        <f t="shared" si="16"/>
        <v>1.4999999999999999E-2</v>
      </c>
      <c r="CR194" s="814">
        <f t="shared" si="17"/>
        <v>0</v>
      </c>
      <c r="CS194" s="814">
        <f t="shared" si="18"/>
        <v>0</v>
      </c>
      <c r="CT194" s="814">
        <f t="shared" si="19"/>
        <v>1.4999999999999999E-2</v>
      </c>
      <c r="CU194" s="814">
        <f t="shared" si="20"/>
        <v>0</v>
      </c>
      <c r="CV194" s="814">
        <f t="shared" si="21"/>
        <v>0</v>
      </c>
      <c r="CW194" s="814">
        <f t="shared" si="22"/>
        <v>1.4999999999999999E-2</v>
      </c>
      <c r="CX194" s="814"/>
      <c r="FA194" s="763">
        <f>'MODEL Product Introduction'!D119</f>
        <v>3160.2922034652343</v>
      </c>
      <c r="FB194" s="763">
        <f>'MODEL Product Introduction'!E119</f>
        <v>4063.2328330267301</v>
      </c>
      <c r="FC194" s="763">
        <f>'MODEL Product Introduction'!F119</f>
        <v>44239.591475645699</v>
      </c>
      <c r="FF194" s="763">
        <f>'MODEL Product Introduction'!I119</f>
        <v>110</v>
      </c>
      <c r="FG194" s="763">
        <f>'MODEL Product Introduction'!J119</f>
        <v>5112095.7105923686</v>
      </c>
      <c r="FH194" s="763">
        <f>'MODEL Product Introduction'!K119</f>
        <v>5146311.6512137661</v>
      </c>
      <c r="FI194" s="763">
        <f>'MODEL Product Introduction'!L119</f>
        <v>-34215.940621397458</v>
      </c>
      <c r="FJ194" s="763">
        <f>'MODEL Product Introduction'!M119</f>
        <v>560669.66691423219</v>
      </c>
      <c r="FK194" s="763">
        <f>'MODEL Product Introduction'!N119</f>
        <v>-594885.60753562965</v>
      </c>
      <c r="FL194" s="763">
        <f>'MODEL Product Introduction'!O119</f>
        <v>-4344215.217473045</v>
      </c>
      <c r="FO194" s="5">
        <f>'MODEL Product Introduction'!$C118*(1-'MODEL Product Introduction'!$E$92)</f>
        <v>3160.2922034652343</v>
      </c>
      <c r="FP194" s="5">
        <f>'MODEL Product Introduction'!$D118*(1-'MODEL Product Introduction'!$F$92)</f>
        <v>2816.1019634838722</v>
      </c>
      <c r="FQ194" s="5">
        <f>('MODEL Product Introduction'!$E118+'MODEL Product Introduction'!$F118)*(1-'MODEL Product Introduction'!$G$92)</f>
        <v>44239.591475645699</v>
      </c>
      <c r="FR194" s="605"/>
      <c r="FS194" s="606"/>
      <c r="FT194" s="12">
        <f>'MODEL Product Introduction'!$G119*(1+'MODEL Product Introduction'!$H119)</f>
        <v>110</v>
      </c>
      <c r="FU194" s="12">
        <f>SUMPRODUCT('MODEL Product Introduction'!$C119:$F119,'MODEL Product Introduction'!$D$90:$G$90)</f>
        <v>7019959.2177965567</v>
      </c>
      <c r="FV194" s="12">
        <f>SUMPRODUCT('MODEL Product Introduction'!$C119:$F119,'MODEL Product Introduction'!$D$91:$G$91)</f>
        <v>5602296.6691423208</v>
      </c>
      <c r="FW194" s="12">
        <f>'MODEL Product Introduction'!$J119-'MODEL Product Introduction'!$K119</f>
        <v>-34215.940621397458</v>
      </c>
      <c r="FX194" s="12">
        <f>SUM('MODEL Product Introduction'!$C119:$F119)*10+'MODEL Product Introduction'!$I119*'MODEL Product Introduction'!$C119</f>
        <v>1061813.186635643</v>
      </c>
      <c r="FY194" s="12">
        <f t="shared" si="23"/>
        <v>-1096029.1272570405</v>
      </c>
      <c r="FZ194" s="12">
        <f>'MODEL Product Introduction'!$N119+'MODEL Product Introduction'!$O118</f>
        <v>-4344215.217473045</v>
      </c>
    </row>
    <row r="195" spans="90:182" ht="13.5" thickBot="1">
      <c r="CL195" s="814">
        <f t="shared" si="15"/>
        <v>1.4999999999999999E-2</v>
      </c>
      <c r="CM195" s="814">
        <f t="shared" si="24"/>
        <v>0</v>
      </c>
      <c r="CN195" s="814">
        <f t="shared" si="26"/>
        <v>1.4999999999999999E-2</v>
      </c>
      <c r="CO195" s="814"/>
      <c r="CP195" s="814"/>
      <c r="CQ195" s="814">
        <f t="shared" si="16"/>
        <v>1.4999999999999999E-2</v>
      </c>
      <c r="CR195" s="814">
        <f t="shared" si="17"/>
        <v>0</v>
      </c>
      <c r="CS195" s="814">
        <f t="shared" si="18"/>
        <v>0</v>
      </c>
      <c r="CT195" s="814">
        <f t="shared" si="19"/>
        <v>1.4999999999999999E-2</v>
      </c>
      <c r="CU195" s="814">
        <f t="shared" si="20"/>
        <v>0</v>
      </c>
      <c r="CV195" s="814">
        <f t="shared" si="21"/>
        <v>0</v>
      </c>
      <c r="CW195" s="814">
        <f t="shared" si="22"/>
        <v>1.4999999999999999E-2</v>
      </c>
      <c r="CX195" s="814"/>
      <c r="FA195" s="763">
        <f>'MODEL Product Introduction'!D120</f>
        <v>3191.8951254998865</v>
      </c>
      <c r="FB195" s="763">
        <f>'MODEL Product Introduction'!E120</f>
        <v>4103.8651613569973</v>
      </c>
      <c r="FC195" s="763">
        <f>'MODEL Product Introduction'!F120</f>
        <v>45887.683093238804</v>
      </c>
      <c r="FF195" s="763">
        <f>'MODEL Product Introduction'!I120</f>
        <v>110</v>
      </c>
      <c r="FG195" s="763">
        <f>'MODEL Product Introduction'!J120</f>
        <v>5273236.4005821366</v>
      </c>
      <c r="FH195" s="763">
        <f>'MODEL Product Introduction'!K120</f>
        <v>5318344.3380095689</v>
      </c>
      <c r="FI195" s="763">
        <f>'MODEL Product Introduction'!L120</f>
        <v>-45107.937427432276</v>
      </c>
      <c r="FJ195" s="763">
        <f>'MODEL Product Introduction'!M120</f>
        <v>578328.9206117409</v>
      </c>
      <c r="FK195" s="763">
        <f>'MODEL Product Introduction'!N120</f>
        <v>-623436.85803917318</v>
      </c>
      <c r="FL195" s="763">
        <f>'MODEL Product Introduction'!O120</f>
        <v>-4967652.0755122183</v>
      </c>
      <c r="FO195" s="5">
        <f>'MODEL Product Introduction'!$C119*(1-'MODEL Product Introduction'!$E$92)</f>
        <v>3191.8951254998865</v>
      </c>
      <c r="FP195" s="5">
        <f>'MODEL Product Introduction'!$D119*(1-'MODEL Product Introduction'!$F$92)</f>
        <v>2844.262983118711</v>
      </c>
      <c r="FQ195" s="5">
        <f>('MODEL Product Introduction'!$E119+'MODEL Product Introduction'!$F119)*(1-'MODEL Product Introduction'!$G$92)</f>
        <v>45887.683093238804</v>
      </c>
      <c r="FR195" s="605"/>
      <c r="FS195" s="606"/>
      <c r="FT195" s="12">
        <f>'MODEL Product Introduction'!$G120*(1+'MODEL Product Introduction'!$H120)</f>
        <v>110</v>
      </c>
      <c r="FU195" s="12">
        <f>SUMPRODUCT('MODEL Product Introduction'!$C120:$F120,'MODEL Product Introduction'!$D$90:$G$90)</f>
        <v>7258956.2083716523</v>
      </c>
      <c r="FV195" s="12">
        <f>SUMPRODUCT('MODEL Product Introduction'!$C120:$F120,'MODEL Product Introduction'!$D$91:$G$91)</f>
        <v>5778889.2061174102</v>
      </c>
      <c r="FW195" s="12">
        <f>'MODEL Product Introduction'!$J120-'MODEL Product Introduction'!$K120</f>
        <v>-45107.937427432276</v>
      </c>
      <c r="FX195" s="12">
        <f>SUM('MODEL Product Introduction'!$C120:$F120)*10+'MODEL Product Introduction'!$I120*'MODEL Product Introduction'!$C120</f>
        <v>1084488.2755303658</v>
      </c>
      <c r="FY195" s="12">
        <f t="shared" si="23"/>
        <v>-1129596.212957798</v>
      </c>
      <c r="FZ195" s="12">
        <f>'MODEL Product Introduction'!$N120+'MODEL Product Introduction'!$O119</f>
        <v>-4967652.0755122183</v>
      </c>
    </row>
    <row r="196" spans="90:182" ht="13.5" thickBot="1">
      <c r="CL196" s="814">
        <f t="shared" si="15"/>
        <v>1.4999999999999999E-2</v>
      </c>
      <c r="CM196" s="814">
        <f t="shared" si="24"/>
        <v>0</v>
      </c>
      <c r="CN196" s="814">
        <f t="shared" si="26"/>
        <v>1.4999999999999999E-2</v>
      </c>
      <c r="CO196" s="814"/>
      <c r="CP196" s="814"/>
      <c r="CQ196" s="814">
        <f t="shared" si="16"/>
        <v>1.4999999999999999E-2</v>
      </c>
      <c r="CR196" s="814">
        <f t="shared" si="17"/>
        <v>0</v>
      </c>
      <c r="CS196" s="814">
        <f t="shared" si="18"/>
        <v>0</v>
      </c>
      <c r="CT196" s="814">
        <f t="shared" si="19"/>
        <v>1.4999999999999999E-2</v>
      </c>
      <c r="CU196" s="814">
        <f t="shared" si="20"/>
        <v>0</v>
      </c>
      <c r="CV196" s="814">
        <f t="shared" si="21"/>
        <v>0</v>
      </c>
      <c r="CW196" s="814">
        <f t="shared" si="22"/>
        <v>1.4999999999999999E-2</v>
      </c>
      <c r="CX196" s="814"/>
      <c r="FA196" s="763">
        <f>'MODEL Product Introduction'!D121</f>
        <v>3223.8140767548848</v>
      </c>
      <c r="FB196" s="763">
        <f>'MODEL Product Introduction'!E121</f>
        <v>4144.9038129705668</v>
      </c>
      <c r="FC196" s="763">
        <f>'MODEL Product Introduction'!F121</f>
        <v>47491.970841866008</v>
      </c>
      <c r="FF196" s="763">
        <f>'MODEL Product Introduction'!I121</f>
        <v>150</v>
      </c>
      <c r="FG196" s="763">
        <f>'MODEL Product Introduction'!J121</f>
        <v>5430487.5108276093</v>
      </c>
      <c r="FH196" s="763">
        <f>'MODEL Product Introduction'!K121</f>
        <v>5486068.8731591459</v>
      </c>
      <c r="FI196" s="763">
        <f>'MODEL Product Introduction'!L121</f>
        <v>-55581.362331536599</v>
      </c>
      <c r="FJ196" s="763">
        <f>'MODEL Product Introduction'!M121</f>
        <v>595721.91899480647</v>
      </c>
      <c r="FK196" s="763">
        <f>'MODEL Product Introduction'!N121</f>
        <v>-651303.28132634307</v>
      </c>
      <c r="FL196" s="763">
        <f>'MODEL Product Introduction'!O121</f>
        <v>-5618955.3568385616</v>
      </c>
      <c r="FO196" s="5">
        <f>'MODEL Product Introduction'!$C120*(1-'MODEL Product Introduction'!$E$92)</f>
        <v>3223.8140767548848</v>
      </c>
      <c r="FP196" s="5">
        <f>'MODEL Product Introduction'!$D120*(1-'MODEL Product Introduction'!$F$92)</f>
        <v>2872.7056129498978</v>
      </c>
      <c r="FQ196" s="5">
        <f>('MODEL Product Introduction'!$E120+'MODEL Product Introduction'!$F120)*(1-'MODEL Product Introduction'!$G$92)</f>
        <v>47491.970841866008</v>
      </c>
      <c r="FR196" s="605"/>
      <c r="FS196" s="606"/>
      <c r="FT196" s="12">
        <f>'MODEL Product Introduction'!$G121*(1+'MODEL Product Introduction'!$H121)</f>
        <v>150</v>
      </c>
      <c r="FU196" s="12">
        <f>SUMPRODUCT('MODEL Product Introduction'!$C121:$F121,'MODEL Product Introduction'!$D$90:$G$90)</f>
        <v>7491903.2989326436</v>
      </c>
      <c r="FV196" s="12">
        <f>SUMPRODUCT('MODEL Product Introduction'!$C121:$F121,'MODEL Product Introduction'!$D$91:$G$91)</f>
        <v>5951219.1899480652</v>
      </c>
      <c r="FW196" s="12">
        <f>'MODEL Product Introduction'!$J121-'MODEL Product Introduction'!$K121</f>
        <v>-55581.362331536599</v>
      </c>
      <c r="FX196" s="12">
        <f>SUM('MODEL Product Introduction'!$C121:$F121)*10+'MODEL Product Introduction'!$I121*'MODEL Product Introduction'!$C121</f>
        <v>1292847.3941781851</v>
      </c>
      <c r="FY196" s="12">
        <f t="shared" si="23"/>
        <v>-1348428.7565097217</v>
      </c>
      <c r="FZ196" s="12">
        <f>'MODEL Product Introduction'!$N121+'MODEL Product Introduction'!$O120</f>
        <v>-5618955.3568385616</v>
      </c>
    </row>
    <row r="197" spans="90:182" ht="13.5" thickBot="1">
      <c r="CL197" s="814">
        <f t="shared" si="15"/>
        <v>1.4999999999999999E-2</v>
      </c>
      <c r="CM197" s="814">
        <f t="shared" si="24"/>
        <v>0</v>
      </c>
      <c r="CN197" s="814">
        <f t="shared" si="26"/>
        <v>1.4999999999999999E-2</v>
      </c>
      <c r="CO197" s="814"/>
      <c r="CP197" s="814"/>
      <c r="CQ197" s="814">
        <f t="shared" si="16"/>
        <v>1.4999999999999999E-2</v>
      </c>
      <c r="CR197" s="814">
        <f t="shared" si="17"/>
        <v>0</v>
      </c>
      <c r="CS197" s="814">
        <f t="shared" si="18"/>
        <v>0</v>
      </c>
      <c r="CT197" s="814">
        <f t="shared" si="19"/>
        <v>1.4999999999999999E-2</v>
      </c>
      <c r="CU197" s="814">
        <f t="shared" si="20"/>
        <v>0</v>
      </c>
      <c r="CV197" s="814">
        <f t="shared" si="21"/>
        <v>0</v>
      </c>
      <c r="CW197" s="814">
        <f t="shared" si="22"/>
        <v>1.4999999999999999E-2</v>
      </c>
      <c r="CX197" s="814"/>
      <c r="FA197" s="763">
        <f>'MODEL Product Introduction'!D122</f>
        <v>3256.0522175224341</v>
      </c>
      <c r="FB197" s="763">
        <f>'MODEL Product Introduction'!E122</f>
        <v>4186.3528511002733</v>
      </c>
      <c r="FC197" s="763">
        <f>'MODEL Product Introduction'!F122</f>
        <v>49055.030922094746</v>
      </c>
      <c r="FF197" s="763">
        <f>'MODEL Product Introduction'!I122</f>
        <v>100</v>
      </c>
      <c r="FG197" s="763">
        <f>'MODEL Product Introduction'!J122</f>
        <v>5584085.194863555</v>
      </c>
      <c r="FH197" s="763">
        <f>'MODEL Product Introduction'!K122</f>
        <v>5649743.5990717448</v>
      </c>
      <c r="FI197" s="763">
        <f>'MODEL Product Introduction'!L122</f>
        <v>-65658.404208189808</v>
      </c>
      <c r="FJ197" s="763">
        <f>'MODEL Product Introduction'!M122</f>
        <v>612354.54190285539</v>
      </c>
      <c r="FK197" s="763">
        <f>'MODEL Product Introduction'!N122</f>
        <v>-678012.9461110452</v>
      </c>
      <c r="FL197" s="763">
        <f>'MODEL Product Introduction'!O122</f>
        <v>-6296968.3029496064</v>
      </c>
      <c r="FO197" s="5">
        <f>'MODEL Product Introduction'!$C121*(1-'MODEL Product Introduction'!$E$92)</f>
        <v>3256.0522175224341</v>
      </c>
      <c r="FP197" s="5">
        <f>'MODEL Product Introduction'!$D121*(1-'MODEL Product Introduction'!$F$92)</f>
        <v>2901.4326690793964</v>
      </c>
      <c r="FQ197" s="5">
        <f>('MODEL Product Introduction'!$E121+'MODEL Product Introduction'!$F121)*(1-'MODEL Product Introduction'!$G$92)</f>
        <v>49055.030922094746</v>
      </c>
      <c r="FR197" s="605"/>
      <c r="FS197" s="606"/>
      <c r="FT197" s="12">
        <f>'MODEL Product Introduction'!$G122*(1+'MODEL Product Introduction'!$H122)</f>
        <v>100</v>
      </c>
      <c r="FU197" s="12">
        <f>SUMPRODUCT('MODEL Product Introduction'!$C122:$F122,'MODEL Product Introduction'!$D$90:$G$90)</f>
        <v>7719161.9839753807</v>
      </c>
      <c r="FV197" s="12">
        <f>SUMPRODUCT('MODEL Product Introduction'!$C122:$F122,'MODEL Product Introduction'!$D$91:$G$91)</f>
        <v>6119545.4190285532</v>
      </c>
      <c r="FW197" s="12">
        <f>'MODEL Product Introduction'!$J122-'MODEL Product Introduction'!$K122</f>
        <v>-65658.404208189808</v>
      </c>
      <c r="FX197" s="12">
        <f>SUM('MODEL Product Introduction'!$C122:$F122)*10+'MODEL Product Introduction'!$I122*'MODEL Product Introduction'!$C122</f>
        <v>1081756.3618596639</v>
      </c>
      <c r="FY197" s="12">
        <f t="shared" si="23"/>
        <v>-1147414.7660678537</v>
      </c>
      <c r="FZ197" s="12">
        <f>'MODEL Product Introduction'!$N122+'MODEL Product Introduction'!$O121</f>
        <v>-6296968.3029496064</v>
      </c>
    </row>
    <row r="198" spans="90:182" ht="13.5" thickBot="1">
      <c r="CL198" s="814">
        <f t="shared" si="15"/>
        <v>1.4999999999999999E-2</v>
      </c>
      <c r="CM198" s="814">
        <f t="shared" si="24"/>
        <v>0</v>
      </c>
      <c r="CN198" s="814">
        <f t="shared" si="26"/>
        <v>1.4999999999999999E-2</v>
      </c>
      <c r="CO198" s="814"/>
      <c r="CP198" s="814"/>
      <c r="CQ198" s="814">
        <f t="shared" si="16"/>
        <v>1.4999999999999999E-2</v>
      </c>
      <c r="CR198" s="814">
        <f t="shared" si="17"/>
        <v>0</v>
      </c>
      <c r="CS198" s="814">
        <f t="shared" si="18"/>
        <v>0</v>
      </c>
      <c r="CT198" s="814">
        <f t="shared" si="19"/>
        <v>1.4999999999999999E-2</v>
      </c>
      <c r="CU198" s="814">
        <f t="shared" si="20"/>
        <v>0</v>
      </c>
      <c r="CV198" s="814">
        <f t="shared" si="21"/>
        <v>0</v>
      </c>
      <c r="CW198" s="814">
        <f t="shared" si="22"/>
        <v>1.4999999999999999E-2</v>
      </c>
      <c r="CX198" s="814"/>
      <c r="FA198" s="763">
        <f>'MODEL Product Introduction'!D123</f>
        <v>3288.6127396976585</v>
      </c>
      <c r="FB198" s="763">
        <f>'MODEL Product Introduction'!E123</f>
        <v>4228.2163796112754</v>
      </c>
      <c r="FC198" s="763">
        <f>'MODEL Product Introduction'!F123</f>
        <v>50579.314584535263</v>
      </c>
      <c r="FF198" s="763">
        <f>'MODEL Product Introduction'!I123</f>
        <v>100</v>
      </c>
      <c r="FG198" s="763">
        <f>'MODEL Product Introduction'!J123</f>
        <v>5734254.2152934764</v>
      </c>
      <c r="FH198" s="763">
        <f>'MODEL Product Introduction'!K123</f>
        <v>5809614.3703844193</v>
      </c>
      <c r="FI198" s="763">
        <f>'MODEL Product Introduction'!L123</f>
        <v>-75360.155090942979</v>
      </c>
      <c r="FJ198" s="763">
        <f>'MODEL Product Introduction'!M123</f>
        <v>628811.42085407965</v>
      </c>
      <c r="FK198" s="763">
        <f>'MODEL Product Introduction'!N123</f>
        <v>-704171.57594502263</v>
      </c>
      <c r="FL198" s="763">
        <f>'MODEL Product Introduction'!O123</f>
        <v>-7001139.878894629</v>
      </c>
      <c r="FO198" s="5">
        <f>'MODEL Product Introduction'!$C122*(1-'MODEL Product Introduction'!$E$92)</f>
        <v>3288.6127396976585</v>
      </c>
      <c r="FP198" s="5">
        <f>'MODEL Product Introduction'!$D122*(1-'MODEL Product Introduction'!$F$92)</f>
        <v>2930.4469957701908</v>
      </c>
      <c r="FQ198" s="5">
        <f>('MODEL Product Introduction'!$E122+'MODEL Product Introduction'!$F122)*(1-'MODEL Product Introduction'!$G$92)</f>
        <v>50579.314584535263</v>
      </c>
      <c r="FR198" s="605"/>
      <c r="FS198" s="606"/>
      <c r="FT198" s="12">
        <f>'MODEL Product Introduction'!$G123*(1+'MODEL Product Introduction'!$H123)</f>
        <v>100</v>
      </c>
      <c r="FU198" s="12">
        <f>SUMPRODUCT('MODEL Product Introduction'!$C123:$F123,'MODEL Product Introduction'!$D$90:$G$90)</f>
        <v>7941076.273265874</v>
      </c>
      <c r="FV198" s="12">
        <f>SUMPRODUCT('MODEL Product Introduction'!$C123:$F123,'MODEL Product Introduction'!$D$91:$G$91)</f>
        <v>6284114.2085407972</v>
      </c>
      <c r="FW198" s="12">
        <f>'MODEL Product Introduction'!$J123-'MODEL Product Introduction'!$K123</f>
        <v>-75360.155090942979</v>
      </c>
      <c r="FX198" s="12">
        <f>SUM('MODEL Product Introduction'!$C123:$F123)*10+'MODEL Product Introduction'!$I123*'MODEL Product Introduction'!$C123</f>
        <v>1102911.259010456</v>
      </c>
      <c r="FY198" s="12">
        <f t="shared" si="23"/>
        <v>-1178271.414101399</v>
      </c>
      <c r="FZ198" s="12">
        <f>'MODEL Product Introduction'!$N123+'MODEL Product Introduction'!$O122</f>
        <v>-7001139.878894629</v>
      </c>
    </row>
    <row r="199" spans="90:182" ht="13.5" thickBot="1">
      <c r="CL199" s="814">
        <f t="shared" si="15"/>
        <v>1.4999999999999999E-2</v>
      </c>
      <c r="CM199" s="814">
        <f t="shared" si="24"/>
        <v>0</v>
      </c>
      <c r="CN199" s="814">
        <f t="shared" si="26"/>
        <v>1.4999999999999999E-2</v>
      </c>
      <c r="CO199" s="814"/>
      <c r="CP199" s="814"/>
      <c r="CQ199" s="814">
        <f t="shared" si="16"/>
        <v>1.4999999999999999E-2</v>
      </c>
      <c r="CR199" s="814">
        <f t="shared" si="17"/>
        <v>0</v>
      </c>
      <c r="CS199" s="814">
        <f t="shared" si="18"/>
        <v>0</v>
      </c>
      <c r="CT199" s="814">
        <f t="shared" si="19"/>
        <v>1.4999999999999999E-2</v>
      </c>
      <c r="CU199" s="814">
        <f t="shared" si="20"/>
        <v>0</v>
      </c>
      <c r="CV199" s="814">
        <f t="shared" si="21"/>
        <v>0</v>
      </c>
      <c r="CW199" s="814">
        <f t="shared" si="22"/>
        <v>1.4999999999999999E-2</v>
      </c>
      <c r="CX199" s="814"/>
      <c r="FA199" s="763">
        <f>'MODEL Product Introduction'!D124</f>
        <v>3321.4988670946354</v>
      </c>
      <c r="FB199" s="763">
        <f>'MODEL Product Introduction'!E124</f>
        <v>4270.4985434073888</v>
      </c>
      <c r="FC199" s="763">
        <f>'MODEL Product Introduction'!F124</f>
        <v>52067.154415939207</v>
      </c>
      <c r="FF199" s="763">
        <f>'MODEL Product Introduction'!I124</f>
        <v>100</v>
      </c>
      <c r="FG199" s="763">
        <f>'MODEL Product Introduction'!J124</f>
        <v>5881208.5175036332</v>
      </c>
      <c r="FH199" s="763">
        <f>'MODEL Product Introduction'!K124</f>
        <v>5965915.1826441232</v>
      </c>
      <c r="FI199" s="763">
        <f>'MODEL Product Introduction'!L124</f>
        <v>-84706.665140490048</v>
      </c>
      <c r="FJ199" s="763">
        <f>'MODEL Product Introduction'!M124</f>
        <v>644916.00191820634</v>
      </c>
      <c r="FK199" s="763">
        <f>'MODEL Product Introduction'!N124</f>
        <v>-729622.66705869639</v>
      </c>
      <c r="FL199" s="763">
        <f>'MODEL Product Introduction'!O124</f>
        <v>-7730762.545953325</v>
      </c>
      <c r="FO199" s="5">
        <f>'MODEL Product Introduction'!$C123*(1-'MODEL Product Introduction'!$E$92)</f>
        <v>3321.4988670946354</v>
      </c>
      <c r="FP199" s="5">
        <f>'MODEL Product Introduction'!$D123*(1-'MODEL Product Introduction'!$F$92)</f>
        <v>2959.7514657278925</v>
      </c>
      <c r="FQ199" s="5">
        <f>('MODEL Product Introduction'!$E123+'MODEL Product Introduction'!$F123)*(1-'MODEL Product Introduction'!$G$92)</f>
        <v>52067.154415939207</v>
      </c>
      <c r="FR199" s="605"/>
      <c r="FS199" s="606"/>
      <c r="FT199" s="12">
        <f>'MODEL Product Introduction'!$G124*(1+'MODEL Product Introduction'!$H124)</f>
        <v>100</v>
      </c>
      <c r="FU199" s="12">
        <f>SUMPRODUCT('MODEL Product Introduction'!$C124:$F124,'MODEL Product Introduction'!$D$90:$G$90)</f>
        <v>8157973.5719767362</v>
      </c>
      <c r="FV199" s="12">
        <f>SUMPRODUCT('MODEL Product Introduction'!$C124:$F124,'MODEL Product Introduction'!$D$91:$G$91)</f>
        <v>6445160.0191820636</v>
      </c>
      <c r="FW199" s="12">
        <f>'MODEL Product Introduction'!$J124-'MODEL Product Introduction'!$K124</f>
        <v>-84706.665140490048</v>
      </c>
      <c r="FX199" s="12">
        <f>SUM('MODEL Product Introduction'!$C124:$F124)*10+'MODEL Product Introduction'!$I124*'MODEL Product Introduction'!$C124</f>
        <v>1123760.8384561467</v>
      </c>
      <c r="FY199" s="12">
        <f t="shared" si="23"/>
        <v>-1208467.5035966367</v>
      </c>
      <c r="FZ199" s="12">
        <f>'MODEL Product Introduction'!$N124+'MODEL Product Introduction'!$O123</f>
        <v>-7730762.545953325</v>
      </c>
    </row>
    <row r="200" spans="90:182" ht="13.5" thickBot="1">
      <c r="CL200" s="814">
        <f t="shared" si="15"/>
        <v>1.4999999999999999E-2</v>
      </c>
      <c r="CM200" s="814">
        <f t="shared" si="24"/>
        <v>0</v>
      </c>
      <c r="CN200" s="814">
        <f t="shared" si="26"/>
        <v>1.4999999999999999E-2</v>
      </c>
      <c r="CO200" s="814"/>
      <c r="CP200" s="814"/>
      <c r="CQ200" s="814">
        <f t="shared" si="16"/>
        <v>1.4999999999999999E-2</v>
      </c>
      <c r="CR200" s="814">
        <f t="shared" si="17"/>
        <v>0</v>
      </c>
      <c r="CS200" s="814">
        <f t="shared" si="18"/>
        <v>0</v>
      </c>
      <c r="CT200" s="814">
        <f t="shared" si="19"/>
        <v>1.4999999999999999E-2</v>
      </c>
      <c r="CU200" s="814">
        <f t="shared" si="20"/>
        <v>0</v>
      </c>
      <c r="CV200" s="814">
        <f t="shared" si="21"/>
        <v>0</v>
      </c>
      <c r="CW200" s="814">
        <f t="shared" si="22"/>
        <v>1.4999999999999999E-2</v>
      </c>
      <c r="CX200" s="814"/>
      <c r="FA200" s="763">
        <f>'MODEL Product Introduction'!D125</f>
        <v>3354.7138557655821</v>
      </c>
      <c r="FB200" s="763">
        <f>'MODEL Product Introduction'!E125</f>
        <v>4313.2035288414627</v>
      </c>
      <c r="FC200" s="763">
        <f>'MODEL Product Introduction'!F125</f>
        <v>53520.770311379267</v>
      </c>
      <c r="FF200" s="763">
        <f>'MODEL Product Introduction'!I125</f>
        <v>100</v>
      </c>
      <c r="FG200" s="763">
        <f>'MODEL Product Introduction'!J125</f>
        <v>6025151.7747330302</v>
      </c>
      <c r="FH200" s="763">
        <f>'MODEL Product Introduction'!K125</f>
        <v>6118868.7695986312</v>
      </c>
      <c r="FI200" s="763">
        <f>'MODEL Product Introduction'!L125</f>
        <v>-93716.994865600951</v>
      </c>
      <c r="FJ200" s="763">
        <f>'MODEL Product Introduction'!M125</f>
        <v>660690.60545019514</v>
      </c>
      <c r="FK200" s="763">
        <f>'MODEL Product Introduction'!N125</f>
        <v>-754407.60031579609</v>
      </c>
      <c r="FL200" s="763">
        <f>'MODEL Product Introduction'!O125</f>
        <v>-8485170.1462691203</v>
      </c>
      <c r="FO200" s="5">
        <f>'MODEL Product Introduction'!$C124*(1-'MODEL Product Introduction'!$E$92)</f>
        <v>3354.7138557655821</v>
      </c>
      <c r="FP200" s="5">
        <f>'MODEL Product Introduction'!$D124*(1-'MODEL Product Introduction'!$F$92)</f>
        <v>2989.3489803851721</v>
      </c>
      <c r="FQ200" s="5">
        <f>('MODEL Product Introduction'!$E124+'MODEL Product Introduction'!$F124)*(1-'MODEL Product Introduction'!$G$92)</f>
        <v>53520.770311379267</v>
      </c>
      <c r="FR200" s="605"/>
      <c r="FS200" s="606"/>
      <c r="FT200" s="12">
        <f>'MODEL Product Introduction'!$G125*(1+'MODEL Product Introduction'!$H125)</f>
        <v>100</v>
      </c>
      <c r="FU200" s="12">
        <f>SUMPRODUCT('MODEL Product Introduction'!$C125:$F125,'MODEL Product Introduction'!$D$90:$G$90)</f>
        <v>8370165.516875797</v>
      </c>
      <c r="FV200" s="12">
        <f>SUMPRODUCT('MODEL Product Introduction'!$C125:$F125,'MODEL Product Introduction'!$D$91:$G$91)</f>
        <v>6602906.0545019507</v>
      </c>
      <c r="FW200" s="12">
        <f>'MODEL Product Introduction'!$J125-'MODEL Product Introduction'!$K125</f>
        <v>-93716.994865600951</v>
      </c>
      <c r="FX200" s="12">
        <f>SUM('MODEL Product Introduction'!$C125:$F125)*10+'MODEL Product Introduction'!$I125*'MODEL Product Introduction'!$C125</f>
        <v>1144327.8903535148</v>
      </c>
      <c r="FY200" s="12">
        <f t="shared" si="23"/>
        <v>-1238044.8852191158</v>
      </c>
      <c r="FZ200" s="12">
        <f>'MODEL Product Introduction'!$N125+'MODEL Product Introduction'!$O124</f>
        <v>-8485170.1462691203</v>
      </c>
    </row>
    <row r="201" spans="90:182" ht="13.5" thickBot="1">
      <c r="CL201" s="814">
        <f t="shared" si="15"/>
        <v>1.4999999999999999E-2</v>
      </c>
      <c r="CM201" s="814">
        <f t="shared" si="24"/>
        <v>0</v>
      </c>
      <c r="CN201" s="814">
        <f t="shared" si="26"/>
        <v>1.4999999999999999E-2</v>
      </c>
      <c r="CO201" s="814"/>
      <c r="CP201" s="814"/>
      <c r="CQ201" s="814">
        <f t="shared" si="16"/>
        <v>1.4999999999999999E-2</v>
      </c>
      <c r="CR201" s="814">
        <f t="shared" si="17"/>
        <v>0</v>
      </c>
      <c r="CS201" s="814">
        <f t="shared" si="18"/>
        <v>0</v>
      </c>
      <c r="CT201" s="814">
        <f t="shared" si="19"/>
        <v>1.4999999999999999E-2</v>
      </c>
      <c r="CU201" s="814">
        <f t="shared" si="20"/>
        <v>0</v>
      </c>
      <c r="CV201" s="814">
        <f t="shared" si="21"/>
        <v>0</v>
      </c>
      <c r="CW201" s="814">
        <f t="shared" si="22"/>
        <v>1.4999999999999999E-2</v>
      </c>
      <c r="CX201" s="814"/>
      <c r="FA201" s="763">
        <f>'MODEL Product Introduction'!D126</f>
        <v>3388.2609943232378</v>
      </c>
      <c r="FB201" s="763">
        <f>'MODEL Product Introduction'!E126</f>
        <v>4356.3355641298776</v>
      </c>
      <c r="FC201" s="763">
        <f>'MODEL Product Introduction'!F126</f>
        <v>54942.275148209694</v>
      </c>
      <c r="FF201" s="763">
        <f>'MODEL Product Introduction'!I126</f>
        <v>100</v>
      </c>
      <c r="FG201" s="763">
        <f>'MODEL Product Introduction'!J126</f>
        <v>6166277.9059320036</v>
      </c>
      <c r="FH201" s="763">
        <f>'MODEL Product Introduction'!K126</f>
        <v>6268687.1706662811</v>
      </c>
      <c r="FI201" s="763">
        <f>'MODEL Product Introduction'!L126</f>
        <v>-102409.2647342775</v>
      </c>
      <c r="FJ201" s="763">
        <f>'MODEL Product Introduction'!M126</f>
        <v>676156.4828418633</v>
      </c>
      <c r="FK201" s="763">
        <f>'MODEL Product Introduction'!N126</f>
        <v>-778565.7475761408</v>
      </c>
      <c r="FL201" s="763">
        <f>'MODEL Product Introduction'!O126</f>
        <v>-9263735.8938452601</v>
      </c>
      <c r="FO201" s="5">
        <f>'MODEL Product Introduction'!$C125*(1-'MODEL Product Introduction'!$E$92)</f>
        <v>3388.2609943232378</v>
      </c>
      <c r="FP201" s="5">
        <f>'MODEL Product Introduction'!$D125*(1-'MODEL Product Introduction'!$F$92)</f>
        <v>3019.2424701890241</v>
      </c>
      <c r="FQ201" s="5">
        <f>('MODEL Product Introduction'!$E125+'MODEL Product Introduction'!$F125)*(1-'MODEL Product Introduction'!$G$92)</f>
        <v>54942.275148209694</v>
      </c>
      <c r="FR201" s="605"/>
      <c r="FS201" s="606"/>
      <c r="FT201" s="12">
        <f>'MODEL Product Introduction'!$G126*(1+'MODEL Product Introduction'!$H126)</f>
        <v>100</v>
      </c>
      <c r="FU201" s="12">
        <f>SUMPRODUCT('MODEL Product Introduction'!$C126:$F126,'MODEL Product Introduction'!$D$90:$G$90)</f>
        <v>8577948.7707648836</v>
      </c>
      <c r="FV201" s="12">
        <f>SUMPRODUCT('MODEL Product Introduction'!$C126:$F126,'MODEL Product Introduction'!$D$91:$G$91)</f>
        <v>6757564.8284186339</v>
      </c>
      <c r="FW201" s="12">
        <f>'MODEL Product Introduction'!$J126-'MODEL Product Introduction'!$K126</f>
        <v>-102409.2647342775</v>
      </c>
      <c r="FX201" s="12">
        <f>SUM('MODEL Product Introduction'!$C126:$F126)*10+'MODEL Product Introduction'!$I126*'MODEL Product Introduction'!$C126</f>
        <v>1164634.1405942161</v>
      </c>
      <c r="FY201" s="12">
        <f t="shared" si="23"/>
        <v>-1267043.4053284936</v>
      </c>
      <c r="FZ201" s="12">
        <f>'MODEL Product Introduction'!$N126+'MODEL Product Introduction'!$O125</f>
        <v>-9263735.8938452601</v>
      </c>
    </row>
    <row r="202" spans="90:182" ht="13.5" thickBot="1">
      <c r="CL202" s="814">
        <f t="shared" si="15"/>
        <v>1.4999999999999999E-2</v>
      </c>
      <c r="CM202" s="814">
        <f t="shared" si="24"/>
        <v>0</v>
      </c>
      <c r="CN202" s="814">
        <f t="shared" si="26"/>
        <v>1.4999999999999999E-2</v>
      </c>
      <c r="CO202" s="814"/>
      <c r="CP202" s="814"/>
      <c r="CQ202" s="814">
        <f t="shared" si="16"/>
        <v>1.4999999999999999E-2</v>
      </c>
      <c r="CR202" s="814">
        <f t="shared" si="17"/>
        <v>0</v>
      </c>
      <c r="CS202" s="814">
        <f t="shared" si="18"/>
        <v>0</v>
      </c>
      <c r="CT202" s="814">
        <f t="shared" si="19"/>
        <v>1.4999999999999999E-2</v>
      </c>
      <c r="CU202" s="814">
        <f t="shared" si="20"/>
        <v>0</v>
      </c>
      <c r="CV202" s="814">
        <f t="shared" si="21"/>
        <v>0</v>
      </c>
      <c r="CW202" s="814">
        <f t="shared" si="22"/>
        <v>1.4999999999999999E-2</v>
      </c>
      <c r="CX202" s="814"/>
      <c r="FA202" s="763">
        <f>'MODEL Product Introduction'!D127</f>
        <v>3422.1436042664695</v>
      </c>
      <c r="FB202" s="763">
        <f>'MODEL Product Introduction'!E127</f>
        <v>4399.8989197711753</v>
      </c>
      <c r="FC202" s="763">
        <f>'MODEL Product Introduction'!F127</f>
        <v>56333.680176722592</v>
      </c>
      <c r="FF202" s="763">
        <f>'MODEL Product Introduction'!I127</f>
        <v>100</v>
      </c>
      <c r="FG202" s="763">
        <f>'MODEL Product Introduction'!J127</f>
        <v>6304771.5677703843</v>
      </c>
      <c r="FH202" s="763">
        <f>'MODEL Product Introduction'!K127</f>
        <v>6415572.2700760234</v>
      </c>
      <c r="FI202" s="763">
        <f>'MODEL Product Introduction'!L127</f>
        <v>-110800.70230563916</v>
      </c>
      <c r="FJ202" s="763">
        <f>'MODEL Product Introduction'!M127</f>
        <v>691333.87044058996</v>
      </c>
      <c r="FK202" s="763">
        <f>'MODEL Product Introduction'!N127</f>
        <v>-802134.57274622913</v>
      </c>
      <c r="FL202" s="763">
        <f>'MODEL Product Introduction'!O127</f>
        <v>-10065870.466591489</v>
      </c>
      <c r="FO202" s="5">
        <f>'MODEL Product Introduction'!$C126*(1-'MODEL Product Introduction'!$E$92)</f>
        <v>3422.1436042664695</v>
      </c>
      <c r="FP202" s="5">
        <f>'MODEL Product Introduction'!$D126*(1-'MODEL Product Introduction'!$F$92)</f>
        <v>3049.4348948909142</v>
      </c>
      <c r="FQ202" s="5">
        <f>('MODEL Product Introduction'!$E126+'MODEL Product Introduction'!$F126)*(1-'MODEL Product Introduction'!$G$92)</f>
        <v>56333.680176722592</v>
      </c>
      <c r="FR202" s="605"/>
      <c r="FS202" s="606"/>
      <c r="FT202" s="12">
        <f>'MODEL Product Introduction'!$G127*(1+'MODEL Product Introduction'!$H127)</f>
        <v>100</v>
      </c>
      <c r="FU202" s="12">
        <f>SUMPRODUCT('MODEL Product Introduction'!$C127:$F127,'MODEL Product Introduction'!$D$90:$G$90)</f>
        <v>8781605.7772568446</v>
      </c>
      <c r="FV202" s="12">
        <f>SUMPRODUCT('MODEL Product Introduction'!$C127:$F127,'MODEL Product Introduction'!$D$91:$G$91)</f>
        <v>6909338.7044059001</v>
      </c>
      <c r="FW202" s="12">
        <f>'MODEL Product Introduction'!$J127-'MODEL Product Introduction'!$K127</f>
        <v>-110800.70230563916</v>
      </c>
      <c r="FX202" s="12">
        <f>SUM('MODEL Product Introduction'!$C127:$F127)*10+'MODEL Product Introduction'!$I127*'MODEL Product Introduction'!$C127</f>
        <v>1184700.3047704664</v>
      </c>
      <c r="FY202" s="12">
        <f t="shared" si="23"/>
        <v>-1295501.0070761056</v>
      </c>
      <c r="FZ202" s="12">
        <f>'MODEL Product Introduction'!$N127+'MODEL Product Introduction'!$O126</f>
        <v>-10065870.466591489</v>
      </c>
    </row>
    <row r="203" spans="90:182" ht="13.5" thickBot="1">
      <c r="CL203" s="814">
        <f t="shared" si="15"/>
        <v>1.4999999999999999E-2</v>
      </c>
      <c r="CM203" s="814">
        <f t="shared" si="24"/>
        <v>0</v>
      </c>
      <c r="CN203" s="814">
        <f t="shared" si="26"/>
        <v>1.4999999999999999E-2</v>
      </c>
      <c r="CO203" s="814"/>
      <c r="CP203" s="814"/>
      <c r="CQ203" s="814">
        <f t="shared" si="16"/>
        <v>1.4999999999999999E-2</v>
      </c>
      <c r="CR203" s="814">
        <f t="shared" si="17"/>
        <v>0</v>
      </c>
      <c r="CS203" s="814">
        <f t="shared" si="18"/>
        <v>0</v>
      </c>
      <c r="CT203" s="814">
        <f t="shared" si="19"/>
        <v>1.4999999999999999E-2</v>
      </c>
      <c r="CU203" s="814">
        <f t="shared" si="20"/>
        <v>0</v>
      </c>
      <c r="CV203" s="814">
        <f t="shared" si="21"/>
        <v>0</v>
      </c>
      <c r="CW203" s="814">
        <f t="shared" si="22"/>
        <v>1.4999999999999999E-2</v>
      </c>
      <c r="CX203" s="814"/>
      <c r="FA203" s="763">
        <f>'MODEL Product Introduction'!D128</f>
        <v>3456.3650403091347</v>
      </c>
      <c r="FB203" s="763">
        <f>'MODEL Product Introduction'!E128</f>
        <v>4443.8979089688874</v>
      </c>
      <c r="FC203" s="763">
        <f>'MODEL Product Introduction'!F128</f>
        <v>57696.900141669081</v>
      </c>
      <c r="FF203" s="763">
        <f>'MODEL Product Introduction'!I128</f>
        <v>100</v>
      </c>
      <c r="FG203" s="763">
        <f>'MODEL Product Introduction'!J128</f>
        <v>6440808.6220881958</v>
      </c>
      <c r="FH203" s="763">
        <f>'MODEL Product Introduction'!K128</f>
        <v>6559716.3090947103</v>
      </c>
      <c r="FI203" s="763">
        <f>'MODEL Product Introduction'!L128</f>
        <v>-118907.68700651452</v>
      </c>
      <c r="FJ203" s="763">
        <f>'MODEL Product Introduction'!M128</f>
        <v>706242.04077678849</v>
      </c>
      <c r="FK203" s="763">
        <f>'MODEL Product Introduction'!N128</f>
        <v>-825149.72778330301</v>
      </c>
      <c r="FL203" s="763">
        <f>'MODEL Product Introduction'!O128</f>
        <v>-10891020.194374792</v>
      </c>
      <c r="FO203" s="5">
        <f>'MODEL Product Introduction'!$C127*(1-'MODEL Product Introduction'!$E$92)</f>
        <v>3456.3650403091347</v>
      </c>
      <c r="FP203" s="5">
        <f>'MODEL Product Introduction'!$D127*(1-'MODEL Product Introduction'!$F$92)</f>
        <v>3079.9292438398224</v>
      </c>
      <c r="FQ203" s="5">
        <f>('MODEL Product Introduction'!$E127+'MODEL Product Introduction'!$F127)*(1-'MODEL Product Introduction'!$G$92)</f>
        <v>57696.900141669081</v>
      </c>
      <c r="FR203" s="605"/>
      <c r="FS203" s="606"/>
      <c r="FT203" s="12">
        <f>'MODEL Product Introduction'!$G128*(1+'MODEL Product Introduction'!$H128)</f>
        <v>100</v>
      </c>
      <c r="FU203" s="12">
        <f>SUMPRODUCT('MODEL Product Introduction'!$C128:$F128,'MODEL Product Introduction'!$D$90:$G$90)</f>
        <v>8981405.47787451</v>
      </c>
      <c r="FV203" s="12">
        <f>SUMPRODUCT('MODEL Product Introduction'!$C128:$F128,'MODEL Product Introduction'!$D$91:$G$91)</f>
        <v>7058420.4077678863</v>
      </c>
      <c r="FW203" s="12">
        <f>'MODEL Product Introduction'!$J128-'MODEL Product Introduction'!$K128</f>
        <v>-118907.68700651452</v>
      </c>
      <c r="FX203" s="12">
        <f>SUM('MODEL Product Introduction'!$C128:$F128)*10+'MODEL Product Introduction'!$I128*'MODEL Product Introduction'!$C128</f>
        <v>1204546.1394499636</v>
      </c>
      <c r="FY203" s="12">
        <f t="shared" si="23"/>
        <v>-1323453.8264564781</v>
      </c>
      <c r="FZ203" s="12">
        <f>'MODEL Product Introduction'!$N128+'MODEL Product Introduction'!$O127</f>
        <v>-10891020.194374792</v>
      </c>
    </row>
    <row r="204" spans="90:182" ht="13.5" thickBot="1">
      <c r="CL204" s="814">
        <f t="shared" si="15"/>
        <v>1.4999999999999999E-2</v>
      </c>
      <c r="CM204" s="814">
        <f t="shared" si="24"/>
        <v>0</v>
      </c>
      <c r="CN204" s="814">
        <f t="shared" si="26"/>
        <v>1.4999999999999999E-2</v>
      </c>
      <c r="CO204" s="814"/>
      <c r="CP204" s="814"/>
      <c r="CQ204" s="814">
        <f t="shared" si="16"/>
        <v>1.4999999999999999E-2</v>
      </c>
      <c r="CR204" s="814">
        <f t="shared" si="17"/>
        <v>0</v>
      </c>
      <c r="CS204" s="814">
        <f t="shared" si="18"/>
        <v>0</v>
      </c>
      <c r="CT204" s="814">
        <f t="shared" si="19"/>
        <v>1.4999999999999999E-2</v>
      </c>
      <c r="CU204" s="814">
        <f t="shared" si="20"/>
        <v>0</v>
      </c>
      <c r="CV204" s="814">
        <f t="shared" si="21"/>
        <v>0</v>
      </c>
      <c r="CW204" s="814">
        <f t="shared" si="22"/>
        <v>1.4999999999999999E-2</v>
      </c>
      <c r="CX204" s="814"/>
      <c r="FA204" s="763">
        <f>'MODEL Product Introduction'!D129</f>
        <v>3490.9286907122255</v>
      </c>
      <c r="FB204" s="763">
        <f>'MODEL Product Introduction'!E129</f>
        <v>4488.3368880585758</v>
      </c>
      <c r="FC204" s="763">
        <f>'MODEL Product Introduction'!F129</f>
        <v>59033.75814810607</v>
      </c>
      <c r="FF204" s="763">
        <f>'MODEL Product Introduction'!I129</f>
        <v>100.1</v>
      </c>
      <c r="FG204" s="763">
        <f>'MODEL Product Introduction'!J129</f>
        <v>6574556.5800171793</v>
      </c>
      <c r="FH204" s="763">
        <f>'MODEL Product Introduction'!K129</f>
        <v>6701302.3726876872</v>
      </c>
      <c r="FI204" s="763">
        <f>'MODEL Product Introduction'!L129</f>
        <v>-126745.79267050792</v>
      </c>
      <c r="FJ204" s="763">
        <f>'MODEL Product Introduction'!M129</f>
        <v>720899.75123475946</v>
      </c>
      <c r="FK204" s="763">
        <f>'MODEL Product Introduction'!N129</f>
        <v>-847645.54390526738</v>
      </c>
      <c r="FL204" s="763">
        <f>'MODEL Product Introduction'!O129</f>
        <v>-11738665.73828006</v>
      </c>
      <c r="FO204" s="5">
        <f>'MODEL Product Introduction'!$C128*(1-'MODEL Product Introduction'!$E$92)</f>
        <v>3490.9286907122255</v>
      </c>
      <c r="FP204" s="5">
        <f>'MODEL Product Introduction'!$D128*(1-'MODEL Product Introduction'!$F$92)</f>
        <v>3110.7285362782213</v>
      </c>
      <c r="FQ204" s="5">
        <f>('MODEL Product Introduction'!$E128+'MODEL Product Introduction'!$F128)*(1-'MODEL Product Introduction'!$G$92)</f>
        <v>59033.75814810607</v>
      </c>
      <c r="FR204" s="605"/>
      <c r="FS204" s="606"/>
      <c r="FT204" s="12">
        <f>'MODEL Product Introduction'!$G129*(1+'MODEL Product Introduction'!$H129)</f>
        <v>110.00000000000001</v>
      </c>
      <c r="FU204" s="12">
        <f>SUMPRODUCT('MODEL Product Introduction'!$C129:$F129,'MODEL Product Introduction'!$D$90:$G$90)</f>
        <v>9177603.9933560975</v>
      </c>
      <c r="FV204" s="12">
        <f>SUMPRODUCT('MODEL Product Introduction'!$C129:$F129,'MODEL Product Introduction'!$D$91:$G$91)</f>
        <v>7204993.5123475939</v>
      </c>
      <c r="FW204" s="12">
        <f>'MODEL Product Introduction'!$J129-'MODEL Product Introduction'!$K129</f>
        <v>-126745.79267050792</v>
      </c>
      <c r="FX204" s="12">
        <f>SUM('MODEL Product Introduction'!$C129:$F129)*10+'MODEL Product Introduction'!$I129*'MODEL Product Introduction'!$C129</f>
        <v>1224694.1820343263</v>
      </c>
      <c r="FY204" s="12">
        <f t="shared" si="23"/>
        <v>-1351439.9747048342</v>
      </c>
      <c r="FZ204" s="12">
        <f>'MODEL Product Introduction'!$N129+'MODEL Product Introduction'!$O128</f>
        <v>-11738665.73828006</v>
      </c>
    </row>
    <row r="205" spans="90:182" ht="13.5" thickBot="1">
      <c r="CL205" s="814">
        <f t="shared" si="15"/>
        <v>1.4999999999999999E-2</v>
      </c>
      <c r="CM205" s="814">
        <f t="shared" si="24"/>
        <v>0</v>
      </c>
      <c r="CN205" s="814">
        <f t="shared" si="26"/>
        <v>1.4999999999999999E-2</v>
      </c>
      <c r="CO205" s="814"/>
      <c r="CP205" s="814"/>
      <c r="CQ205" s="814">
        <f t="shared" si="16"/>
        <v>1.4999999999999999E-2</v>
      </c>
      <c r="CR205" s="814">
        <f t="shared" si="17"/>
        <v>0</v>
      </c>
      <c r="CS205" s="814">
        <f t="shared" si="18"/>
        <v>0</v>
      </c>
      <c r="CT205" s="814">
        <f t="shared" si="19"/>
        <v>1.4999999999999999E-2</v>
      </c>
      <c r="CU205" s="814">
        <f t="shared" si="20"/>
        <v>0</v>
      </c>
      <c r="CV205" s="814">
        <f t="shared" si="21"/>
        <v>0</v>
      </c>
      <c r="CW205" s="814">
        <f t="shared" si="22"/>
        <v>1.4999999999999999E-2</v>
      </c>
      <c r="CX205" s="814"/>
      <c r="FA205" s="763">
        <f>'MODEL Product Introduction'!D130</f>
        <v>3525.8379776193483</v>
      </c>
      <c r="FB205" s="763">
        <f>'MODEL Product Introduction'!E130</f>
        <v>4533.220256939162</v>
      </c>
      <c r="FC205" s="763">
        <f>'MODEL Product Introduction'!F130</f>
        <v>60345.990284356412</v>
      </c>
      <c r="FF205" s="763">
        <f>'MODEL Product Introduction'!I130</f>
        <v>100.1</v>
      </c>
      <c r="FG205" s="763">
        <f>'MODEL Product Introduction'!J130</f>
        <v>6706175.0239400491</v>
      </c>
      <c r="FH205" s="763">
        <f>'MODEL Product Introduction'!K130</f>
        <v>6840504.8518914916</v>
      </c>
      <c r="FI205" s="763">
        <f>'MODEL Product Introduction'!L130</f>
        <v>-134329.82795144245</v>
      </c>
      <c r="FJ205" s="763">
        <f>'MODEL Product Introduction'!M130</f>
        <v>735323.69029479986</v>
      </c>
      <c r="FK205" s="763">
        <f>'MODEL Product Introduction'!N130</f>
        <v>-869653.51824624231</v>
      </c>
      <c r="FL205" s="763">
        <f>'MODEL Product Introduction'!O130</f>
        <v>-12608319.256526303</v>
      </c>
      <c r="FO205" s="5">
        <f>'MODEL Product Introduction'!$C129*(1-'MODEL Product Introduction'!$E$92)</f>
        <v>3525.8379776193483</v>
      </c>
      <c r="FP205" s="5">
        <f>'MODEL Product Introduction'!$D129*(1-'MODEL Product Introduction'!$F$92)</f>
        <v>3141.8358216410029</v>
      </c>
      <c r="FQ205" s="5">
        <f>('MODEL Product Introduction'!$E129+'MODEL Product Introduction'!$F129)*(1-'MODEL Product Introduction'!$G$92)</f>
        <v>60345.990284356412</v>
      </c>
      <c r="FR205" s="605"/>
      <c r="FS205" s="606"/>
      <c r="FT205" s="12">
        <f>'MODEL Product Introduction'!$G130*(1+'MODEL Product Introduction'!$H130)</f>
        <v>110.00000000000001</v>
      </c>
      <c r="FU205" s="12">
        <f>SUMPRODUCT('MODEL Product Introduction'!$C130:$F130,'MODEL Product Introduction'!$D$90:$G$90)</f>
        <v>9370445.2709573563</v>
      </c>
      <c r="FV205" s="12">
        <f>SUMPRODUCT('MODEL Product Introduction'!$C130:$F130,'MODEL Product Introduction'!$D$91:$G$91)</f>
        <v>7349232.9029479977</v>
      </c>
      <c r="FW205" s="12">
        <f>'MODEL Product Introduction'!$J130-'MODEL Product Introduction'!$K130</f>
        <v>-134329.82795144245</v>
      </c>
      <c r="FX205" s="12">
        <f>SUM('MODEL Product Introduction'!$C130:$F130)*10+'MODEL Product Introduction'!$I130*'MODEL Product Introduction'!$C130</f>
        <v>1244160.0694023622</v>
      </c>
      <c r="FY205" s="12">
        <f t="shared" si="23"/>
        <v>-1378489.8973538047</v>
      </c>
      <c r="FZ205" s="12">
        <f>'MODEL Product Introduction'!$N130+'MODEL Product Introduction'!$O129</f>
        <v>-12608319.256526303</v>
      </c>
    </row>
    <row r="206" spans="90:182" ht="13.5" thickBot="1">
      <c r="CL206" s="814">
        <f t="shared" ref="CL206:CL237" si="27">IFERROR(IF(OR(ABS(FA206-FO206)&lt;100,CC206&lt;&gt;0),0.015,0),0)</f>
        <v>1.4999999999999999E-2</v>
      </c>
      <c r="CM206" s="814">
        <f t="shared" si="24"/>
        <v>0</v>
      </c>
      <c r="CN206" s="814">
        <f t="shared" si="26"/>
        <v>1.4999999999999999E-2</v>
      </c>
      <c r="CO206" s="814"/>
      <c r="CP206" s="814"/>
      <c r="CQ206" s="814">
        <f t="shared" si="16"/>
        <v>1.4999999999999999E-2</v>
      </c>
      <c r="CR206" s="814">
        <f t="shared" si="17"/>
        <v>0</v>
      </c>
      <c r="CS206" s="814">
        <f t="shared" si="18"/>
        <v>0</v>
      </c>
      <c r="CT206" s="814">
        <f t="shared" si="19"/>
        <v>1.4999999999999999E-2</v>
      </c>
      <c r="CU206" s="814">
        <f t="shared" si="20"/>
        <v>0</v>
      </c>
      <c r="CV206" s="814">
        <f t="shared" si="21"/>
        <v>0</v>
      </c>
      <c r="CW206" s="814">
        <f t="shared" si="22"/>
        <v>1.4999999999999999E-2</v>
      </c>
      <c r="CX206" s="814"/>
      <c r="FA206" s="763">
        <f>'MODEL Product Introduction'!D131</f>
        <v>3561.0963573955414</v>
      </c>
      <c r="FB206" s="763">
        <f>'MODEL Product Introduction'!E131</f>
        <v>4578.5524595085535</v>
      </c>
      <c r="FC206" s="763">
        <f>'MODEL Product Introduction'!F131</f>
        <v>61635.250014230791</v>
      </c>
      <c r="FF206" s="763">
        <f>'MODEL Product Introduction'!I131</f>
        <v>110.1</v>
      </c>
      <c r="FG206" s="763">
        <f>'MODEL Product Introduction'!J131</f>
        <v>6835816.0083960108</v>
      </c>
      <c r="FH206" s="763">
        <f>'MODEL Product Introduction'!K131</f>
        <v>6977489.8831134876</v>
      </c>
      <c r="FI206" s="763">
        <f>'MODEL Product Introduction'!L131</f>
        <v>-141673.87471747678</v>
      </c>
      <c r="FJ206" s="763">
        <f>'MODEL Product Introduction'!M131</f>
        <v>749570.92146805592</v>
      </c>
      <c r="FK206" s="763">
        <f>'MODEL Product Introduction'!N131</f>
        <v>-891244.7961855327</v>
      </c>
      <c r="FL206" s="763">
        <f>'MODEL Product Introduction'!O131</f>
        <v>-13499564.052711835</v>
      </c>
      <c r="FO206" s="5">
        <f>'MODEL Product Introduction'!$C130*(1-'MODEL Product Introduction'!$E$92)</f>
        <v>3561.0963573955414</v>
      </c>
      <c r="FP206" s="5">
        <f>'MODEL Product Introduction'!$D130*(1-'MODEL Product Introduction'!$F$92)</f>
        <v>3173.2541798574134</v>
      </c>
      <c r="FQ206" s="5">
        <f>('MODEL Product Introduction'!$E130+'MODEL Product Introduction'!$F130)*(1-'MODEL Product Introduction'!$G$92)</f>
        <v>61635.250014230791</v>
      </c>
      <c r="FR206" s="605"/>
      <c r="FS206" s="606"/>
      <c r="FT206" s="12">
        <f>'MODEL Product Introduction'!$G131*(1+'MODEL Product Introduction'!$H131)</f>
        <v>121.00000000000001</v>
      </c>
      <c r="FU206" s="12">
        <f>SUMPRODUCT('MODEL Product Introduction'!$C131:$F131,'MODEL Product Introduction'!$D$90:$G$90)</f>
        <v>9560161.6994512454</v>
      </c>
      <c r="FV206" s="12">
        <f>SUMPRODUCT('MODEL Product Introduction'!$C131:$F131,'MODEL Product Introduction'!$D$91:$G$91)</f>
        <v>7491305.2146805599</v>
      </c>
      <c r="FW206" s="12">
        <f>'MODEL Product Introduction'!$J131-'MODEL Product Introduction'!$K131</f>
        <v>-141673.87471747678</v>
      </c>
      <c r="FX206" s="12">
        <f>SUM('MODEL Product Introduction'!$C131:$F131)*10+'MODEL Product Introduction'!$I131*'MODEL Product Introduction'!$C131</f>
        <v>1314841.2015234011</v>
      </c>
      <c r="FY206" s="12">
        <f t="shared" ref="FY206:FY237" si="28">FW206-FX206</f>
        <v>-1456515.0762408779</v>
      </c>
      <c r="FZ206" s="12">
        <f>'MODEL Product Introduction'!$N131+'MODEL Product Introduction'!$O130</f>
        <v>-13499564.052711835</v>
      </c>
    </row>
    <row r="207" spans="90:182" ht="13.5" thickBot="1">
      <c r="CL207" s="814">
        <f t="shared" si="27"/>
        <v>1.4999999999999999E-2</v>
      </c>
      <c r="CM207" s="814">
        <f t="shared" si="24"/>
        <v>0</v>
      </c>
      <c r="CN207" s="814">
        <f t="shared" si="26"/>
        <v>1.4999999999999999E-2</v>
      </c>
      <c r="CO207" s="814"/>
      <c r="CP207" s="814"/>
      <c r="CQ207" s="814">
        <f t="shared" si="16"/>
        <v>1.4999999999999999E-2</v>
      </c>
      <c r="CR207" s="814">
        <f t="shared" si="17"/>
        <v>0</v>
      </c>
      <c r="CS207" s="814">
        <f t="shared" si="18"/>
        <v>0</v>
      </c>
      <c r="CT207" s="814">
        <f t="shared" si="19"/>
        <v>1.4999999999999999E-2</v>
      </c>
      <c r="CU207" s="814">
        <f t="shared" si="20"/>
        <v>0</v>
      </c>
      <c r="CV207" s="814">
        <f t="shared" si="21"/>
        <v>0</v>
      </c>
      <c r="CW207" s="814">
        <f t="shared" si="22"/>
        <v>1.4999999999999999E-2</v>
      </c>
      <c r="CX207" s="814"/>
      <c r="FA207" s="763">
        <f>'MODEL Product Introduction'!D132</f>
        <v>3596.7073209694968</v>
      </c>
      <c r="FB207" s="763">
        <f>'MODEL Product Introduction'!E132</f>
        <v>4624.3379841036394</v>
      </c>
      <c r="FC207" s="763">
        <f>'MODEL Product Introduction'!F132</f>
        <v>62903.112350052375</v>
      </c>
      <c r="FF207" s="763">
        <f>'MODEL Product Introduction'!I132</f>
        <v>110.1</v>
      </c>
      <c r="FG207" s="763">
        <f>'MODEL Product Introduction'!J132</f>
        <v>6963624.4409857038</v>
      </c>
      <c r="FH207" s="763">
        <f>'MODEL Product Introduction'!K132</f>
        <v>7112415.7655125512</v>
      </c>
      <c r="FI207" s="763">
        <f>'MODEL Product Introduction'!L132</f>
        <v>-148791.32452684734</v>
      </c>
      <c r="FJ207" s="763">
        <f>'MODEL Product Introduction'!M132</f>
        <v>763577.32503952936</v>
      </c>
      <c r="FK207" s="763">
        <f>'MODEL Product Introduction'!N132</f>
        <v>-912368.6495663767</v>
      </c>
      <c r="FL207" s="763">
        <f>'MODEL Product Introduction'!O132</f>
        <v>-14411932.702278212</v>
      </c>
      <c r="FO207" s="5">
        <f>'MODEL Product Introduction'!$C131*(1-'MODEL Product Introduction'!$E$92)</f>
        <v>3596.7073209694968</v>
      </c>
      <c r="FP207" s="5">
        <f>'MODEL Product Introduction'!$D131*(1-'MODEL Product Introduction'!$F$92)</f>
        <v>3204.9867216559874</v>
      </c>
      <c r="FQ207" s="5">
        <f>('MODEL Product Introduction'!$E131+'MODEL Product Introduction'!$F131)*(1-'MODEL Product Introduction'!$G$92)</f>
        <v>62903.112350052375</v>
      </c>
      <c r="FR207" s="605"/>
      <c r="FS207" s="606"/>
      <c r="FT207" s="12">
        <f>'MODEL Product Introduction'!$G132*(1+'MODEL Product Introduction'!$H132)</f>
        <v>121.00000000000001</v>
      </c>
      <c r="FU207" s="12">
        <f>SUMPRODUCT('MODEL Product Introduction'!$C132:$F132,'MODEL Product Introduction'!$D$90:$G$90)</f>
        <v>9746974.6934408545</v>
      </c>
      <c r="FV207" s="12">
        <f>SUMPRODUCT('MODEL Product Introduction'!$C132:$F132,'MODEL Product Introduction'!$D$91:$G$91)</f>
        <v>7631369.2503952924</v>
      </c>
      <c r="FW207" s="12">
        <f>'MODEL Product Introduction'!$J132-'MODEL Product Introduction'!$K132</f>
        <v>-148791.32452684734</v>
      </c>
      <c r="FX207" s="12">
        <f>SUM('MODEL Product Introduction'!$C132:$F132)*10+'MODEL Product Introduction'!$I132*'MODEL Product Introduction'!$C132</f>
        <v>1334504.7118954281</v>
      </c>
      <c r="FY207" s="12">
        <f t="shared" si="28"/>
        <v>-1483296.0364222755</v>
      </c>
      <c r="FZ207" s="12">
        <f>'MODEL Product Introduction'!$N132+'MODEL Product Introduction'!$O131</f>
        <v>-14411932.702278212</v>
      </c>
    </row>
    <row r="208" spans="90:182" ht="13.5" thickBot="1">
      <c r="CL208" s="814">
        <f t="shared" si="27"/>
        <v>1.4999999999999999E-2</v>
      </c>
      <c r="CM208" s="814">
        <f t="shared" si="24"/>
        <v>0</v>
      </c>
      <c r="CN208" s="814">
        <f t="shared" si="26"/>
        <v>1.4999999999999999E-2</v>
      </c>
      <c r="CO208" s="814"/>
      <c r="CP208" s="814"/>
      <c r="CQ208" s="814">
        <f t="shared" si="16"/>
        <v>1.4999999999999999E-2</v>
      </c>
      <c r="CR208" s="814">
        <f t="shared" si="17"/>
        <v>0</v>
      </c>
      <c r="CS208" s="814">
        <f t="shared" si="18"/>
        <v>0</v>
      </c>
      <c r="CT208" s="814">
        <f t="shared" si="19"/>
        <v>1.4999999999999999E-2</v>
      </c>
      <c r="CU208" s="814">
        <f t="shared" si="20"/>
        <v>0</v>
      </c>
      <c r="CV208" s="814">
        <f t="shared" si="21"/>
        <v>0</v>
      </c>
      <c r="CW208" s="814">
        <f t="shared" si="22"/>
        <v>1.4999999999999999E-2</v>
      </c>
      <c r="CX208" s="814"/>
      <c r="FA208" s="763">
        <f>'MODEL Product Introduction'!D133</f>
        <v>3632.6743941791919</v>
      </c>
      <c r="FB208" s="763">
        <f>'MODEL Product Introduction'!E133</f>
        <v>4670.581363944676</v>
      </c>
      <c r="FC208" s="763">
        <f>'MODEL Product Introduction'!F133</f>
        <v>64151.077817448218</v>
      </c>
      <c r="FF208" s="763">
        <f>'MODEL Product Introduction'!I133</f>
        <v>150.1</v>
      </c>
      <c r="FG208" s="763">
        <f>'MODEL Product Introduction'!J133</f>
        <v>7089738.4442760097</v>
      </c>
      <c r="FH208" s="763">
        <f>'MODEL Product Introduction'!K133</f>
        <v>7245433.3575572092</v>
      </c>
      <c r="FI208" s="763">
        <f>'MODEL Product Introduction'!L133</f>
        <v>-155694.91328119952</v>
      </c>
      <c r="FJ208" s="763">
        <f>'MODEL Product Introduction'!M133</f>
        <v>777558.03772887774</v>
      </c>
      <c r="FK208" s="763">
        <f>'MODEL Product Introduction'!N133</f>
        <v>-933252.95101007726</v>
      </c>
      <c r="FL208" s="763">
        <f>'MODEL Product Introduction'!O133</f>
        <v>-15345185.65328829</v>
      </c>
      <c r="FO208" s="5">
        <f>'MODEL Product Introduction'!$C132*(1-'MODEL Product Introduction'!$E$92)</f>
        <v>3632.6743941791919</v>
      </c>
      <c r="FP208" s="5">
        <f>'MODEL Product Introduction'!$D132*(1-'MODEL Product Introduction'!$F$92)</f>
        <v>3237.0365888725473</v>
      </c>
      <c r="FQ208" s="5">
        <f>('MODEL Product Introduction'!$E132+'MODEL Product Introduction'!$F132)*(1-'MODEL Product Introduction'!$G$92)</f>
        <v>64151.077817448218</v>
      </c>
      <c r="FR208" s="605"/>
      <c r="FS208" s="606"/>
      <c r="FT208" s="12">
        <f>'MODEL Product Introduction'!$G133*(1+'MODEL Product Introduction'!$H133)</f>
        <v>165</v>
      </c>
      <c r="FU208" s="12">
        <f>SUMPRODUCT('MODEL Product Introduction'!$C133:$F133,'MODEL Product Introduction'!$D$90:$G$90)</f>
        <v>9931095.248520609</v>
      </c>
      <c r="FV208" s="12">
        <f>SUMPRODUCT('MODEL Product Introduction'!$C133:$F133,'MODEL Product Introduction'!$D$91:$G$91)</f>
        <v>7769576.3772887774</v>
      </c>
      <c r="FW208" s="12">
        <f>'MODEL Product Introduction'!$J133-'MODEL Product Introduction'!$K133</f>
        <v>-155694.91328119952</v>
      </c>
      <c r="FX208" s="12">
        <f>SUM('MODEL Product Introduction'!$C133:$F133)*10+'MODEL Product Introduction'!$I133*'MODEL Product Introduction'!$C133</f>
        <v>1563696.3103459631</v>
      </c>
      <c r="FY208" s="12">
        <f t="shared" si="28"/>
        <v>-1719391.2236271626</v>
      </c>
      <c r="FZ208" s="12">
        <f>'MODEL Product Introduction'!$N133+'MODEL Product Introduction'!$O132</f>
        <v>-15345185.65328829</v>
      </c>
    </row>
    <row r="209" spans="90:182" ht="13.5" thickBot="1">
      <c r="CL209" s="814">
        <f t="shared" si="27"/>
        <v>1.4999999999999999E-2</v>
      </c>
      <c r="CM209" s="814">
        <f t="shared" si="24"/>
        <v>0</v>
      </c>
      <c r="CN209" s="814">
        <f t="shared" si="26"/>
        <v>1.4999999999999999E-2</v>
      </c>
      <c r="CO209" s="814"/>
      <c r="CP209" s="814"/>
      <c r="CQ209" s="814">
        <f t="shared" si="16"/>
        <v>1.4999999999999999E-2</v>
      </c>
      <c r="CR209" s="814">
        <f t="shared" si="17"/>
        <v>0</v>
      </c>
      <c r="CS209" s="814">
        <f t="shared" si="18"/>
        <v>0</v>
      </c>
      <c r="CT209" s="814">
        <f t="shared" si="19"/>
        <v>1.4999999999999999E-2</v>
      </c>
      <c r="CU209" s="814">
        <f t="shared" si="20"/>
        <v>0</v>
      </c>
      <c r="CV209" s="814">
        <f t="shared" si="21"/>
        <v>0</v>
      </c>
      <c r="CW209" s="814">
        <f t="shared" si="22"/>
        <v>1.4999999999999999E-2</v>
      </c>
      <c r="CX209" s="814"/>
      <c r="FA209" s="763">
        <f>'MODEL Product Introduction'!D134</f>
        <v>3669.0011381209838</v>
      </c>
      <c r="FB209" s="763">
        <f>'MODEL Product Introduction'!E134</f>
        <v>4717.2871775841222</v>
      </c>
      <c r="FC209" s="763">
        <f>'MODEL Product Introduction'!F134</f>
        <v>65380.576222323252</v>
      </c>
      <c r="FF209" s="763">
        <f>'MODEL Product Introduction'!I134</f>
        <v>100.1</v>
      </c>
      <c r="FG209" s="763">
        <f>'MODEL Product Introduction'!J134</f>
        <v>7214289.6996551948</v>
      </c>
      <c r="FH209" s="763">
        <f>'MODEL Product Introduction'!K134</f>
        <v>7376686.4538028352</v>
      </c>
      <c r="FI209" s="763">
        <f>'MODEL Product Introduction'!L134</f>
        <v>-162396.75414764043</v>
      </c>
      <c r="FJ209" s="763">
        <f>'MODEL Product Introduction'!M134</f>
        <v>791007.4903731721</v>
      </c>
      <c r="FK209" s="763">
        <f>'MODEL Product Introduction'!N134</f>
        <v>-953404.24452081253</v>
      </c>
      <c r="FL209" s="763">
        <f>'MODEL Product Introduction'!O134</f>
        <v>-16298589.897809103</v>
      </c>
      <c r="FO209" s="5">
        <f>'MODEL Product Introduction'!$C133*(1-'MODEL Product Introduction'!$E$92)</f>
        <v>3669.0011381209838</v>
      </c>
      <c r="FP209" s="5">
        <f>'MODEL Product Introduction'!$D133*(1-'MODEL Product Introduction'!$F$92)</f>
        <v>3269.406954761273</v>
      </c>
      <c r="FQ209" s="5">
        <f>('MODEL Product Introduction'!$E133+'MODEL Product Introduction'!$F133)*(1-'MODEL Product Introduction'!$G$92)</f>
        <v>65380.576222323252</v>
      </c>
      <c r="FR209" s="605"/>
      <c r="FS209" s="606"/>
      <c r="FT209" s="12">
        <f>'MODEL Product Introduction'!$G134*(1+'MODEL Product Introduction'!$H134)</f>
        <v>110.00000000000001</v>
      </c>
      <c r="FU209" s="12">
        <f>SUMPRODUCT('MODEL Product Introduction'!$C134:$F134,'MODEL Product Introduction'!$D$90:$G$90)</f>
        <v>10112724.468743892</v>
      </c>
      <c r="FV209" s="12">
        <f>SUMPRODUCT('MODEL Product Introduction'!$C134:$F134,'MODEL Product Introduction'!$D$91:$G$91)</f>
        <v>7906070.9037317205</v>
      </c>
      <c r="FW209" s="12">
        <f>'MODEL Product Introduction'!$J134-'MODEL Product Introduction'!$K134</f>
        <v>-162396.75414764043</v>
      </c>
      <c r="FX209" s="12">
        <f>SUM('MODEL Product Introduction'!$C134:$F134)*10+'MODEL Product Introduction'!$I134*'MODEL Product Introduction'!$C134</f>
        <v>1320520.9247519858</v>
      </c>
      <c r="FY209" s="12">
        <f t="shared" si="28"/>
        <v>-1482917.6788996262</v>
      </c>
      <c r="FZ209" s="12">
        <f>'MODEL Product Introduction'!$N134+'MODEL Product Introduction'!$O133</f>
        <v>-16298589.897809103</v>
      </c>
    </row>
    <row r="210" spans="90:182" ht="13.5" thickBot="1">
      <c r="CL210" s="814">
        <f t="shared" si="27"/>
        <v>1.4999999999999999E-2</v>
      </c>
      <c r="CM210" s="814">
        <f t="shared" si="24"/>
        <v>0</v>
      </c>
      <c r="CN210" s="814">
        <f t="shared" si="26"/>
        <v>1.4999999999999999E-2</v>
      </c>
      <c r="CO210" s="814"/>
      <c r="CP210" s="814"/>
      <c r="CQ210" s="814">
        <f t="shared" si="16"/>
        <v>1.4999999999999999E-2</v>
      </c>
      <c r="CR210" s="814">
        <f t="shared" si="17"/>
        <v>0</v>
      </c>
      <c r="CS210" s="814">
        <f t="shared" si="18"/>
        <v>0</v>
      </c>
      <c r="CT210" s="814">
        <f t="shared" si="19"/>
        <v>1.4999999999999999E-2</v>
      </c>
      <c r="CU210" s="814">
        <f t="shared" si="20"/>
        <v>0</v>
      </c>
      <c r="CV210" s="814">
        <f t="shared" si="21"/>
        <v>0</v>
      </c>
      <c r="CW210" s="814">
        <f t="shared" si="22"/>
        <v>1.4999999999999999E-2</v>
      </c>
      <c r="CX210" s="814"/>
      <c r="FA210" s="763">
        <f>'MODEL Product Introduction'!D135</f>
        <v>3705.6911495021941</v>
      </c>
      <c r="FB210" s="763">
        <f>'MODEL Product Introduction'!E135</f>
        <v>4764.4600493599646</v>
      </c>
      <c r="FC210" s="763">
        <f>'MODEL Product Introduction'!F135</f>
        <v>66592.970229912011</v>
      </c>
      <c r="FF210" s="763">
        <f>'MODEL Product Introduction'!I135</f>
        <v>100.1</v>
      </c>
      <c r="FG210" s="763">
        <f>'MODEL Product Introduction'!J135</f>
        <v>7337403.7740413509</v>
      </c>
      <c r="FH210" s="763">
        <f>'MODEL Product Introduction'!K135</f>
        <v>7506312.1428774176</v>
      </c>
      <c r="FI210" s="763">
        <f>'MODEL Product Introduction'!L135</f>
        <v>-168908.36883606669</v>
      </c>
      <c r="FJ210" s="763">
        <f>'MODEL Product Introduction'!M135</f>
        <v>804499.44373055908</v>
      </c>
      <c r="FK210" s="763">
        <f>'MODEL Product Introduction'!N135</f>
        <v>-973407.81256662577</v>
      </c>
      <c r="FL210" s="763">
        <f>'MODEL Product Introduction'!O135</f>
        <v>-17271997.71037573</v>
      </c>
      <c r="FO210" s="5">
        <f>'MODEL Product Introduction'!$C134*(1-'MODEL Product Introduction'!$E$92)</f>
        <v>3705.6911495021941</v>
      </c>
      <c r="FP210" s="5">
        <f>'MODEL Product Introduction'!$D134*(1-'MODEL Product Introduction'!$F$92)</f>
        <v>3302.1010243088854</v>
      </c>
      <c r="FQ210" s="5">
        <f>('MODEL Product Introduction'!$E134+'MODEL Product Introduction'!$F134)*(1-'MODEL Product Introduction'!$G$92)</f>
        <v>66592.970229912011</v>
      </c>
      <c r="FR210" s="605"/>
      <c r="FS210" s="606"/>
      <c r="FT210" s="12">
        <f>'MODEL Product Introduction'!$G135*(1+'MODEL Product Introduction'!$H135)</f>
        <v>110.00000000000001</v>
      </c>
      <c r="FU210" s="12">
        <f>SUMPRODUCT('MODEL Product Introduction'!$C135:$F135,'MODEL Product Introduction'!$D$90:$G$90)</f>
        <v>10292054.067782506</v>
      </c>
      <c r="FV210" s="12">
        <f>SUMPRODUCT('MODEL Product Introduction'!$C135:$F135,'MODEL Product Introduction'!$D$91:$G$91)</f>
        <v>8040990.4373055901</v>
      </c>
      <c r="FW210" s="12">
        <f>'MODEL Product Introduction'!$J135-'MODEL Product Introduction'!$K135</f>
        <v>-168908.36883606669</v>
      </c>
      <c r="FX210" s="12">
        <f>SUM('MODEL Product Introduction'!$C135:$F135)*10+'MODEL Product Introduction'!$I135*'MODEL Product Introduction'!$C135</f>
        <v>1339312.0164531609</v>
      </c>
      <c r="FY210" s="12">
        <f t="shared" si="28"/>
        <v>-1508220.3852892276</v>
      </c>
      <c r="FZ210" s="12">
        <f>'MODEL Product Introduction'!$N135+'MODEL Product Introduction'!$O134</f>
        <v>-17271997.71037573</v>
      </c>
    </row>
    <row r="211" spans="90:182" ht="13.5" thickBot="1">
      <c r="CL211" s="814">
        <f t="shared" si="27"/>
        <v>1.4999999999999999E-2</v>
      </c>
      <c r="CM211" s="814">
        <f t="shared" si="24"/>
        <v>0</v>
      </c>
      <c r="CN211" s="814">
        <f t="shared" si="26"/>
        <v>1.4999999999999999E-2</v>
      </c>
      <c r="CO211" s="814"/>
      <c r="CP211" s="814"/>
      <c r="CQ211" s="814">
        <f t="shared" si="16"/>
        <v>1.4999999999999999E-2</v>
      </c>
      <c r="CR211" s="814">
        <f t="shared" si="17"/>
        <v>0</v>
      </c>
      <c r="CS211" s="814">
        <f t="shared" si="18"/>
        <v>0</v>
      </c>
      <c r="CT211" s="814">
        <f t="shared" si="19"/>
        <v>1.4999999999999999E-2</v>
      </c>
      <c r="CU211" s="814">
        <f t="shared" si="20"/>
        <v>0</v>
      </c>
      <c r="CV211" s="814">
        <f t="shared" si="21"/>
        <v>0</v>
      </c>
      <c r="CW211" s="814">
        <f t="shared" si="22"/>
        <v>1.4999999999999999E-2</v>
      </c>
      <c r="CX211" s="814"/>
      <c r="FA211" s="763">
        <f>'MODEL Product Introduction'!D136</f>
        <v>3742.7480609972158</v>
      </c>
      <c r="FB211" s="763">
        <f>'MODEL Product Introduction'!E136</f>
        <v>4812.1046498535634</v>
      </c>
      <c r="FC211" s="763">
        <f>'MODEL Product Introduction'!F136</f>
        <v>67789.558765308364</v>
      </c>
      <c r="FF211" s="763">
        <f>'MODEL Product Introduction'!I136</f>
        <v>100.1</v>
      </c>
      <c r="FG211" s="763">
        <f>'MODEL Product Introduction'!J136</f>
        <v>7459200.4303018879</v>
      </c>
      <c r="FH211" s="763">
        <f>'MODEL Product Introduction'!K136</f>
        <v>7634441.1476159152</v>
      </c>
      <c r="FI211" s="763">
        <f>'MODEL Product Introduction'!L136</f>
        <v>-175240.71731402725</v>
      </c>
      <c r="FJ211" s="763">
        <f>'MODEL Product Introduction'!M136</f>
        <v>817847.02249883697</v>
      </c>
      <c r="FK211" s="763">
        <f>'MODEL Product Introduction'!N136</f>
        <v>-993087.73981286422</v>
      </c>
      <c r="FL211" s="763">
        <f>'MODEL Product Introduction'!O136</f>
        <v>-18265085.450188596</v>
      </c>
      <c r="FO211" s="5">
        <f>'MODEL Product Introduction'!$C135*(1-'MODEL Product Introduction'!$E$92)</f>
        <v>3742.7480609972158</v>
      </c>
      <c r="FP211" s="5">
        <f>'MODEL Product Introduction'!$D135*(1-'MODEL Product Introduction'!$F$92)</f>
        <v>3335.1220345519746</v>
      </c>
      <c r="FQ211" s="5">
        <f>('MODEL Product Introduction'!$E135+'MODEL Product Introduction'!$F135)*(1-'MODEL Product Introduction'!$G$92)</f>
        <v>67789.558765308364</v>
      </c>
      <c r="FR211" s="605"/>
      <c r="FS211" s="606"/>
      <c r="FT211" s="12">
        <f>'MODEL Product Introduction'!$G136*(1+'MODEL Product Introduction'!$H136)</f>
        <v>110.00000000000001</v>
      </c>
      <c r="FU211" s="12">
        <f>SUMPRODUCT('MODEL Product Introduction'!$C136:$F136,'MODEL Product Introduction'!$D$90:$G$90)</f>
        <v>10469266.845093943</v>
      </c>
      <c r="FV211" s="12">
        <f>SUMPRODUCT('MODEL Product Introduction'!$C136:$F136,'MODEL Product Introduction'!$D$91:$G$91)</f>
        <v>8174466.2249883693</v>
      </c>
      <c r="FW211" s="12">
        <f>'MODEL Product Introduction'!$J136-'MODEL Product Introduction'!$K136</f>
        <v>-175240.71731402725</v>
      </c>
      <c r="FX211" s="12">
        <f>SUM('MODEL Product Introduction'!$C136:$F136)*10+'MODEL Product Introduction'!$I136*'MODEL Product Introduction'!$C136</f>
        <v>1358011.7249486649</v>
      </c>
      <c r="FY211" s="12">
        <f t="shared" si="28"/>
        <v>-1533252.4422626921</v>
      </c>
      <c r="FZ211" s="12">
        <f>'MODEL Product Introduction'!$N136+'MODEL Product Introduction'!$O135</f>
        <v>-18265085.450188596</v>
      </c>
    </row>
    <row r="212" spans="90:182" ht="13.5" thickBot="1">
      <c r="CL212" s="814">
        <f t="shared" si="27"/>
        <v>1.4999999999999999E-2</v>
      </c>
      <c r="CM212" s="814">
        <f t="shared" si="24"/>
        <v>0</v>
      </c>
      <c r="CN212" s="814">
        <f t="shared" si="26"/>
        <v>1.4999999999999999E-2</v>
      </c>
      <c r="CO212" s="814"/>
      <c r="CP212" s="814"/>
      <c r="CQ212" s="814">
        <f t="shared" si="16"/>
        <v>1.4999999999999999E-2</v>
      </c>
      <c r="CR212" s="814">
        <f t="shared" si="17"/>
        <v>0</v>
      </c>
      <c r="CS212" s="814">
        <f t="shared" si="18"/>
        <v>0</v>
      </c>
      <c r="CT212" s="814">
        <f t="shared" si="19"/>
        <v>1.4999999999999999E-2</v>
      </c>
      <c r="CU212" s="814">
        <f t="shared" si="20"/>
        <v>0</v>
      </c>
      <c r="CV212" s="814">
        <f t="shared" si="21"/>
        <v>0</v>
      </c>
      <c r="CW212" s="814">
        <f t="shared" si="22"/>
        <v>1.4999999999999999E-2</v>
      </c>
      <c r="CX212" s="814"/>
      <c r="FA212" s="763">
        <f>'MODEL Product Introduction'!D137</f>
        <v>3780.1755416071883</v>
      </c>
      <c r="FB212" s="763">
        <f>'MODEL Product Introduction'!E137</f>
        <v>4860.2256963520995</v>
      </c>
      <c r="FC212" s="763">
        <f>'MODEL Product Introduction'!F137</f>
        <v>68971.580244403827</v>
      </c>
      <c r="FF212" s="763">
        <f>'MODEL Product Introduction'!I137</f>
        <v>100.1</v>
      </c>
      <c r="FG212" s="763">
        <f>'MODEL Product Introduction'!J137</f>
        <v>7579793.922199023</v>
      </c>
      <c r="FH212" s="763">
        <f>'MODEL Product Introduction'!K137</f>
        <v>7761198.148236312</v>
      </c>
      <c r="FI212" s="763">
        <f>'MODEL Product Introduction'!L137</f>
        <v>-181404.22603728902</v>
      </c>
      <c r="FJ212" s="763">
        <f>'MODEL Product Introduction'!M137</f>
        <v>831062.74763824919</v>
      </c>
      <c r="FK212" s="763">
        <f>'MODEL Product Introduction'!N137</f>
        <v>-1012466.9736755382</v>
      </c>
      <c r="FL212" s="763">
        <f>'MODEL Product Introduction'!O137</f>
        <v>-19277552.423864134</v>
      </c>
      <c r="FO212" s="5">
        <f>'MODEL Product Introduction'!$C136*(1-'MODEL Product Introduction'!$E$92)</f>
        <v>3780.1755416071883</v>
      </c>
      <c r="FP212" s="5">
        <f>'MODEL Product Introduction'!$D136*(1-'MODEL Product Introduction'!$F$92)</f>
        <v>3368.4732548974944</v>
      </c>
      <c r="FQ212" s="5">
        <f>('MODEL Product Introduction'!$E136+'MODEL Product Introduction'!$F136)*(1-'MODEL Product Introduction'!$G$92)</f>
        <v>68971.580244403827</v>
      </c>
      <c r="FR212" s="605"/>
      <c r="FS212" s="606"/>
      <c r="FT212" s="12">
        <f>'MODEL Product Introduction'!$G137*(1+'MODEL Product Introduction'!$H137)</f>
        <v>110.00000000000001</v>
      </c>
      <c r="FU212" s="12">
        <f>SUMPRODUCT('MODEL Product Introduction'!$C137:$F137,'MODEL Product Introduction'!$D$90:$G$90)</f>
        <v>10644537.138346815</v>
      </c>
      <c r="FV212" s="12">
        <f>SUMPRODUCT('MODEL Product Introduction'!$C137:$F137,'MODEL Product Introduction'!$D$91:$G$91)</f>
        <v>8306623.4763824912</v>
      </c>
      <c r="FW212" s="12">
        <f>'MODEL Product Introduction'!$J137-'MODEL Product Introduction'!$K137</f>
        <v>-181404.22603728902</v>
      </c>
      <c r="FX212" s="12">
        <f>SUM('MODEL Product Introduction'!$C137:$F137)*10+'MODEL Product Introduction'!$I137*'MODEL Product Introduction'!$C137</f>
        <v>1376633.1011125753</v>
      </c>
      <c r="FY212" s="12">
        <f t="shared" si="28"/>
        <v>-1558037.3271498643</v>
      </c>
      <c r="FZ212" s="12">
        <f>'MODEL Product Introduction'!$N137+'MODEL Product Introduction'!$O136</f>
        <v>-19277552.423864134</v>
      </c>
    </row>
    <row r="213" spans="90:182" ht="13.5" thickBot="1">
      <c r="CL213" s="814">
        <f t="shared" si="27"/>
        <v>1.4999999999999999E-2</v>
      </c>
      <c r="CM213" s="814">
        <f t="shared" si="24"/>
        <v>0</v>
      </c>
      <c r="CN213" s="814">
        <f t="shared" si="26"/>
        <v>1.4999999999999999E-2</v>
      </c>
      <c r="CO213" s="814"/>
      <c r="CP213" s="814"/>
      <c r="CQ213" s="814">
        <f t="shared" si="16"/>
        <v>1.4999999999999999E-2</v>
      </c>
      <c r="CR213" s="814">
        <f t="shared" si="17"/>
        <v>0</v>
      </c>
      <c r="CS213" s="814">
        <f t="shared" si="18"/>
        <v>0</v>
      </c>
      <c r="CT213" s="814">
        <f t="shared" si="19"/>
        <v>1.4999999999999999E-2</v>
      </c>
      <c r="CU213" s="814">
        <f t="shared" si="20"/>
        <v>0</v>
      </c>
      <c r="CV213" s="814">
        <f t="shared" si="21"/>
        <v>0</v>
      </c>
      <c r="CW213" s="814">
        <f t="shared" si="22"/>
        <v>1.4999999999999999E-2</v>
      </c>
      <c r="CX213" s="814"/>
      <c r="FA213" s="763">
        <f>'MODEL Product Introduction'!D138</f>
        <v>3817.9772970232602</v>
      </c>
      <c r="FB213" s="763">
        <f>'MODEL Product Introduction'!E138</f>
        <v>4908.827953315621</v>
      </c>
      <c r="FC213" s="763">
        <f>'MODEL Product Introduction'!F138</f>
        <v>70140.21564371814</v>
      </c>
      <c r="FF213" s="763">
        <f>'MODEL Product Introduction'!I138</f>
        <v>100.1</v>
      </c>
      <c r="FG213" s="763">
        <f>'MODEL Product Introduction'!J138</f>
        <v>7699293.2746354267</v>
      </c>
      <c r="FH213" s="763">
        <f>'MODEL Product Introduction'!K138</f>
        <v>7886702.0894057015</v>
      </c>
      <c r="FI213" s="763">
        <f>'MODEL Product Introduction'!L138</f>
        <v>-187408.8147702748</v>
      </c>
      <c r="FJ213" s="763">
        <f>'MODEL Product Introduction'!M138</f>
        <v>844158.56708333443</v>
      </c>
      <c r="FK213" s="763">
        <f>'MODEL Product Introduction'!N138</f>
        <v>-1031567.3818536092</v>
      </c>
      <c r="FL213" s="763">
        <f>'MODEL Product Introduction'!O138</f>
        <v>-20309119.805717744</v>
      </c>
      <c r="FO213" s="5">
        <f>'MODEL Product Introduction'!$C137*(1-'MODEL Product Introduction'!$E$92)</f>
        <v>3817.9772970232602</v>
      </c>
      <c r="FP213" s="5">
        <f>'MODEL Product Introduction'!$D137*(1-'MODEL Product Introduction'!$F$92)</f>
        <v>3402.1579874464696</v>
      </c>
      <c r="FQ213" s="5">
        <f>('MODEL Product Introduction'!$E137+'MODEL Product Introduction'!$F137)*(1-'MODEL Product Introduction'!$G$92)</f>
        <v>70140.21564371814</v>
      </c>
      <c r="FR213" s="605"/>
      <c r="FS213" s="606"/>
      <c r="FT213" s="12">
        <f>'MODEL Product Introduction'!$G138*(1+'MODEL Product Introduction'!$H138)</f>
        <v>110.00000000000001</v>
      </c>
      <c r="FU213" s="12">
        <f>SUMPRODUCT('MODEL Product Introduction'!$C138:$F138,'MODEL Product Introduction'!$D$90:$G$90)</f>
        <v>10818031.253292123</v>
      </c>
      <c r="FV213" s="12">
        <f>SUMPRODUCT('MODEL Product Introduction'!$C138:$F138,'MODEL Product Introduction'!$D$91:$G$91)</f>
        <v>8437581.6708333436</v>
      </c>
      <c r="FW213" s="12">
        <f>'MODEL Product Introduction'!$J138-'MODEL Product Introduction'!$K138</f>
        <v>-187408.8147702748</v>
      </c>
      <c r="FX213" s="12">
        <f>SUM('MODEL Product Introduction'!$C138:$F138)*10+'MODEL Product Introduction'!$I138*'MODEL Product Introduction'!$C138</f>
        <v>1395188.628092404</v>
      </c>
      <c r="FY213" s="12">
        <f t="shared" si="28"/>
        <v>-1582597.4428626788</v>
      </c>
      <c r="FZ213" s="12">
        <f>'MODEL Product Introduction'!$N138+'MODEL Product Introduction'!$O137</f>
        <v>-20309119.805717744</v>
      </c>
    </row>
    <row r="214" spans="90:182" ht="13.5" thickBot="1">
      <c r="CL214" s="814">
        <f t="shared" si="27"/>
        <v>1.4999999999999999E-2</v>
      </c>
      <c r="CM214" s="814">
        <f t="shared" si="24"/>
        <v>0</v>
      </c>
      <c r="CN214" s="814">
        <f t="shared" si="26"/>
        <v>1.4999999999999999E-2</v>
      </c>
      <c r="CO214" s="814"/>
      <c r="CP214" s="814"/>
      <c r="CQ214" s="814">
        <f t="shared" si="16"/>
        <v>1.4999999999999999E-2</v>
      </c>
      <c r="CR214" s="814">
        <f t="shared" si="17"/>
        <v>0</v>
      </c>
      <c r="CS214" s="814">
        <f t="shared" si="18"/>
        <v>0</v>
      </c>
      <c r="CT214" s="814">
        <f t="shared" si="19"/>
        <v>1.4999999999999999E-2</v>
      </c>
      <c r="CU214" s="814">
        <f t="shared" si="20"/>
        <v>0</v>
      </c>
      <c r="CV214" s="814">
        <f t="shared" si="21"/>
        <v>0</v>
      </c>
      <c r="CW214" s="814">
        <f t="shared" si="22"/>
        <v>1.4999999999999999E-2</v>
      </c>
      <c r="CX214" s="814"/>
      <c r="FA214" s="763">
        <f>'MODEL Product Introduction'!D139</f>
        <v>3856.1570699934932</v>
      </c>
      <c r="FB214" s="763">
        <f>'MODEL Product Introduction'!E139</f>
        <v>4957.9162328487773</v>
      </c>
      <c r="FC214" s="763">
        <f>'MODEL Product Introduction'!F139</f>
        <v>71296.591417182062</v>
      </c>
      <c r="FF214" s="763">
        <f>'MODEL Product Introduction'!I139</f>
        <v>100.1</v>
      </c>
      <c r="FG214" s="763">
        <f>'MODEL Product Introduction'!J139</f>
        <v>7817802.5499354713</v>
      </c>
      <c r="FH214" s="763">
        <f>'MODEL Product Introduction'!K139</f>
        <v>8011066.4720024336</v>
      </c>
      <c r="FI214" s="763">
        <f>'MODEL Product Introduction'!L139</f>
        <v>-193263.92206696235</v>
      </c>
      <c r="FJ214" s="763">
        <f>'MODEL Product Introduction'!M139</f>
        <v>857145.88492443517</v>
      </c>
      <c r="FK214" s="763">
        <f>'MODEL Product Introduction'!N139</f>
        <v>-1050409.8069913974</v>
      </c>
      <c r="FL214" s="763">
        <f>'MODEL Product Introduction'!O139</f>
        <v>-21359529.612709142</v>
      </c>
      <c r="FO214" s="5">
        <f>'MODEL Product Introduction'!$C138*(1-'MODEL Product Introduction'!$E$92)</f>
        <v>3856.1570699934932</v>
      </c>
      <c r="FP214" s="5">
        <f>'MODEL Product Introduction'!$D138*(1-'MODEL Product Introduction'!$F$92)</f>
        <v>3436.1795673209344</v>
      </c>
      <c r="FQ214" s="5">
        <f>('MODEL Product Introduction'!$E138+'MODEL Product Introduction'!$F138)*(1-'MODEL Product Introduction'!$G$92)</f>
        <v>71296.591417182062</v>
      </c>
      <c r="FR214" s="605"/>
      <c r="FS214" s="606"/>
      <c r="FT214" s="12">
        <f>'MODEL Product Introduction'!$G139*(1+'MODEL Product Introduction'!$H139)</f>
        <v>110.00000000000001</v>
      </c>
      <c r="FU214" s="12">
        <f>SUMPRODUCT('MODEL Product Introduction'!$C139:$F139,'MODEL Product Introduction'!$D$90:$G$90)</f>
        <v>10989907.872208787</v>
      </c>
      <c r="FV214" s="12">
        <f>SUMPRODUCT('MODEL Product Introduction'!$C139:$F139,'MODEL Product Introduction'!$D$91:$G$91)</f>
        <v>8567454.8492443524</v>
      </c>
      <c r="FW214" s="12">
        <f>'MODEL Product Introduction'!$J139-'MODEL Product Introduction'!$K139</f>
        <v>-193263.92206696235</v>
      </c>
      <c r="FX214" s="12">
        <f>SUM('MODEL Product Introduction'!$C139:$F139)*10+'MODEL Product Introduction'!$I139*'MODEL Product Introduction'!$C139</f>
        <v>1413690.2505435953</v>
      </c>
      <c r="FY214" s="12">
        <f t="shared" si="28"/>
        <v>-1606954.1726105576</v>
      </c>
      <c r="FZ214" s="12">
        <f>'MODEL Product Introduction'!$N139+'MODEL Product Introduction'!$O138</f>
        <v>-21359529.612709142</v>
      </c>
    </row>
    <row r="215" spans="90:182" ht="13.5" thickBot="1">
      <c r="CL215" s="814">
        <f t="shared" si="27"/>
        <v>1.4999999999999999E-2</v>
      </c>
      <c r="CM215" s="814">
        <f t="shared" si="24"/>
        <v>0</v>
      </c>
      <c r="CN215" s="814">
        <f t="shared" si="26"/>
        <v>1.4999999999999999E-2</v>
      </c>
      <c r="CO215" s="814"/>
      <c r="CP215" s="814"/>
      <c r="CQ215" s="814">
        <f t="shared" si="16"/>
        <v>1.4999999999999999E-2</v>
      </c>
      <c r="CR215" s="814">
        <f t="shared" si="17"/>
        <v>0</v>
      </c>
      <c r="CS215" s="814">
        <f t="shared" si="18"/>
        <v>0</v>
      </c>
      <c r="CT215" s="814">
        <f t="shared" si="19"/>
        <v>1.4999999999999999E-2</v>
      </c>
      <c r="CU215" s="814">
        <f t="shared" si="20"/>
        <v>0</v>
      </c>
      <c r="CV215" s="814">
        <f t="shared" si="21"/>
        <v>0</v>
      </c>
      <c r="CW215" s="814">
        <f t="shared" si="22"/>
        <v>1.4999999999999999E-2</v>
      </c>
      <c r="CX215" s="814"/>
      <c r="FA215" s="763">
        <f>'MODEL Product Introduction'!D140</f>
        <v>3894.7186406934284</v>
      </c>
      <c r="FB215" s="763">
        <f>'MODEL Product Introduction'!E140</f>
        <v>5007.495395177265</v>
      </c>
      <c r="FC215" s="763">
        <f>'MODEL Product Introduction'!F140</f>
        <v>72441.782267529285</v>
      </c>
      <c r="FF215" s="763">
        <f>'MODEL Product Introduction'!I140</f>
        <v>100.1</v>
      </c>
      <c r="FG215" s="763">
        <f>'MODEL Product Introduction'!J140</f>
        <v>7935421.1008608304</v>
      </c>
      <c r="FH215" s="763">
        <f>'MODEL Product Introduction'!K140</f>
        <v>8134399.6303399978</v>
      </c>
      <c r="FI215" s="763">
        <f>'MODEL Product Introduction'!L140</f>
        <v>-198978.52947916742</v>
      </c>
      <c r="FJ215" s="763">
        <f>'MODEL Product Introduction'!M140</f>
        <v>870035.58913543343</v>
      </c>
      <c r="FK215" s="763">
        <f>'MODEL Product Introduction'!N140</f>
        <v>-1069014.118614601</v>
      </c>
      <c r="FL215" s="763">
        <f>'MODEL Product Introduction'!O140</f>
        <v>-22428543.731323741</v>
      </c>
      <c r="FO215" s="5">
        <f>'MODEL Product Introduction'!$C139*(1-'MODEL Product Introduction'!$E$92)</f>
        <v>3894.7186406934284</v>
      </c>
      <c r="FP215" s="5">
        <f>'MODEL Product Introduction'!$D139*(1-'MODEL Product Introduction'!$F$92)</f>
        <v>3470.541362994144</v>
      </c>
      <c r="FQ215" s="5">
        <f>('MODEL Product Introduction'!$E139+'MODEL Product Introduction'!$F139)*(1-'MODEL Product Introduction'!$G$92)</f>
        <v>72441.782267529285</v>
      </c>
      <c r="FR215" s="605"/>
      <c r="FS215" s="606"/>
      <c r="FT215" s="12">
        <f>'MODEL Product Introduction'!$G140*(1+'MODEL Product Introduction'!$H140)</f>
        <v>110.00000000000001</v>
      </c>
      <c r="FU215" s="12">
        <f>SUMPRODUCT('MODEL Product Introduction'!$C140:$F140,'MODEL Product Introduction'!$D$90:$G$90)</f>
        <v>11160318.441995431</v>
      </c>
      <c r="FV215" s="12">
        <f>SUMPRODUCT('MODEL Product Introduction'!$C140:$F140,'MODEL Product Introduction'!$D$91:$G$91)</f>
        <v>8696351.8913543355</v>
      </c>
      <c r="FW215" s="12">
        <f>'MODEL Product Introduction'!$J140-'MODEL Product Introduction'!$K140</f>
        <v>-198978.52947916742</v>
      </c>
      <c r="FX215" s="12">
        <f>SUM('MODEL Product Introduction'!$C140:$F140)*10+'MODEL Product Introduction'!$I140*'MODEL Product Introduction'!$C140</f>
        <v>1432149.4024107852</v>
      </c>
      <c r="FY215" s="12">
        <f t="shared" si="28"/>
        <v>-1631127.9318899526</v>
      </c>
      <c r="FZ215" s="12">
        <f>'MODEL Product Introduction'!$N140+'MODEL Product Introduction'!$O139</f>
        <v>-22428543.731323741</v>
      </c>
    </row>
    <row r="216" spans="90:182" ht="13.5" thickBot="1">
      <c r="CL216" s="814">
        <f t="shared" si="27"/>
        <v>1.4999999999999999E-2</v>
      </c>
      <c r="CM216" s="814">
        <f t="shared" si="24"/>
        <v>0</v>
      </c>
      <c r="CN216" s="814">
        <f t="shared" si="26"/>
        <v>1.4999999999999999E-2</v>
      </c>
      <c r="CO216" s="814"/>
      <c r="CP216" s="814"/>
      <c r="CQ216" s="814">
        <f t="shared" si="16"/>
        <v>1.4999999999999999E-2</v>
      </c>
      <c r="CR216" s="814">
        <f t="shared" si="17"/>
        <v>0</v>
      </c>
      <c r="CS216" s="814">
        <f t="shared" si="18"/>
        <v>0</v>
      </c>
      <c r="CT216" s="814">
        <f t="shared" si="19"/>
        <v>1.4999999999999999E-2</v>
      </c>
      <c r="CU216" s="814">
        <f t="shared" si="20"/>
        <v>0</v>
      </c>
      <c r="CV216" s="814">
        <f t="shared" si="21"/>
        <v>0</v>
      </c>
      <c r="CW216" s="814">
        <f t="shared" si="22"/>
        <v>1.4999999999999999E-2</v>
      </c>
      <c r="CX216" s="814"/>
      <c r="FA216" s="763">
        <f>'MODEL Product Introduction'!D141</f>
        <v>3933.6658271003625</v>
      </c>
      <c r="FB216" s="763">
        <f>'MODEL Product Introduction'!E141</f>
        <v>5057.5703491290378</v>
      </c>
      <c r="FC216" s="763">
        <f>'MODEL Product Introduction'!F141</f>
        <v>73576.81377957121</v>
      </c>
      <c r="FF216" s="763">
        <f>'MODEL Product Introduction'!I141</f>
        <v>100.1</v>
      </c>
      <c r="FG216" s="763">
        <f>'MODEL Product Introduction'!J141</f>
        <v>8052243.8110241443</v>
      </c>
      <c r="FH216" s="763">
        <f>'MODEL Product Introduction'!K141</f>
        <v>8256804.9955800613</v>
      </c>
      <c r="FI216" s="763">
        <f>'MODEL Product Introduction'!L141</f>
        <v>-204561.18455591705</v>
      </c>
      <c r="FJ216" s="763">
        <f>'MODEL Product Introduction'!M141</f>
        <v>882838.07792045421</v>
      </c>
      <c r="FK216" s="763">
        <f>'MODEL Product Introduction'!N141</f>
        <v>-1087399.2624763711</v>
      </c>
      <c r="FL216" s="763">
        <f>'MODEL Product Introduction'!O141</f>
        <v>-23515942.993800111</v>
      </c>
      <c r="FO216" s="5">
        <f>'MODEL Product Introduction'!$C140*(1-'MODEL Product Introduction'!$E$92)</f>
        <v>3933.6658271003625</v>
      </c>
      <c r="FP216" s="5">
        <f>'MODEL Product Introduction'!$D140*(1-'MODEL Product Introduction'!$F$92)</f>
        <v>3505.2467766240857</v>
      </c>
      <c r="FQ216" s="5">
        <f>('MODEL Product Introduction'!$E140+'MODEL Product Introduction'!$F140)*(1-'MODEL Product Introduction'!$G$92)</f>
        <v>73576.81377957121</v>
      </c>
      <c r="FR216" s="605"/>
      <c r="FS216" s="606"/>
      <c r="FT216" s="12">
        <f>'MODEL Product Introduction'!$G141*(1+'MODEL Product Introduction'!$H141)</f>
        <v>110.00000000000001</v>
      </c>
      <c r="FU216" s="12">
        <f>SUMPRODUCT('MODEL Product Introduction'!$C141:$F141,'MODEL Product Introduction'!$D$90:$G$90)</f>
        <v>11329407.542926714</v>
      </c>
      <c r="FV216" s="12">
        <f>SUMPRODUCT('MODEL Product Introduction'!$C141:$F141,'MODEL Product Introduction'!$D$91:$G$91)</f>
        <v>8824376.7792045418</v>
      </c>
      <c r="FW216" s="12">
        <f>'MODEL Product Introduction'!$J141-'MODEL Product Introduction'!$K141</f>
        <v>-204561.18455591705</v>
      </c>
      <c r="FX216" s="12">
        <f>SUM('MODEL Product Introduction'!$C141:$F141)*10+'MODEL Product Introduction'!$I141*'MODEL Product Introduction'!$C141</f>
        <v>1450577.0333285597</v>
      </c>
      <c r="FY216" s="12">
        <f t="shared" si="28"/>
        <v>-1655138.2178844768</v>
      </c>
      <c r="FZ216" s="12">
        <f>'MODEL Product Introduction'!$N141+'MODEL Product Introduction'!$O140</f>
        <v>-23515942.993800111</v>
      </c>
    </row>
    <row r="217" spans="90:182" ht="13.5" thickBot="1">
      <c r="CL217" s="814">
        <f t="shared" si="27"/>
        <v>1.4999999999999999E-2</v>
      </c>
      <c r="CM217" s="814">
        <f t="shared" si="24"/>
        <v>0</v>
      </c>
      <c r="CN217" s="814">
        <f t="shared" si="26"/>
        <v>1.4999999999999999E-2</v>
      </c>
      <c r="CO217" s="814"/>
      <c r="CP217" s="814"/>
      <c r="CQ217" s="814">
        <f t="shared" si="16"/>
        <v>1.4999999999999999E-2</v>
      </c>
      <c r="CR217" s="814">
        <f t="shared" si="17"/>
        <v>0</v>
      </c>
      <c r="CS217" s="814">
        <f t="shared" si="18"/>
        <v>0</v>
      </c>
      <c r="CT217" s="814">
        <f t="shared" si="19"/>
        <v>1.4999999999999999E-2</v>
      </c>
      <c r="CU217" s="814">
        <f t="shared" si="20"/>
        <v>0</v>
      </c>
      <c r="CV217" s="814">
        <f t="shared" si="21"/>
        <v>0</v>
      </c>
      <c r="CW217" s="814">
        <f t="shared" si="22"/>
        <v>1.4999999999999999E-2</v>
      </c>
      <c r="CX217" s="814"/>
      <c r="FA217" s="763">
        <f>'MODEL Product Introduction'!D142</f>
        <v>3973.0024853713662</v>
      </c>
      <c r="FB217" s="763">
        <f>'MODEL Product Introduction'!E142</f>
        <v>5108.1460526203282</v>
      </c>
      <c r="FC217" s="763">
        <f>'MODEL Product Introduction'!F142</f>
        <v>74702.664922265234</v>
      </c>
      <c r="FF217" s="763">
        <f>'MODEL Product Introduction'!I142</f>
        <v>100.1</v>
      </c>
      <c r="FG217" s="763">
        <f>'MODEL Product Introduction'!J142</f>
        <v>8168361.3233313579</v>
      </c>
      <c r="FH217" s="763">
        <f>'MODEL Product Introduction'!K142</f>
        <v>8378381.3460256932</v>
      </c>
      <c r="FI217" s="763">
        <f>'MODEL Product Introduction'!L142</f>
        <v>-210020.02269433532</v>
      </c>
      <c r="FJ217" s="763">
        <f>'MODEL Product Introduction'!M142</f>
        <v>895563.28474864189</v>
      </c>
      <c r="FK217" s="763">
        <f>'MODEL Product Introduction'!N142</f>
        <v>-1105583.3074429771</v>
      </c>
      <c r="FL217" s="763">
        <f>'MODEL Product Introduction'!O142</f>
        <v>-24621526.301243089</v>
      </c>
      <c r="FO217" s="5">
        <f>'MODEL Product Introduction'!$C141*(1-'MODEL Product Introduction'!$E$92)</f>
        <v>3973.0024853713662</v>
      </c>
      <c r="FP217" s="5">
        <f>'MODEL Product Introduction'!$D141*(1-'MODEL Product Introduction'!$F$92)</f>
        <v>3540.2992443903263</v>
      </c>
      <c r="FQ217" s="5">
        <f>('MODEL Product Introduction'!$E141+'MODEL Product Introduction'!$F141)*(1-'MODEL Product Introduction'!$G$92)</f>
        <v>74702.664922265234</v>
      </c>
      <c r="FR217" s="605"/>
      <c r="FS217" s="606"/>
      <c r="FT217" s="12">
        <f>'MODEL Product Introduction'!$G142*(1+'MODEL Product Introduction'!$H142)</f>
        <v>110.00000000000001</v>
      </c>
      <c r="FU217" s="12">
        <f>SUMPRODUCT('MODEL Product Introduction'!$C142:$F142,'MODEL Product Introduction'!$D$90:$G$90)</f>
        <v>11497313.239041744</v>
      </c>
      <c r="FV217" s="12">
        <f>SUMPRODUCT('MODEL Product Introduction'!$C142:$F142,'MODEL Product Introduction'!$D$91:$G$91)</f>
        <v>8951628.8474864177</v>
      </c>
      <c r="FW217" s="12">
        <f>'MODEL Product Introduction'!$J142-'MODEL Product Introduction'!$K142</f>
        <v>-210020.02269433532</v>
      </c>
      <c r="FX217" s="12">
        <f>SUM('MODEL Product Introduction'!$C142:$F142)*10+'MODEL Product Introduction'!$I142*'MODEL Product Introduction'!$C142</f>
        <v>1468983.6337108281</v>
      </c>
      <c r="FY217" s="12">
        <f t="shared" si="28"/>
        <v>-1679003.6564051635</v>
      </c>
      <c r="FZ217" s="12">
        <f>'MODEL Product Introduction'!$N142+'MODEL Product Introduction'!$O141</f>
        <v>-24621526.301243089</v>
      </c>
    </row>
    <row r="218" spans="90:182" ht="13.5" thickBot="1">
      <c r="CL218" s="814">
        <f t="shared" si="27"/>
        <v>1.4999999999999999E-2</v>
      </c>
      <c r="CM218" s="814">
        <f t="shared" si="24"/>
        <v>0</v>
      </c>
      <c r="CN218" s="814">
        <f t="shared" si="26"/>
        <v>1.4999999999999999E-2</v>
      </c>
      <c r="CO218" s="814"/>
      <c r="CP218" s="814"/>
      <c r="CQ218" s="814">
        <f t="shared" si="16"/>
        <v>1.4999999999999999E-2</v>
      </c>
      <c r="CR218" s="814">
        <f t="shared" si="17"/>
        <v>0</v>
      </c>
      <c r="CS218" s="814">
        <f t="shared" si="18"/>
        <v>0</v>
      </c>
      <c r="CT218" s="814">
        <f t="shared" si="19"/>
        <v>1.4999999999999999E-2</v>
      </c>
      <c r="CU218" s="814">
        <f t="shared" si="20"/>
        <v>0</v>
      </c>
      <c r="CV218" s="814">
        <f t="shared" si="21"/>
        <v>0</v>
      </c>
      <c r="CW218" s="814">
        <f t="shared" si="22"/>
        <v>1.4999999999999999E-2</v>
      </c>
      <c r="CX218" s="814"/>
      <c r="FA218" s="763">
        <f>'MODEL Product Introduction'!D143</f>
        <v>4012.7325102250797</v>
      </c>
      <c r="FB218" s="763">
        <f>'MODEL Product Introduction'!E143</f>
        <v>5159.2275131465321</v>
      </c>
      <c r="FC218" s="763">
        <f>'MODEL Product Introduction'!F143</f>
        <v>75820.270426141287</v>
      </c>
      <c r="FF218" s="763">
        <f>'MODEL Product Introduction'!I143</f>
        <v>110.1</v>
      </c>
      <c r="FG218" s="763">
        <f>'MODEL Product Introduction'!J143</f>
        <v>8283860.2570517939</v>
      </c>
      <c r="FH218" s="763">
        <f>'MODEL Product Introduction'!K143</f>
        <v>8499223.0449512899</v>
      </c>
      <c r="FI218" s="763">
        <f>'MODEL Product Introduction'!L143</f>
        <v>-215362.78789949603</v>
      </c>
      <c r="FJ218" s="763">
        <f>'MODEL Product Introduction'!M143</f>
        <v>908260.70214266225</v>
      </c>
      <c r="FK218" s="763">
        <f>'MODEL Product Introduction'!N143</f>
        <v>-1123623.4900421584</v>
      </c>
      <c r="FL218" s="763">
        <f>'MODEL Product Introduction'!O143</f>
        <v>-25745149.791285247</v>
      </c>
      <c r="FO218" s="5">
        <f>'MODEL Product Introduction'!$C142*(1-'MODEL Product Introduction'!$E$92)</f>
        <v>4012.7325102250797</v>
      </c>
      <c r="FP218" s="5">
        <f>'MODEL Product Introduction'!$D142*(1-'MODEL Product Introduction'!$F$92)</f>
        <v>3575.7022368342296</v>
      </c>
      <c r="FQ218" s="5">
        <f>('MODEL Product Introduction'!$E142+'MODEL Product Introduction'!$F142)*(1-'MODEL Product Introduction'!$G$92)</f>
        <v>75820.270426141287</v>
      </c>
      <c r="FR218" s="605"/>
      <c r="FS218" s="606"/>
      <c r="FT218" s="12">
        <f>'MODEL Product Introduction'!$G143*(1+'MODEL Product Introduction'!$H143)</f>
        <v>121.00000000000001</v>
      </c>
      <c r="FU218" s="12">
        <f>SUMPRODUCT('MODEL Product Introduction'!$C143:$F143,'MODEL Product Introduction'!$D$90:$G$90)</f>
        <v>11664167.411083639</v>
      </c>
      <c r="FV218" s="12">
        <f>SUMPRODUCT('MODEL Product Introduction'!$C143:$F143,'MODEL Product Introduction'!$D$91:$G$91)</f>
        <v>9078203.0214266218</v>
      </c>
      <c r="FW218" s="12">
        <f>'MODEL Product Introduction'!$J143-'MODEL Product Introduction'!$K143</f>
        <v>-215362.78789949603</v>
      </c>
      <c r="FX218" s="12">
        <f>SUM('MODEL Product Introduction'!$C143:$F143)*10+'MODEL Product Introduction'!$I143*'MODEL Product Introduction'!$C143</f>
        <v>1545277.2562420038</v>
      </c>
      <c r="FY218" s="12">
        <f t="shared" si="28"/>
        <v>-1760640.0441414998</v>
      </c>
      <c r="FZ218" s="12">
        <f>'MODEL Product Introduction'!$N143+'MODEL Product Introduction'!$O142</f>
        <v>-25745149.791285247</v>
      </c>
    </row>
    <row r="219" spans="90:182" ht="13.5" thickBot="1">
      <c r="CL219" s="814">
        <f t="shared" si="27"/>
        <v>1.4999999999999999E-2</v>
      </c>
      <c r="CM219" s="814">
        <f t="shared" si="24"/>
        <v>0</v>
      </c>
      <c r="CN219" s="814">
        <f t="shared" si="26"/>
        <v>1.4999999999999999E-2</v>
      </c>
      <c r="CO219" s="814"/>
      <c r="CP219" s="814"/>
      <c r="CQ219" s="814">
        <f t="shared" si="16"/>
        <v>1.4999999999999999E-2</v>
      </c>
      <c r="CR219" s="814">
        <f t="shared" si="17"/>
        <v>0</v>
      </c>
      <c r="CS219" s="814">
        <f t="shared" si="18"/>
        <v>0</v>
      </c>
      <c r="CT219" s="814">
        <f t="shared" si="19"/>
        <v>1.4999999999999999E-2</v>
      </c>
      <c r="CU219" s="814">
        <f t="shared" si="20"/>
        <v>0</v>
      </c>
      <c r="CV219" s="814">
        <f t="shared" si="21"/>
        <v>0</v>
      </c>
      <c r="CW219" s="814">
        <f t="shared" si="22"/>
        <v>1.4999999999999999E-2</v>
      </c>
      <c r="CX219" s="814"/>
      <c r="FA219" s="763">
        <f>'MODEL Product Introduction'!D144</f>
        <v>4052.859835327331</v>
      </c>
      <c r="FB219" s="763">
        <f>'MODEL Product Introduction'!E144</f>
        <v>5210.8197882779978</v>
      </c>
      <c r="FC219" s="763">
        <f>'MODEL Product Introduction'!F144</f>
        <v>76930.523042323417</v>
      </c>
      <c r="FF219" s="763">
        <f>'MODEL Product Introduction'!I144</f>
        <v>110.1</v>
      </c>
      <c r="FG219" s="763">
        <f>'MODEL Product Introduction'!J144</f>
        <v>8398823.4140850771</v>
      </c>
      <c r="FH219" s="763">
        <f>'MODEL Product Introduction'!K144</f>
        <v>8619420.2665928751</v>
      </c>
      <c r="FI219" s="763">
        <f>'MODEL Product Introduction'!L144</f>
        <v>-220596.852507798</v>
      </c>
      <c r="FJ219" s="763">
        <f>'MODEL Product Introduction'!M144</f>
        <v>920859.40428329608</v>
      </c>
      <c r="FK219" s="763">
        <f>'MODEL Product Introduction'!N144</f>
        <v>-1141456.2567910941</v>
      </c>
      <c r="FL219" s="763">
        <f>'MODEL Product Introduction'!O144</f>
        <v>-26886606.048076339</v>
      </c>
      <c r="FO219" s="5">
        <f>'MODEL Product Introduction'!$C143*(1-'MODEL Product Introduction'!$E$92)</f>
        <v>4052.859835327331</v>
      </c>
      <c r="FP219" s="5">
        <f>'MODEL Product Introduction'!$D143*(1-'MODEL Product Introduction'!$F$92)</f>
        <v>3611.459259202572</v>
      </c>
      <c r="FQ219" s="5">
        <f>('MODEL Product Introduction'!$E143+'MODEL Product Introduction'!$F143)*(1-'MODEL Product Introduction'!$G$92)</f>
        <v>76930.523042323417</v>
      </c>
      <c r="FR219" s="605"/>
      <c r="FS219" s="606"/>
      <c r="FT219" s="12">
        <f>'MODEL Product Introduction'!$G144*(1+'MODEL Product Introduction'!$H144)</f>
        <v>121.00000000000001</v>
      </c>
      <c r="FU219" s="12">
        <f>SUMPRODUCT('MODEL Product Introduction'!$C144:$F144,'MODEL Product Introduction'!$D$90:$G$90)</f>
        <v>11830096.072863376</v>
      </c>
      <c r="FV219" s="12">
        <f>SUMPRODUCT('MODEL Product Introduction'!$C144:$F144,'MODEL Product Introduction'!$D$91:$G$91)</f>
        <v>9204190.0428329613</v>
      </c>
      <c r="FW219" s="12">
        <f>'MODEL Product Introduction'!$J144-'MODEL Product Introduction'!$K144</f>
        <v>-220596.852507798</v>
      </c>
      <c r="FX219" s="12">
        <f>SUM('MODEL Product Introduction'!$C144:$F144)*10+'MODEL Product Introduction'!$I144*'MODEL Product Introduction'!$C144</f>
        <v>1564250.527923631</v>
      </c>
      <c r="FY219" s="12">
        <f t="shared" si="28"/>
        <v>-1784847.380431429</v>
      </c>
      <c r="FZ219" s="12">
        <f>'MODEL Product Introduction'!$N144+'MODEL Product Introduction'!$O143</f>
        <v>-26886606.048076339</v>
      </c>
    </row>
    <row r="220" spans="90:182" ht="13.5" thickBot="1">
      <c r="CL220" s="814">
        <f t="shared" si="27"/>
        <v>1.4999999999999999E-2</v>
      </c>
      <c r="CM220" s="814">
        <f t="shared" si="24"/>
        <v>0</v>
      </c>
      <c r="CN220" s="814">
        <f t="shared" si="26"/>
        <v>1.4999999999999999E-2</v>
      </c>
      <c r="CO220" s="814"/>
      <c r="CP220" s="814"/>
      <c r="CQ220" s="814">
        <f t="shared" si="16"/>
        <v>1.4999999999999999E-2</v>
      </c>
      <c r="CR220" s="814">
        <f t="shared" si="17"/>
        <v>0</v>
      </c>
      <c r="CS220" s="814">
        <f t="shared" si="18"/>
        <v>0</v>
      </c>
      <c r="CT220" s="814">
        <f t="shared" si="19"/>
        <v>1.4999999999999999E-2</v>
      </c>
      <c r="CU220" s="814">
        <f t="shared" si="20"/>
        <v>0</v>
      </c>
      <c r="CV220" s="814">
        <f t="shared" si="21"/>
        <v>0</v>
      </c>
      <c r="CW220" s="814">
        <f t="shared" si="22"/>
        <v>1.4999999999999999E-2</v>
      </c>
      <c r="CX220" s="814"/>
      <c r="FA220" s="763">
        <f>'MODEL Product Introduction'!D145</f>
        <v>4093.3884336806041</v>
      </c>
      <c r="FB220" s="763">
        <f>'MODEL Product Introduction'!E145</f>
        <v>5262.9279861607774</v>
      </c>
      <c r="FC220" s="763">
        <f>'MODEL Product Introduction'!F145</f>
        <v>78034.275689071335</v>
      </c>
      <c r="FF220" s="763">
        <f>'MODEL Product Introduction'!I145</f>
        <v>150.1</v>
      </c>
      <c r="FG220" s="763">
        <f>'MODEL Product Introduction'!J145</f>
        <v>8513329.9749655556</v>
      </c>
      <c r="FH220" s="763">
        <f>'MODEL Product Introduction'!K145</f>
        <v>8739059.2108912729</v>
      </c>
      <c r="FI220" s="763">
        <f>'MODEL Product Introduction'!L145</f>
        <v>-225729.23592571728</v>
      </c>
      <c r="FJ220" s="763">
        <f>'MODEL Product Introduction'!M145</f>
        <v>933568.06848937599</v>
      </c>
      <c r="FK220" s="763">
        <f>'MODEL Product Introduction'!N145</f>
        <v>-1159297.3044150933</v>
      </c>
      <c r="FL220" s="763">
        <f>'MODEL Product Introduction'!O145</f>
        <v>-28045903.352491431</v>
      </c>
      <c r="FO220" s="5">
        <f>'MODEL Product Introduction'!$C144*(1-'MODEL Product Introduction'!$E$92)</f>
        <v>4093.3884336806041</v>
      </c>
      <c r="FP220" s="5">
        <f>'MODEL Product Introduction'!$D144*(1-'MODEL Product Introduction'!$F$92)</f>
        <v>3647.5738517945979</v>
      </c>
      <c r="FQ220" s="5">
        <f>('MODEL Product Introduction'!$E144+'MODEL Product Introduction'!$F144)*(1-'MODEL Product Introduction'!$G$92)</f>
        <v>78034.275689071335</v>
      </c>
      <c r="FR220" s="605"/>
      <c r="FS220" s="606"/>
      <c r="FT220" s="12">
        <f>'MODEL Product Introduction'!$G145*(1+'MODEL Product Introduction'!$H145)</f>
        <v>165</v>
      </c>
      <c r="FU220" s="12">
        <f>SUMPRODUCT('MODEL Product Introduction'!$C145:$F145,'MODEL Product Introduction'!$D$90:$G$90)</f>
        <v>11995219.671877466</v>
      </c>
      <c r="FV220" s="12">
        <f>SUMPRODUCT('MODEL Product Introduction'!$C145:$F145,'MODEL Product Introduction'!$D$91:$G$91)</f>
        <v>9329676.684893759</v>
      </c>
      <c r="FW220" s="12">
        <f>'MODEL Product Introduction'!$J145-'MODEL Product Introduction'!$K145</f>
        <v>-225729.23592571728</v>
      </c>
      <c r="FX220" s="12">
        <f>SUM('MODEL Product Introduction'!$C145:$F145)*10+'MODEL Product Introduction'!$I145*'MODEL Product Introduction'!$C145</f>
        <v>1819484.4969671094</v>
      </c>
      <c r="FY220" s="12">
        <f t="shared" si="28"/>
        <v>-2045213.7328928267</v>
      </c>
      <c r="FZ220" s="12">
        <f>'MODEL Product Introduction'!$N145+'MODEL Product Introduction'!$O144</f>
        <v>-28045903.352491431</v>
      </c>
    </row>
    <row r="221" spans="90:182" ht="13.5" thickBot="1">
      <c r="CL221" s="814">
        <f t="shared" si="27"/>
        <v>1.4999999999999999E-2</v>
      </c>
      <c r="CM221" s="814">
        <f t="shared" si="24"/>
        <v>0</v>
      </c>
      <c r="CN221" s="814">
        <f t="shared" si="26"/>
        <v>1.4999999999999999E-2</v>
      </c>
      <c r="CO221" s="814"/>
      <c r="CP221" s="814"/>
      <c r="CQ221" s="814">
        <f t="shared" si="16"/>
        <v>1.4999999999999999E-2</v>
      </c>
      <c r="CR221" s="814">
        <f t="shared" si="17"/>
        <v>0</v>
      </c>
      <c r="CS221" s="814">
        <f t="shared" si="18"/>
        <v>0</v>
      </c>
      <c r="CT221" s="814">
        <f t="shared" si="19"/>
        <v>1.4999999999999999E-2</v>
      </c>
      <c r="CU221" s="814">
        <f t="shared" si="20"/>
        <v>0</v>
      </c>
      <c r="CV221" s="814">
        <f t="shared" si="21"/>
        <v>0</v>
      </c>
      <c r="CW221" s="814">
        <f t="shared" si="22"/>
        <v>1.4999999999999999E-2</v>
      </c>
      <c r="CX221" s="814"/>
      <c r="FA221" s="763">
        <f>'MODEL Product Introduction'!D146</f>
        <v>4134.32231801741</v>
      </c>
      <c r="FB221" s="763">
        <f>'MODEL Product Introduction'!E146</f>
        <v>5315.5572660223852</v>
      </c>
      <c r="FC221" s="763">
        <f>'MODEL Product Introduction'!F146</f>
        <v>79132.343491470499</v>
      </c>
      <c r="FF221" s="763">
        <f>'MODEL Product Introduction'!I146</f>
        <v>100.1</v>
      </c>
      <c r="FG221" s="763">
        <f>'MODEL Product Introduction'!J146</f>
        <v>8627455.6851178557</v>
      </c>
      <c r="FH221" s="763">
        <f>'MODEL Product Introduction'!K146</f>
        <v>8858222.3075510301</v>
      </c>
      <c r="FI221" s="763">
        <f>'MODEL Product Introduction'!L146</f>
        <v>-230766.6224331744</v>
      </c>
      <c r="FJ221" s="763">
        <f>'MODEL Product Introduction'!M146</f>
        <v>945874.99562935415</v>
      </c>
      <c r="FK221" s="763">
        <f>'MODEL Product Introduction'!N146</f>
        <v>-1176641.6180625285</v>
      </c>
      <c r="FL221" s="763">
        <f>'MODEL Product Introduction'!O146</f>
        <v>-29222544.970553961</v>
      </c>
      <c r="FO221" s="5">
        <f>'MODEL Product Introduction'!$C145*(1-'MODEL Product Introduction'!$E$92)</f>
        <v>4134.32231801741</v>
      </c>
      <c r="FP221" s="5">
        <f>'MODEL Product Introduction'!$D145*(1-'MODEL Product Introduction'!$F$92)</f>
        <v>3684.0495903125438</v>
      </c>
      <c r="FQ221" s="5">
        <f>('MODEL Product Introduction'!$E145+'MODEL Product Introduction'!$F145)*(1-'MODEL Product Introduction'!$G$92)</f>
        <v>79132.343491470499</v>
      </c>
      <c r="FR221" s="605"/>
      <c r="FS221" s="606"/>
      <c r="FT221" s="12">
        <f>'MODEL Product Introduction'!$G146*(1+'MODEL Product Introduction'!$H146)</f>
        <v>110.00000000000001</v>
      </c>
      <c r="FU221" s="12">
        <f>SUMPRODUCT('MODEL Product Introduction'!$C146:$F146,'MODEL Product Introduction'!$D$90:$G$90)</f>
        <v>12159653.374967422</v>
      </c>
      <c r="FV221" s="12">
        <f>SUMPRODUCT('MODEL Product Introduction'!$C146:$F146,'MODEL Product Introduction'!$D$91:$G$91)</f>
        <v>9454745.9562935419</v>
      </c>
      <c r="FW221" s="12">
        <f>'MODEL Product Introduction'!$J146-'MODEL Product Introduction'!$K146</f>
        <v>-230766.6224331744</v>
      </c>
      <c r="FX221" s="12">
        <f>SUM('MODEL Product Introduction'!$C146:$F146)*10+'MODEL Product Introduction'!$I146*'MODEL Product Introduction'!$C146</f>
        <v>1542594.7680206087</v>
      </c>
      <c r="FY221" s="12">
        <f t="shared" si="28"/>
        <v>-1773361.3904537831</v>
      </c>
      <c r="FZ221" s="12">
        <f>'MODEL Product Introduction'!$N146+'MODEL Product Introduction'!$O145</f>
        <v>-29222544.970553961</v>
      </c>
    </row>
    <row r="222" spans="90:182" ht="13.5" thickBot="1">
      <c r="CL222" s="814">
        <f t="shared" si="27"/>
        <v>1.4999999999999999E-2</v>
      </c>
      <c r="CM222" s="814">
        <f t="shared" si="24"/>
        <v>0</v>
      </c>
      <c r="CN222" s="814">
        <f t="shared" si="26"/>
        <v>1.4999999999999999E-2</v>
      </c>
      <c r="CO222" s="814"/>
      <c r="CP222" s="814"/>
      <c r="CQ222" s="814">
        <f t="shared" si="16"/>
        <v>1.4999999999999999E-2</v>
      </c>
      <c r="CR222" s="814">
        <f t="shared" si="17"/>
        <v>0</v>
      </c>
      <c r="CS222" s="814">
        <f t="shared" si="18"/>
        <v>0</v>
      </c>
      <c r="CT222" s="814">
        <f t="shared" si="19"/>
        <v>1.4999999999999999E-2</v>
      </c>
      <c r="CU222" s="814">
        <f t="shared" si="20"/>
        <v>0</v>
      </c>
      <c r="CV222" s="814">
        <f t="shared" si="21"/>
        <v>0</v>
      </c>
      <c r="CW222" s="814">
        <f t="shared" si="22"/>
        <v>1.4999999999999999E-2</v>
      </c>
      <c r="CX222" s="814"/>
      <c r="FA222" s="763">
        <f>'MODEL Product Introduction'!D147</f>
        <v>4175.6655411975844</v>
      </c>
      <c r="FB222" s="763">
        <f>'MODEL Product Introduction'!E147</f>
        <v>5368.7128386826089</v>
      </c>
      <c r="FC222" s="763">
        <f>'MODEL Product Introduction'!F147</f>
        <v>80225.505719618232</v>
      </c>
      <c r="FF222" s="763">
        <f>'MODEL Product Introduction'!I147</f>
        <v>100.1</v>
      </c>
      <c r="FG222" s="763">
        <f>'MODEL Product Introduction'!J147</f>
        <v>8741273.0318515487</v>
      </c>
      <c r="FH222" s="763">
        <f>'MODEL Product Introduction'!K147</f>
        <v>8976988.4099498428</v>
      </c>
      <c r="FI222" s="763">
        <f>'MODEL Product Introduction'!L147</f>
        <v>-235715.37809829414</v>
      </c>
      <c r="FJ222" s="763">
        <f>'MODEL Product Introduction'!M147</f>
        <v>958348.12951797806</v>
      </c>
      <c r="FK222" s="763">
        <f>'MODEL Product Introduction'!N147</f>
        <v>-1194063.5076162722</v>
      </c>
      <c r="FL222" s="763">
        <f>'MODEL Product Introduction'!O147</f>
        <v>-30416608.478170231</v>
      </c>
      <c r="FO222" s="5">
        <f>'MODEL Product Introduction'!$C146*(1-'MODEL Product Introduction'!$E$92)</f>
        <v>4175.6655411975844</v>
      </c>
      <c r="FP222" s="5">
        <f>'MODEL Product Introduction'!$D146*(1-'MODEL Product Introduction'!$F$92)</f>
        <v>3720.8900862156693</v>
      </c>
      <c r="FQ222" s="5">
        <f>('MODEL Product Introduction'!$E146+'MODEL Product Introduction'!$F146)*(1-'MODEL Product Introduction'!$G$92)</f>
        <v>80225.505719618232</v>
      </c>
      <c r="FR222" s="605"/>
      <c r="FS222" s="606"/>
      <c r="FT222" s="12">
        <f>'MODEL Product Introduction'!$G147*(1+'MODEL Product Introduction'!$H147)</f>
        <v>110.00000000000001</v>
      </c>
      <c r="FU222" s="12">
        <f>SUMPRODUCT('MODEL Product Introduction'!$C147:$F147,'MODEL Product Introduction'!$D$90:$G$90)</f>
        <v>12323507.339769721</v>
      </c>
      <c r="FV222" s="12">
        <f>SUMPRODUCT('MODEL Product Introduction'!$C147:$F147,'MODEL Product Introduction'!$D$91:$G$91)</f>
        <v>9579477.2951797787</v>
      </c>
      <c r="FW222" s="12">
        <f>'MODEL Product Introduction'!$J147-'MODEL Product Introduction'!$K147</f>
        <v>-235715.37809829414</v>
      </c>
      <c r="FX222" s="12">
        <f>SUM('MODEL Product Introduction'!$C147:$F147)*10+'MODEL Product Introduction'!$I147*'MODEL Product Introduction'!$C147</f>
        <v>1561039.1036331451</v>
      </c>
      <c r="FY222" s="12">
        <f t="shared" si="28"/>
        <v>-1796754.4817314392</v>
      </c>
      <c r="FZ222" s="12">
        <f>'MODEL Product Introduction'!$N147+'MODEL Product Introduction'!$O146</f>
        <v>-30416608.478170231</v>
      </c>
    </row>
    <row r="223" spans="90:182" ht="13.5" thickBot="1">
      <c r="CL223" s="814">
        <f t="shared" si="27"/>
        <v>1.4999999999999999E-2</v>
      </c>
      <c r="CM223" s="814">
        <f t="shared" si="24"/>
        <v>0</v>
      </c>
      <c r="CN223" s="814">
        <f t="shared" si="26"/>
        <v>1.4999999999999999E-2</v>
      </c>
      <c r="CO223" s="814"/>
      <c r="CP223" s="814"/>
      <c r="CQ223" s="814">
        <f t="shared" si="16"/>
        <v>1.4999999999999999E-2</v>
      </c>
      <c r="CR223" s="814">
        <f t="shared" si="17"/>
        <v>0</v>
      </c>
      <c r="CS223" s="814">
        <f t="shared" si="18"/>
        <v>0</v>
      </c>
      <c r="CT223" s="814">
        <f t="shared" si="19"/>
        <v>1.4999999999999999E-2</v>
      </c>
      <c r="CU223" s="814">
        <f t="shared" si="20"/>
        <v>0</v>
      </c>
      <c r="CV223" s="814">
        <f t="shared" si="21"/>
        <v>0</v>
      </c>
      <c r="CW223" s="814">
        <f t="shared" si="22"/>
        <v>1.4999999999999999E-2</v>
      </c>
      <c r="CX223" s="814"/>
      <c r="FA223" s="763">
        <f>'MODEL Product Introduction'!D148</f>
        <v>4217.4221966095602</v>
      </c>
      <c r="FB223" s="763">
        <f>'MODEL Product Introduction'!E148</f>
        <v>5422.3999670694348</v>
      </c>
      <c r="FC223" s="763">
        <f>'MODEL Product Introduction'!F148</f>
        <v>81314.507630385793</v>
      </c>
      <c r="FF223" s="763">
        <f>'MODEL Product Introduction'!I148</f>
        <v>100.1</v>
      </c>
      <c r="FG223" s="763">
        <f>'MODEL Product Introduction'!J148</f>
        <v>8854851.4125584532</v>
      </c>
      <c r="FH223" s="763">
        <f>'MODEL Product Introduction'!K148</f>
        <v>9095432.9794064797</v>
      </c>
      <c r="FI223" s="763">
        <f>'MODEL Product Introduction'!L148</f>
        <v>-240581.56684802659</v>
      </c>
      <c r="FJ223" s="763">
        <f>'MODEL Product Introduction'!M148</f>
        <v>970795.07534887153</v>
      </c>
      <c r="FK223" s="763">
        <f>'MODEL Product Introduction'!N148</f>
        <v>-1211376.6421968981</v>
      </c>
      <c r="FL223" s="763">
        <f>'MODEL Product Introduction'!O148</f>
        <v>-31627985.120367128</v>
      </c>
      <c r="FO223" s="5">
        <f>'MODEL Product Introduction'!$C147*(1-'MODEL Product Introduction'!$E$92)</f>
        <v>4217.4221966095602</v>
      </c>
      <c r="FP223" s="5">
        <f>'MODEL Product Introduction'!$D147*(1-'MODEL Product Introduction'!$F$92)</f>
        <v>3758.0989870778262</v>
      </c>
      <c r="FQ223" s="5">
        <f>('MODEL Product Introduction'!$E147+'MODEL Product Introduction'!$F147)*(1-'MODEL Product Introduction'!$G$92)</f>
        <v>81314.507630385793</v>
      </c>
      <c r="FR223" s="605"/>
      <c r="FS223" s="606"/>
      <c r="FT223" s="12">
        <f>'MODEL Product Introduction'!$G148*(1+'MODEL Product Introduction'!$H148)</f>
        <v>110.00000000000001</v>
      </c>
      <c r="FU223" s="12">
        <f>SUMPRODUCT('MODEL Product Introduction'!$C148:$F148,'MODEL Product Introduction'!$D$90:$G$90)</f>
        <v>12486886.972667411</v>
      </c>
      <c r="FV223" s="12">
        <f>SUMPRODUCT('MODEL Product Introduction'!$C148:$F148,'MODEL Product Introduction'!$D$91:$G$91)</f>
        <v>9703946.7534887157</v>
      </c>
      <c r="FW223" s="12">
        <f>'MODEL Product Introduction'!$J148-'MODEL Product Introduction'!$K148</f>
        <v>-240581.56684802659</v>
      </c>
      <c r="FX223" s="12">
        <f>SUM('MODEL Product Introduction'!$C148:$F148)*10+'MODEL Product Introduction'!$I148*'MODEL Product Introduction'!$C148</f>
        <v>1579516.9632051904</v>
      </c>
      <c r="FY223" s="12">
        <f t="shared" si="28"/>
        <v>-1820098.530053217</v>
      </c>
      <c r="FZ223" s="12">
        <f>'MODEL Product Introduction'!$N148+'MODEL Product Introduction'!$O147</f>
        <v>-31627985.120367128</v>
      </c>
    </row>
    <row r="224" spans="90:182" ht="13.5" thickBot="1">
      <c r="CL224" s="814">
        <f t="shared" si="27"/>
        <v>1.4999999999999999E-2</v>
      </c>
      <c r="CM224" s="814">
        <f t="shared" si="24"/>
        <v>0</v>
      </c>
      <c r="CN224" s="814">
        <f t="shared" si="26"/>
        <v>1.4999999999999999E-2</v>
      </c>
      <c r="CO224" s="814"/>
      <c r="CP224" s="814"/>
      <c r="CQ224" s="814">
        <f t="shared" si="16"/>
        <v>1.4999999999999999E-2</v>
      </c>
      <c r="CR224" s="814">
        <f t="shared" si="17"/>
        <v>0</v>
      </c>
      <c r="CS224" s="814">
        <f t="shared" si="18"/>
        <v>0</v>
      </c>
      <c r="CT224" s="814">
        <f t="shared" si="19"/>
        <v>1.4999999999999999E-2</v>
      </c>
      <c r="CU224" s="814">
        <f t="shared" si="20"/>
        <v>0</v>
      </c>
      <c r="CV224" s="814">
        <f t="shared" si="21"/>
        <v>0</v>
      </c>
      <c r="CW224" s="814">
        <f t="shared" si="22"/>
        <v>1.4999999999999999E-2</v>
      </c>
      <c r="CX224" s="814"/>
      <c r="FA224" s="763">
        <f>'MODEL Product Introduction'!D149</f>
        <v>4259.5964185756557</v>
      </c>
      <c r="FB224" s="763">
        <f>'MODEL Product Introduction'!E149</f>
        <v>5476.6239667401296</v>
      </c>
      <c r="FC224" s="763">
        <f>'MODEL Product Introduction'!F149</f>
        <v>82400.062217582454</v>
      </c>
      <c r="FF224" s="763">
        <f>'MODEL Product Introduction'!I149</f>
        <v>100.1</v>
      </c>
      <c r="FG224" s="763">
        <f>'MODEL Product Introduction'!J149</f>
        <v>8968257.2945530061</v>
      </c>
      <c r="FH224" s="763">
        <f>'MODEL Product Introduction'!K149</f>
        <v>9213628.2602898236</v>
      </c>
      <c r="FI224" s="763">
        <f>'MODEL Product Introduction'!L149</f>
        <v>-245370.96573681757</v>
      </c>
      <c r="FJ224" s="763">
        <f>'MODEL Product Introduction'!M149</f>
        <v>983223.11721128831</v>
      </c>
      <c r="FK224" s="763">
        <f>'MODEL Product Introduction'!N149</f>
        <v>-1228594.0829481059</v>
      </c>
      <c r="FL224" s="763">
        <f>'MODEL Product Introduction'!O149</f>
        <v>-32856579.203315236</v>
      </c>
      <c r="FO224" s="5">
        <f>'MODEL Product Introduction'!$C148*(1-'MODEL Product Introduction'!$E$92)</f>
        <v>4259.5964185756557</v>
      </c>
      <c r="FP224" s="5">
        <f>'MODEL Product Introduction'!$D148*(1-'MODEL Product Introduction'!$F$92)</f>
        <v>3795.6799769486042</v>
      </c>
      <c r="FQ224" s="5">
        <f>('MODEL Product Introduction'!$E148+'MODEL Product Introduction'!$F148)*(1-'MODEL Product Introduction'!$G$92)</f>
        <v>82400.062217582454</v>
      </c>
      <c r="FR224" s="605"/>
      <c r="FS224" s="606"/>
      <c r="FT224" s="12">
        <f>'MODEL Product Introduction'!$G149*(1+'MODEL Product Introduction'!$H149)</f>
        <v>110.00000000000001</v>
      </c>
      <c r="FU224" s="12">
        <f>SUMPRODUCT('MODEL Product Introduction'!$C149:$F149,'MODEL Product Introduction'!$D$90:$G$90)</f>
        <v>12649893.173919078</v>
      </c>
      <c r="FV224" s="12">
        <f>SUMPRODUCT('MODEL Product Introduction'!$C149:$F149,'MODEL Product Introduction'!$D$91:$G$91)</f>
        <v>9828227.1721128821</v>
      </c>
      <c r="FW224" s="12">
        <f>'MODEL Product Introduction'!$J149-'MODEL Product Introduction'!$K149</f>
        <v>-245370.96573681757</v>
      </c>
      <c r="FX224" s="12">
        <f>SUM('MODEL Product Introduction'!$C149:$F149)*10+'MODEL Product Introduction'!$I149*'MODEL Product Introduction'!$C149</f>
        <v>1598036.2279461701</v>
      </c>
      <c r="FY224" s="12">
        <f t="shared" si="28"/>
        <v>-1843407.1936829877</v>
      </c>
      <c r="FZ224" s="12">
        <f>'MODEL Product Introduction'!$N149+'MODEL Product Introduction'!$O148</f>
        <v>-32856579.203315236</v>
      </c>
    </row>
    <row r="225" spans="90:182" ht="13.5" thickBot="1">
      <c r="CL225" s="814">
        <f t="shared" si="27"/>
        <v>1.4999999999999999E-2</v>
      </c>
      <c r="CM225" s="814">
        <f t="shared" si="24"/>
        <v>0</v>
      </c>
      <c r="CN225" s="814">
        <f t="shared" si="26"/>
        <v>1.4999999999999999E-2</v>
      </c>
      <c r="CO225" s="814"/>
      <c r="CP225" s="814"/>
      <c r="CQ225" s="814">
        <f t="shared" si="16"/>
        <v>1.4999999999999999E-2</v>
      </c>
      <c r="CR225" s="814">
        <f t="shared" si="17"/>
        <v>0</v>
      </c>
      <c r="CS225" s="814">
        <f t="shared" si="18"/>
        <v>0</v>
      </c>
      <c r="CT225" s="814">
        <f t="shared" si="19"/>
        <v>1.4999999999999999E-2</v>
      </c>
      <c r="CU225" s="814">
        <f t="shared" si="20"/>
        <v>0</v>
      </c>
      <c r="CV225" s="814">
        <f t="shared" si="21"/>
        <v>0</v>
      </c>
      <c r="CW225" s="814">
        <f t="shared" si="22"/>
        <v>1.4999999999999999E-2</v>
      </c>
      <c r="CX225" s="814"/>
      <c r="FA225" s="763">
        <f>'MODEL Product Introduction'!D150</f>
        <v>4302.1923827614128</v>
      </c>
      <c r="FB225" s="763">
        <f>'MODEL Product Introduction'!E150</f>
        <v>5531.390206407531</v>
      </c>
      <c r="FC225" s="763">
        <f>'MODEL Product Introduction'!F150</f>
        <v>83482.85187510644</v>
      </c>
      <c r="FF225" s="763">
        <f>'MODEL Product Introduction'!I150</f>
        <v>100.1</v>
      </c>
      <c r="FG225" s="763">
        <f>'MODEL Product Introduction'!J150</f>
        <v>9081554.3669740558</v>
      </c>
      <c r="FH225" s="763">
        <f>'MODEL Product Introduction'!K150</f>
        <v>9331643.446427539</v>
      </c>
      <c r="FI225" s="763">
        <f>'MODEL Product Introduction'!L150</f>
        <v>-250089.07945348322</v>
      </c>
      <c r="FJ225" s="763">
        <f>'MODEL Product Introduction'!M150</f>
        <v>995639.23473688273</v>
      </c>
      <c r="FK225" s="763">
        <f>'MODEL Product Introduction'!N150</f>
        <v>-1245728.3141903658</v>
      </c>
      <c r="FL225" s="763">
        <f>'MODEL Product Introduction'!O150</f>
        <v>-34102307.517505601</v>
      </c>
      <c r="FO225" s="5">
        <f>'MODEL Product Introduction'!$C149*(1-'MODEL Product Introduction'!$E$92)</f>
        <v>4302.1923827614128</v>
      </c>
      <c r="FP225" s="5">
        <f>'MODEL Product Introduction'!$D149*(1-'MODEL Product Introduction'!$F$92)</f>
        <v>3833.63677671809</v>
      </c>
      <c r="FQ225" s="5">
        <f>('MODEL Product Introduction'!$E149+'MODEL Product Introduction'!$F149)*(1-'MODEL Product Introduction'!$G$92)</f>
        <v>83482.85187510644</v>
      </c>
      <c r="FR225" s="605"/>
      <c r="FS225" s="606"/>
      <c r="FT225" s="12">
        <f>'MODEL Product Introduction'!$G150*(1+'MODEL Product Introduction'!$H150)</f>
        <v>110.00000000000001</v>
      </c>
      <c r="FU225" s="12">
        <f>SUMPRODUCT('MODEL Product Introduction'!$C150:$F150,'MODEL Product Introduction'!$D$90:$G$90)</f>
        <v>12812622.570607012</v>
      </c>
      <c r="FV225" s="12">
        <f>SUMPRODUCT('MODEL Product Introduction'!$C150:$F150,'MODEL Product Introduction'!$D$91:$G$91)</f>
        <v>9952388.347368829</v>
      </c>
      <c r="FW225" s="12">
        <f>'MODEL Product Introduction'!$J150-'MODEL Product Introduction'!$K150</f>
        <v>-250089.07945348322</v>
      </c>
      <c r="FX225" s="12">
        <f>SUM('MODEL Product Introduction'!$C150:$F150)*10+'MODEL Product Introduction'!$I150*'MODEL Product Introduction'!$C150</f>
        <v>1616604.4805791136</v>
      </c>
      <c r="FY225" s="12">
        <f t="shared" si="28"/>
        <v>-1866693.5600325968</v>
      </c>
      <c r="FZ225" s="12">
        <f>'MODEL Product Introduction'!$N150+'MODEL Product Introduction'!$O149</f>
        <v>-34102307.517505601</v>
      </c>
    </row>
    <row r="226" spans="90:182" ht="13.5" thickBot="1">
      <c r="CL226" s="814">
        <f t="shared" si="27"/>
        <v>1.4999999999999999E-2</v>
      </c>
      <c r="CM226" s="814">
        <f t="shared" si="24"/>
        <v>0</v>
      </c>
      <c r="CN226" s="814">
        <f t="shared" si="26"/>
        <v>1.4999999999999999E-2</v>
      </c>
      <c r="CO226" s="814"/>
      <c r="CP226" s="814"/>
      <c r="CQ226" s="814">
        <f t="shared" si="16"/>
        <v>1.4999999999999999E-2</v>
      </c>
      <c r="CR226" s="814">
        <f t="shared" si="17"/>
        <v>0</v>
      </c>
      <c r="CS226" s="814">
        <f t="shared" si="18"/>
        <v>0</v>
      </c>
      <c r="CT226" s="814">
        <f t="shared" si="19"/>
        <v>1.4999999999999999E-2</v>
      </c>
      <c r="CU226" s="814">
        <f t="shared" si="20"/>
        <v>0</v>
      </c>
      <c r="CV226" s="814">
        <f t="shared" si="21"/>
        <v>0</v>
      </c>
      <c r="CW226" s="814">
        <f t="shared" si="22"/>
        <v>1.4999999999999999E-2</v>
      </c>
      <c r="CX226" s="814"/>
      <c r="FA226" s="763">
        <f>'MODEL Product Introduction'!D151</f>
        <v>4345.2143065890268</v>
      </c>
      <c r="FB226" s="763">
        <f>'MODEL Product Introduction'!E151</f>
        <v>5586.7041084716066</v>
      </c>
      <c r="FC226" s="763">
        <f>'MODEL Product Introduction'!F151</f>
        <v>84563.529977438273</v>
      </c>
      <c r="FF226" s="763">
        <f>'MODEL Product Introduction'!I151</f>
        <v>100.1</v>
      </c>
      <c r="FG226" s="763">
        <f>'MODEL Product Introduction'!J151</f>
        <v>9194803.685145542</v>
      </c>
      <c r="FH226" s="763">
        <f>'MODEL Product Introduction'!K151</f>
        <v>9449544.8392498903</v>
      </c>
      <c r="FI226" s="763">
        <f>'MODEL Product Introduction'!L151</f>
        <v>-254741.15410434827</v>
      </c>
      <c r="FJ226" s="763">
        <f>'MODEL Product Introduction'!M151</f>
        <v>1008050.1189200594</v>
      </c>
      <c r="FK226" s="763">
        <f>'MODEL Product Introduction'!N151</f>
        <v>-1262791.2730244077</v>
      </c>
      <c r="FL226" s="763">
        <f>'MODEL Product Introduction'!O151</f>
        <v>-35365098.790530011</v>
      </c>
      <c r="FO226" s="5">
        <f>'MODEL Product Introduction'!$C150*(1-'MODEL Product Introduction'!$E$92)</f>
        <v>4345.2143065890268</v>
      </c>
      <c r="FP226" s="5">
        <f>'MODEL Product Introduction'!$D150*(1-'MODEL Product Introduction'!$F$92)</f>
        <v>3871.9731444852714</v>
      </c>
      <c r="FQ226" s="5">
        <f>('MODEL Product Introduction'!$E150+'MODEL Product Introduction'!$F150)*(1-'MODEL Product Introduction'!$G$92)</f>
        <v>84563.529977438273</v>
      </c>
      <c r="FR226" s="605"/>
      <c r="FS226" s="606"/>
      <c r="FT226" s="12">
        <f>'MODEL Product Introduction'!$G151*(1+'MODEL Product Introduction'!$H151)</f>
        <v>110.00000000000001</v>
      </c>
      <c r="FU226" s="12">
        <f>SUMPRODUCT('MODEL Product Introduction'!$C151:$F151,'MODEL Product Introduction'!$D$90:$G$90)</f>
        <v>12975167.738014389</v>
      </c>
      <c r="FV226" s="12">
        <f>SUMPRODUCT('MODEL Product Introduction'!$C151:$F151,'MODEL Product Introduction'!$D$91:$G$91)</f>
        <v>10076497.189200591</v>
      </c>
      <c r="FW226" s="12">
        <f>'MODEL Product Introduction'!$J151-'MODEL Product Introduction'!$K151</f>
        <v>-254741.15410434827</v>
      </c>
      <c r="FX226" s="12">
        <f>SUM('MODEL Product Introduction'!$C151:$F151)*10+'MODEL Product Introduction'!$I151*'MODEL Product Introduction'!$C151</f>
        <v>1635229.0212207125</v>
      </c>
      <c r="FY226" s="12">
        <f t="shared" si="28"/>
        <v>-1889970.1753250607</v>
      </c>
      <c r="FZ226" s="12">
        <f>'MODEL Product Introduction'!$N151+'MODEL Product Introduction'!$O150</f>
        <v>-35365098.790530011</v>
      </c>
    </row>
    <row r="227" spans="90:182" ht="13.5" thickBot="1">
      <c r="CL227" s="814">
        <f t="shared" si="27"/>
        <v>1.4999999999999999E-2</v>
      </c>
      <c r="CM227" s="814">
        <f t="shared" si="24"/>
        <v>0</v>
      </c>
      <c r="CN227" s="814">
        <f t="shared" si="26"/>
        <v>1.4999999999999999E-2</v>
      </c>
      <c r="CO227" s="814"/>
      <c r="CP227" s="814"/>
      <c r="CQ227" s="814">
        <f t="shared" si="16"/>
        <v>1.4999999999999999E-2</v>
      </c>
      <c r="CR227" s="814">
        <f t="shared" si="17"/>
        <v>0</v>
      </c>
      <c r="CS227" s="814">
        <f t="shared" si="18"/>
        <v>0</v>
      </c>
      <c r="CT227" s="814">
        <f t="shared" si="19"/>
        <v>1.4999999999999999E-2</v>
      </c>
      <c r="CU227" s="814">
        <f t="shared" si="20"/>
        <v>0</v>
      </c>
      <c r="CV227" s="814">
        <f t="shared" si="21"/>
        <v>0</v>
      </c>
      <c r="CW227" s="814">
        <f t="shared" si="22"/>
        <v>1.4999999999999999E-2</v>
      </c>
      <c r="CX227" s="814"/>
      <c r="FA227" s="763">
        <f>'MODEL Product Introduction'!D152</f>
        <v>4388.6664496549174</v>
      </c>
      <c r="FB227" s="763">
        <f>'MODEL Product Introduction'!E152</f>
        <v>5642.5711495563228</v>
      </c>
      <c r="FC227" s="763">
        <f>'MODEL Product Introduction'!F152</f>
        <v>85642.722381614381</v>
      </c>
      <c r="FF227" s="763">
        <f>'MODEL Product Introduction'!I152</f>
        <v>100.1</v>
      </c>
      <c r="FG227" s="763">
        <f>'MODEL Product Introduction'!J152</f>
        <v>9308063.8077736534</v>
      </c>
      <c r="FH227" s="763">
        <f>'MODEL Product Introduction'!K152</f>
        <v>9567395.9980825614</v>
      </c>
      <c r="FI227" s="763">
        <f>'MODEL Product Introduction'!L152</f>
        <v>-259332.190308908</v>
      </c>
      <c r="FJ227" s="763">
        <f>'MODEL Product Introduction'!M152</f>
        <v>1020462.1871532773</v>
      </c>
      <c r="FK227" s="763">
        <f>'MODEL Product Introduction'!N152</f>
        <v>-1279794.3774621855</v>
      </c>
      <c r="FL227" s="763">
        <f>'MODEL Product Introduction'!O152</f>
        <v>-36644893.167992197</v>
      </c>
      <c r="FO227" s="5">
        <f>'MODEL Product Introduction'!$C151*(1-'MODEL Product Introduction'!$E$92)</f>
        <v>4388.6664496549174</v>
      </c>
      <c r="FP227" s="5">
        <f>'MODEL Product Introduction'!$D151*(1-'MODEL Product Introduction'!$F$92)</f>
        <v>3910.692875930124</v>
      </c>
      <c r="FQ227" s="5">
        <f>('MODEL Product Introduction'!$E151+'MODEL Product Introduction'!$F151)*(1-'MODEL Product Introduction'!$G$92)</f>
        <v>85642.722381614381</v>
      </c>
      <c r="FR227" s="605"/>
      <c r="FS227" s="606"/>
      <c r="FT227" s="12">
        <f>'MODEL Product Introduction'!$G152*(1+'MODEL Product Introduction'!$H152)</f>
        <v>110.00000000000001</v>
      </c>
      <c r="FU227" s="12">
        <f>SUMPRODUCT('MODEL Product Introduction'!$C152:$F152,'MODEL Product Introduction'!$D$90:$G$90)</f>
        <v>13137617.410010776</v>
      </c>
      <c r="FV227" s="12">
        <f>SUMPRODUCT('MODEL Product Introduction'!$C152:$F152,'MODEL Product Introduction'!$D$91:$G$91)</f>
        <v>10200617.871532772</v>
      </c>
      <c r="FW227" s="12">
        <f>'MODEL Product Introduction'!$J152-'MODEL Product Introduction'!$K152</f>
        <v>-259332.190308908</v>
      </c>
      <c r="FX227" s="12">
        <f>SUM('MODEL Product Introduction'!$C152:$F152)*10+'MODEL Product Introduction'!$I152*'MODEL Product Introduction'!$C152</f>
        <v>1653916.882476937</v>
      </c>
      <c r="FY227" s="12">
        <f t="shared" si="28"/>
        <v>-1913249.072785845</v>
      </c>
      <c r="FZ227" s="12">
        <f>'MODEL Product Introduction'!$N152+'MODEL Product Introduction'!$O151</f>
        <v>-36644893.167992197</v>
      </c>
    </row>
    <row r="228" spans="90:182" ht="13.5" thickBot="1">
      <c r="CL228" s="814">
        <f t="shared" si="27"/>
        <v>1.4999999999999999E-2</v>
      </c>
      <c r="CM228" s="814">
        <f t="shared" si="24"/>
        <v>0</v>
      </c>
      <c r="CN228" s="814">
        <f t="shared" si="26"/>
        <v>1.4999999999999999E-2</v>
      </c>
      <c r="CO228" s="814"/>
      <c r="CP228" s="814"/>
      <c r="CQ228" s="814">
        <f t="shared" si="16"/>
        <v>1.4999999999999999E-2</v>
      </c>
      <c r="CR228" s="814">
        <f t="shared" si="17"/>
        <v>0</v>
      </c>
      <c r="CS228" s="814">
        <f t="shared" si="18"/>
        <v>0</v>
      </c>
      <c r="CT228" s="814">
        <f t="shared" si="19"/>
        <v>1.4999999999999999E-2</v>
      </c>
      <c r="CU228" s="814">
        <f t="shared" si="20"/>
        <v>0</v>
      </c>
      <c r="CV228" s="814">
        <f t="shared" si="21"/>
        <v>0</v>
      </c>
      <c r="CW228" s="814">
        <f t="shared" si="22"/>
        <v>1.4999999999999999E-2</v>
      </c>
      <c r="CX228" s="814"/>
      <c r="FA228" s="763">
        <f>'MODEL Product Introduction'!D153</f>
        <v>4432.5531141514666</v>
      </c>
      <c r="FB228" s="763">
        <f>'MODEL Product Introduction'!E153</f>
        <v>5698.9968610518863</v>
      </c>
      <c r="FC228" s="763">
        <f>'MODEL Product Introduction'!F153</f>
        <v>86721.028854612159</v>
      </c>
      <c r="FF228" s="763">
        <f>'MODEL Product Introduction'!I153</f>
        <v>100.1</v>
      </c>
      <c r="FG228" s="763">
        <f>'MODEL Product Introduction'!J153</f>
        <v>9421390.9273392148</v>
      </c>
      <c r="FH228" s="763">
        <f>'MODEL Product Introduction'!K153</f>
        <v>9685257.8829815518</v>
      </c>
      <c r="FI228" s="763">
        <f>'MODEL Product Introduction'!L153</f>
        <v>-263866.95564233698</v>
      </c>
      <c r="FJ228" s="763">
        <f>'MODEL Product Introduction'!M153</f>
        <v>1032881.5975166262</v>
      </c>
      <c r="FK228" s="763">
        <f>'MODEL Product Introduction'!N153</f>
        <v>-1296748.5531589631</v>
      </c>
      <c r="FL228" s="763">
        <f>'MODEL Product Introduction'!O153</f>
        <v>-37941641.721151158</v>
      </c>
      <c r="FO228" s="5">
        <f>'MODEL Product Introduction'!$C152*(1-'MODEL Product Introduction'!$E$92)</f>
        <v>4432.5531141514666</v>
      </c>
      <c r="FP228" s="5">
        <f>'MODEL Product Introduction'!$D152*(1-'MODEL Product Introduction'!$F$92)</f>
        <v>3949.7998046894259</v>
      </c>
      <c r="FQ228" s="5">
        <f>('MODEL Product Introduction'!$E152+'MODEL Product Introduction'!$F152)*(1-'MODEL Product Introduction'!$G$92)</f>
        <v>86721.028854612159</v>
      </c>
      <c r="FR228" s="605"/>
      <c r="FS228" s="606"/>
      <c r="FT228" s="12">
        <f>'MODEL Product Introduction'!$G153*(1+'MODEL Product Introduction'!$H153)</f>
        <v>110.00000000000001</v>
      </c>
      <c r="FU228" s="12">
        <f>SUMPRODUCT('MODEL Product Introduction'!$C153:$F153,'MODEL Product Introduction'!$D$90:$G$90)</f>
        <v>13300056.67899631</v>
      </c>
      <c r="FV228" s="12">
        <f>SUMPRODUCT('MODEL Product Introduction'!$C153:$F153,'MODEL Product Introduction'!$D$91:$G$91)</f>
        <v>10324811.975166263</v>
      </c>
      <c r="FW228" s="12">
        <f>'MODEL Product Introduction'!$J153-'MODEL Product Introduction'!$K153</f>
        <v>-263866.95564233698</v>
      </c>
      <c r="FX228" s="12">
        <f>SUM('MODEL Product Introduction'!$C153:$F153)*10+'MODEL Product Introduction'!$I153*'MODEL Product Introduction'!$C153</f>
        <v>1672674.8437935226</v>
      </c>
      <c r="FY228" s="12">
        <f t="shared" si="28"/>
        <v>-1936541.7994358595</v>
      </c>
      <c r="FZ228" s="12">
        <f>'MODEL Product Introduction'!$N153+'MODEL Product Introduction'!$O152</f>
        <v>-37941641.721151158</v>
      </c>
    </row>
    <row r="229" spans="90:182" ht="13.5" thickBot="1">
      <c r="CL229" s="814">
        <f t="shared" si="27"/>
        <v>1.4999999999999999E-2</v>
      </c>
      <c r="CM229" s="814">
        <f t="shared" si="24"/>
        <v>0</v>
      </c>
      <c r="CN229" s="814">
        <f t="shared" si="26"/>
        <v>1.4999999999999999E-2</v>
      </c>
      <c r="CO229" s="814"/>
      <c r="CP229" s="814"/>
      <c r="CQ229" s="814">
        <f t="shared" si="16"/>
        <v>1.4999999999999999E-2</v>
      </c>
      <c r="CR229" s="814">
        <f t="shared" si="17"/>
        <v>0</v>
      </c>
      <c r="CS229" s="814">
        <f t="shared" si="18"/>
        <v>0</v>
      </c>
      <c r="CT229" s="814">
        <f t="shared" si="19"/>
        <v>1.4999999999999999E-2</v>
      </c>
      <c r="CU229" s="814">
        <f t="shared" si="20"/>
        <v>0</v>
      </c>
      <c r="CV229" s="814">
        <f t="shared" si="21"/>
        <v>0</v>
      </c>
      <c r="CW229" s="814">
        <f t="shared" si="22"/>
        <v>1.4999999999999999E-2</v>
      </c>
      <c r="CX229" s="814"/>
      <c r="FA229" s="763">
        <f>'MODEL Product Introduction'!D154</f>
        <v>4476.8786452929817</v>
      </c>
      <c r="FB229" s="763">
        <f>'MODEL Product Introduction'!E154</f>
        <v>5755.9868296624054</v>
      </c>
      <c r="FC229" s="763">
        <f>'MODEL Product Introduction'!F154</f>
        <v>87799.024429880839</v>
      </c>
      <c r="FF229" s="763">
        <f>'MODEL Product Introduction'!I154</f>
        <v>100.1</v>
      </c>
      <c r="FG229" s="763">
        <f>'MODEL Product Introduction'!J154</f>
        <v>9534838.9940260407</v>
      </c>
      <c r="FH229" s="763">
        <f>'MODEL Product Introduction'!K154</f>
        <v>9803188.990483623</v>
      </c>
      <c r="FI229" s="763">
        <f>'MODEL Product Introduction'!L154</f>
        <v>-268349.99645758234</v>
      </c>
      <c r="FJ229" s="763">
        <f>'MODEL Product Introduction'!M154</f>
        <v>1045314.2623590181</v>
      </c>
      <c r="FK229" s="763">
        <f>'MODEL Product Introduction'!N154</f>
        <v>-1313664.2588166003</v>
      </c>
      <c r="FL229" s="763">
        <f>'MODEL Product Introduction'!O154</f>
        <v>-39255305.979967758</v>
      </c>
      <c r="FO229" s="5">
        <f>'MODEL Product Introduction'!$C153*(1-'MODEL Product Introduction'!$E$92)</f>
        <v>4476.8786452929817</v>
      </c>
      <c r="FP229" s="5">
        <f>'MODEL Product Introduction'!$D153*(1-'MODEL Product Introduction'!$F$92)</f>
        <v>3989.2978027363201</v>
      </c>
      <c r="FQ229" s="5">
        <f>('MODEL Product Introduction'!$E153+'MODEL Product Introduction'!$F153)*(1-'MODEL Product Introduction'!$G$92)</f>
        <v>87799.024429880839</v>
      </c>
      <c r="FR229" s="605"/>
      <c r="FS229" s="606"/>
      <c r="FT229" s="12">
        <f>'MODEL Product Introduction'!$G154*(1+'MODEL Product Introduction'!$H154)</f>
        <v>110.00000000000001</v>
      </c>
      <c r="FU229" s="12">
        <f>SUMPRODUCT('MODEL Product Introduction'!$C154:$F154,'MODEL Product Introduction'!$D$90:$G$90)</f>
        <v>13462567.185927432</v>
      </c>
      <c r="FV229" s="12">
        <f>SUMPRODUCT('MODEL Product Introduction'!$C154:$F154,'MODEL Product Introduction'!$D$91:$G$91)</f>
        <v>10449138.623590183</v>
      </c>
      <c r="FW229" s="12">
        <f>'MODEL Product Introduction'!$J154-'MODEL Product Introduction'!$K154</f>
        <v>-268349.99645758234</v>
      </c>
      <c r="FX229" s="12">
        <f>SUM('MODEL Product Introduction'!$C154:$F154)*10+'MODEL Product Introduction'!$I154*'MODEL Product Introduction'!$C154</f>
        <v>1691509.4450986832</v>
      </c>
      <c r="FY229" s="12">
        <f t="shared" si="28"/>
        <v>-1959859.4415562656</v>
      </c>
      <c r="FZ229" s="12">
        <f>'MODEL Product Introduction'!$N154+'MODEL Product Introduction'!$O153</f>
        <v>-39255305.979967758</v>
      </c>
    </row>
    <row r="230" spans="90:182" ht="13.5" thickBot="1">
      <c r="CL230" s="814">
        <f t="shared" si="27"/>
        <v>1.4999999999999999E-2</v>
      </c>
      <c r="CM230" s="814">
        <f t="shared" si="24"/>
        <v>0</v>
      </c>
      <c r="CN230" s="814">
        <f t="shared" si="26"/>
        <v>1.4999999999999999E-2</v>
      </c>
      <c r="CO230" s="814"/>
      <c r="CP230" s="814"/>
      <c r="CQ230" s="814">
        <f t="shared" si="16"/>
        <v>1.4999999999999999E-2</v>
      </c>
      <c r="CR230" s="814">
        <f t="shared" si="17"/>
        <v>0</v>
      </c>
      <c r="CS230" s="814">
        <f t="shared" si="18"/>
        <v>0</v>
      </c>
      <c r="CT230" s="814">
        <f t="shared" si="19"/>
        <v>1.4999999999999999E-2</v>
      </c>
      <c r="CU230" s="814">
        <f t="shared" si="20"/>
        <v>0</v>
      </c>
      <c r="CV230" s="814">
        <f t="shared" si="21"/>
        <v>0</v>
      </c>
      <c r="CW230" s="814">
        <f t="shared" si="22"/>
        <v>1.4999999999999999E-2</v>
      </c>
      <c r="CX230" s="814"/>
      <c r="FA230" s="763">
        <f>'MODEL Product Introduction'!D155</f>
        <v>4521.6474317459106</v>
      </c>
      <c r="FB230" s="763">
        <f>'MODEL Product Introduction'!E155</f>
        <v>5813.5466979590292</v>
      </c>
      <c r="FC230" s="763">
        <f>'MODEL Product Introduction'!F155</f>
        <v>88877.260696566082</v>
      </c>
      <c r="FF230" s="763">
        <f>'MODEL Product Introduction'!I155</f>
        <v>110.1</v>
      </c>
      <c r="FG230" s="763">
        <f>'MODEL Product Introduction'!J155</f>
        <v>9648459.8335090633</v>
      </c>
      <c r="FH230" s="763">
        <f>'MODEL Product Introduction'!K155</f>
        <v>9921245.4826271012</v>
      </c>
      <c r="FI230" s="763">
        <f>'MODEL Product Introduction'!L155</f>
        <v>-272785.64911803789</v>
      </c>
      <c r="FJ230" s="763">
        <f>'MODEL Product Introduction'!M155</f>
        <v>1057805.8612064726</v>
      </c>
      <c r="FK230" s="763">
        <f>'MODEL Product Introduction'!N155</f>
        <v>-1330591.5103245105</v>
      </c>
      <c r="FL230" s="763">
        <f>'MODEL Product Introduction'!O155</f>
        <v>-40585897.490292266</v>
      </c>
      <c r="FO230" s="5">
        <f>'MODEL Product Introduction'!$C154*(1-'MODEL Product Introduction'!$E$92)</f>
        <v>4521.6474317459106</v>
      </c>
      <c r="FP230" s="5">
        <f>'MODEL Product Introduction'!$D154*(1-'MODEL Product Introduction'!$F$92)</f>
        <v>4029.1907807636835</v>
      </c>
      <c r="FQ230" s="5">
        <f>('MODEL Product Introduction'!$E154+'MODEL Product Introduction'!$F154)*(1-'MODEL Product Introduction'!$G$92)</f>
        <v>88877.260696566082</v>
      </c>
      <c r="FR230" s="605"/>
      <c r="FS230" s="606"/>
      <c r="FT230" s="12">
        <f>'MODEL Product Introduction'!$G155*(1+'MODEL Product Introduction'!$H155)</f>
        <v>121.00000000000001</v>
      </c>
      <c r="FU230" s="12">
        <f>SUMPRODUCT('MODEL Product Introduction'!$C155:$F155,'MODEL Product Introduction'!$D$90:$G$90)</f>
        <v>13625227.300920807</v>
      </c>
      <c r="FV230" s="12">
        <f>SUMPRODUCT('MODEL Product Introduction'!$C155:$F155,'MODEL Product Introduction'!$D$91:$G$91)</f>
        <v>10573654.612064727</v>
      </c>
      <c r="FW230" s="12">
        <f>'MODEL Product Introduction'!$J155-'MODEL Product Introduction'!$K155</f>
        <v>-272785.64911803789</v>
      </c>
      <c r="FX230" s="12">
        <f>SUM('MODEL Product Introduction'!$C155:$F155)*10+'MODEL Product Introduction'!$I155*'MODEL Product Introduction'!$C155</f>
        <v>1775667.9127172972</v>
      </c>
      <c r="FY230" s="12">
        <f t="shared" si="28"/>
        <v>-2048453.5618353351</v>
      </c>
      <c r="FZ230" s="12">
        <f>'MODEL Product Introduction'!$N155+'MODEL Product Introduction'!$O154</f>
        <v>-40585897.490292266</v>
      </c>
    </row>
    <row r="231" spans="90:182" ht="13.5" thickBot="1">
      <c r="CL231" s="814">
        <f t="shared" si="27"/>
        <v>1.4999999999999999E-2</v>
      </c>
      <c r="CM231" s="814">
        <f t="shared" si="24"/>
        <v>0</v>
      </c>
      <c r="CN231" s="814">
        <f t="shared" si="26"/>
        <v>1.4999999999999999E-2</v>
      </c>
      <c r="CO231" s="814"/>
      <c r="CP231" s="814"/>
      <c r="CQ231" s="814">
        <f t="shared" si="16"/>
        <v>1.4999999999999999E-2</v>
      </c>
      <c r="CR231" s="814">
        <f t="shared" si="17"/>
        <v>0</v>
      </c>
      <c r="CS231" s="814">
        <f t="shared" si="18"/>
        <v>0</v>
      </c>
      <c r="CT231" s="814">
        <f t="shared" si="19"/>
        <v>1.4999999999999999E-2</v>
      </c>
      <c r="CU231" s="814">
        <f t="shared" si="20"/>
        <v>0</v>
      </c>
      <c r="CV231" s="814">
        <f t="shared" si="21"/>
        <v>0</v>
      </c>
      <c r="CW231" s="814">
        <f t="shared" si="22"/>
        <v>1.4999999999999999E-2</v>
      </c>
      <c r="CX231" s="814"/>
      <c r="FA231" s="763">
        <f>'MODEL Product Introduction'!D156</f>
        <v>4566.8639060633695</v>
      </c>
      <c r="FB231" s="763">
        <f>'MODEL Product Introduction'!E156</f>
        <v>5871.6821649386193</v>
      </c>
      <c r="FC231" s="763">
        <f>'MODEL Product Introduction'!F156</f>
        <v>89956.267024798843</v>
      </c>
      <c r="FF231" s="763">
        <f>'MODEL Product Introduction'!I156</f>
        <v>110.1</v>
      </c>
      <c r="FG231" s="763">
        <f>'MODEL Product Introduction'!J156</f>
        <v>9762303.2589097768</v>
      </c>
      <c r="FH231" s="763">
        <f>'MODEL Product Introduction'!K156</f>
        <v>10039481.309580082</v>
      </c>
      <c r="FI231" s="763">
        <f>'MODEL Product Introduction'!L156</f>
        <v>-277178.05067030527</v>
      </c>
      <c r="FJ231" s="763">
        <f>'MODEL Product Introduction'!M156</f>
        <v>1070281.8530312083</v>
      </c>
      <c r="FK231" s="763">
        <f>'MODEL Product Introduction'!N156</f>
        <v>-1347459.9037015135</v>
      </c>
      <c r="FL231" s="763">
        <f>'MODEL Product Introduction'!O156</f>
        <v>-41933357.39399378</v>
      </c>
      <c r="FO231" s="5">
        <f>'MODEL Product Introduction'!$C155*(1-'MODEL Product Introduction'!$E$92)</f>
        <v>4566.8639060633695</v>
      </c>
      <c r="FP231" s="5">
        <f>'MODEL Product Introduction'!$D155*(1-'MODEL Product Introduction'!$F$92)</f>
        <v>4069.4826885713196</v>
      </c>
      <c r="FQ231" s="5">
        <f>('MODEL Product Introduction'!$E155+'MODEL Product Introduction'!$F155)*(1-'MODEL Product Introduction'!$G$92)</f>
        <v>89956.267024798843</v>
      </c>
      <c r="FR231" s="605"/>
      <c r="FS231" s="606"/>
      <c r="FT231" s="12">
        <f>'MODEL Product Introduction'!$G156*(1+'MODEL Product Introduction'!$H156)</f>
        <v>121.00000000000001</v>
      </c>
      <c r="FU231" s="12">
        <f>SUMPRODUCT('MODEL Product Introduction'!$C156:$F156,'MODEL Product Introduction'!$D$90:$G$90)</f>
        <v>13788112.294907408</v>
      </c>
      <c r="FV231" s="12">
        <f>SUMPRODUCT('MODEL Product Introduction'!$C156:$F156,'MODEL Product Introduction'!$D$91:$G$91)</f>
        <v>10698414.530312084</v>
      </c>
      <c r="FW231" s="12">
        <f>'MODEL Product Introduction'!$J156-'MODEL Product Introduction'!$K156</f>
        <v>-277178.05067030527</v>
      </c>
      <c r="FX231" s="12">
        <f>SUM('MODEL Product Introduction'!$C156:$F156)*10+'MODEL Product Introduction'!$I156*'MODEL Product Introduction'!$C156</f>
        <v>1795326.9290571408</v>
      </c>
      <c r="FY231" s="12">
        <f t="shared" si="28"/>
        <v>-2072504.9797274461</v>
      </c>
      <c r="FZ231" s="12">
        <f>'MODEL Product Introduction'!$N156+'MODEL Product Introduction'!$O155</f>
        <v>-41933357.39399378</v>
      </c>
    </row>
    <row r="232" spans="90:182" ht="13.5" thickBot="1">
      <c r="CL232" s="814">
        <f t="shared" si="27"/>
        <v>1.4999999999999999E-2</v>
      </c>
      <c r="CM232" s="814">
        <f t="shared" si="24"/>
        <v>0</v>
      </c>
      <c r="CN232" s="814">
        <f t="shared" si="26"/>
        <v>1.4999999999999999E-2</v>
      </c>
      <c r="CO232" s="814"/>
      <c r="CP232" s="814"/>
      <c r="CQ232" s="814">
        <f t="shared" si="16"/>
        <v>1.4999999999999999E-2</v>
      </c>
      <c r="CR232" s="814">
        <f t="shared" si="17"/>
        <v>0</v>
      </c>
      <c r="CS232" s="814">
        <f t="shared" si="18"/>
        <v>0</v>
      </c>
      <c r="CT232" s="814">
        <f t="shared" si="19"/>
        <v>1.4999999999999999E-2</v>
      </c>
      <c r="CU232" s="814">
        <f t="shared" si="20"/>
        <v>0</v>
      </c>
      <c r="CV232" s="814">
        <f t="shared" si="21"/>
        <v>0</v>
      </c>
      <c r="CW232" s="814">
        <f t="shared" si="22"/>
        <v>1.4999999999999999E-2</v>
      </c>
      <c r="CX232" s="814"/>
      <c r="FA232" s="763">
        <f>'MODEL Product Introduction'!D157</f>
        <v>4612.5325451240042</v>
      </c>
      <c r="FB232" s="763">
        <f>'MODEL Product Introduction'!E157</f>
        <v>5930.3989865880058</v>
      </c>
      <c r="FC232" s="763">
        <f>'MODEL Product Introduction'!F157</f>
        <v>91036.55173025059</v>
      </c>
      <c r="FF232" s="763">
        <f>'MODEL Product Introduction'!I157</f>
        <v>150.1</v>
      </c>
      <c r="FG232" s="763">
        <f>'MODEL Product Introduction'!J157</f>
        <v>9876417.1772112176</v>
      </c>
      <c r="FH232" s="763">
        <f>'MODEL Product Introduction'!K157</f>
        <v>10157948.326196259</v>
      </c>
      <c r="FI232" s="763">
        <f>'MODEL Product Introduction'!L157</f>
        <v>-281531.14898504131</v>
      </c>
      <c r="FJ232" s="763">
        <f>'MODEL Product Introduction'!M157</f>
        <v>1082947.487913558</v>
      </c>
      <c r="FK232" s="763">
        <f>'MODEL Product Introduction'!N157</f>
        <v>-1364478.6368985993</v>
      </c>
      <c r="FL232" s="763">
        <f>'MODEL Product Introduction'!O157</f>
        <v>-43297836.03089238</v>
      </c>
      <c r="FO232" s="5">
        <f>'MODEL Product Introduction'!$C156*(1-'MODEL Product Introduction'!$E$92)</f>
        <v>4612.5325451240042</v>
      </c>
      <c r="FP232" s="5">
        <f>'MODEL Product Introduction'!$D156*(1-'MODEL Product Introduction'!$F$92)</f>
        <v>4110.1775154570323</v>
      </c>
      <c r="FQ232" s="5">
        <f>('MODEL Product Introduction'!$E156+'MODEL Product Introduction'!$F156)*(1-'MODEL Product Introduction'!$G$92)</f>
        <v>91036.55173025059</v>
      </c>
      <c r="FR232" s="605"/>
      <c r="FS232" s="606"/>
      <c r="FT232" s="12">
        <f>'MODEL Product Introduction'!$G157*(1+'MODEL Product Introduction'!$H157)</f>
        <v>165</v>
      </c>
      <c r="FU232" s="12">
        <f>SUMPRODUCT('MODEL Product Introduction'!$C157:$F157,'MODEL Product Introduction'!$D$90:$G$90)</f>
        <v>13951294.50278501</v>
      </c>
      <c r="FV232" s="12">
        <f>SUMPRODUCT('MODEL Product Introduction'!$C157:$F157,'MODEL Product Introduction'!$D$91:$G$91)</f>
        <v>10823470.879135581</v>
      </c>
      <c r="FW232" s="12">
        <f>'MODEL Product Introduction'!$J157-'MODEL Product Introduction'!$K157</f>
        <v>-281531.14898504131</v>
      </c>
      <c r="FX232" s="12">
        <f>SUM('MODEL Product Introduction'!$C157:$F157)*10+'MODEL Product Introduction'!$I157*'MODEL Product Introduction'!$C157</f>
        <v>2081296.4398754784</v>
      </c>
      <c r="FY232" s="12">
        <f t="shared" si="28"/>
        <v>-2362827.5888605197</v>
      </c>
      <c r="FZ232" s="12">
        <f>'MODEL Product Introduction'!$N157+'MODEL Product Introduction'!$O156</f>
        <v>-43297836.03089238</v>
      </c>
    </row>
    <row r="233" spans="90:182" ht="13.5" thickBot="1">
      <c r="CL233" s="814">
        <f t="shared" si="27"/>
        <v>1.4999999999999999E-2</v>
      </c>
      <c r="CM233" s="814">
        <f t="shared" si="24"/>
        <v>0</v>
      </c>
      <c r="CN233" s="814">
        <f t="shared" si="26"/>
        <v>1.4999999999999999E-2</v>
      </c>
      <c r="CO233" s="814"/>
      <c r="CP233" s="814"/>
      <c r="CQ233" s="814">
        <f t="shared" si="16"/>
        <v>1.4999999999999999E-2</v>
      </c>
      <c r="CR233" s="814">
        <f t="shared" si="17"/>
        <v>0</v>
      </c>
      <c r="CS233" s="814">
        <f t="shared" si="18"/>
        <v>0</v>
      </c>
      <c r="CT233" s="814">
        <f t="shared" si="19"/>
        <v>1.4999999999999999E-2</v>
      </c>
      <c r="CU233" s="814">
        <f t="shared" si="20"/>
        <v>0</v>
      </c>
      <c r="CV233" s="814">
        <f t="shared" si="21"/>
        <v>0</v>
      </c>
      <c r="CW233" s="814">
        <f t="shared" si="22"/>
        <v>1.4999999999999999E-2</v>
      </c>
      <c r="CX233" s="814"/>
      <c r="FA233" s="763">
        <f>'MODEL Product Introduction'!D158</f>
        <v>4658.6578705752436</v>
      </c>
      <c r="FB233" s="763">
        <f>'MODEL Product Introduction'!E158</f>
        <v>5989.7029764538856</v>
      </c>
      <c r="FC233" s="763">
        <f>'MODEL Product Introduction'!F158</f>
        <v>92118.603180996652</v>
      </c>
      <c r="FF233" s="763">
        <f>'MODEL Product Introduction'!I158</f>
        <v>100.1</v>
      </c>
      <c r="FG233" s="763">
        <f>'MODEL Product Introduction'!J158</f>
        <v>9990847.6904100534</v>
      </c>
      <c r="FH233" s="763">
        <f>'MODEL Product Introduction'!K158</f>
        <v>10276696.402802577</v>
      </c>
      <c r="FI233" s="763">
        <f>'MODEL Product Introduction'!L158</f>
        <v>-285848.71239252388</v>
      </c>
      <c r="FJ233" s="763">
        <f>'MODEL Product Introduction'!M158</f>
        <v>1095287.8181271292</v>
      </c>
      <c r="FK233" s="763">
        <f>'MODEL Product Introduction'!N158</f>
        <v>-1381136.5305196531</v>
      </c>
      <c r="FL233" s="763">
        <f>'MODEL Product Introduction'!O158</f>
        <v>-44678972.561412036</v>
      </c>
      <c r="FO233" s="5">
        <f>'MODEL Product Introduction'!$C157*(1-'MODEL Product Introduction'!$E$92)</f>
        <v>4658.6578705752436</v>
      </c>
      <c r="FP233" s="5">
        <f>'MODEL Product Introduction'!$D157*(1-'MODEL Product Introduction'!$F$92)</f>
        <v>4151.2792906116038</v>
      </c>
      <c r="FQ233" s="5">
        <f>('MODEL Product Introduction'!$E157+'MODEL Product Introduction'!$F157)*(1-'MODEL Product Introduction'!$G$92)</f>
        <v>92118.603180996652</v>
      </c>
      <c r="FR233" s="605"/>
      <c r="FS233" s="606"/>
      <c r="FT233" s="12">
        <f>'MODEL Product Introduction'!$G158*(1+'MODEL Product Introduction'!$H158)</f>
        <v>110.00000000000001</v>
      </c>
      <c r="FU233" s="12">
        <f>SUMPRODUCT('MODEL Product Introduction'!$C158:$F158,'MODEL Product Introduction'!$D$90:$G$90)</f>
        <v>14114843.478494957</v>
      </c>
      <c r="FV233" s="12">
        <f>SUMPRODUCT('MODEL Product Introduction'!$C158:$F158,'MODEL Product Introduction'!$D$91:$G$91)</f>
        <v>10948874.181271292</v>
      </c>
      <c r="FW233" s="12">
        <f>'MODEL Product Introduction'!$J158-'MODEL Product Introduction'!$K158</f>
        <v>-285848.71239252388</v>
      </c>
      <c r="FX233" s="12">
        <f>SUM('MODEL Product Introduction'!$C158:$F158)*10+'MODEL Product Introduction'!$I158*'MODEL Product Introduction'!$C158</f>
        <v>1767737.3743743119</v>
      </c>
      <c r="FY233" s="12">
        <f t="shared" si="28"/>
        <v>-2053586.0867668358</v>
      </c>
      <c r="FZ233" s="12">
        <f>'MODEL Product Introduction'!$N158+'MODEL Product Introduction'!$O157</f>
        <v>-44678972.561412036</v>
      </c>
    </row>
    <row r="234" spans="90:182" ht="13.5" thickBot="1">
      <c r="CL234" s="814">
        <f t="shared" si="27"/>
        <v>1.4999999999999999E-2</v>
      </c>
      <c r="CM234" s="814">
        <f t="shared" si="24"/>
        <v>0</v>
      </c>
      <c r="CN234" s="814">
        <f t="shared" si="26"/>
        <v>1.4999999999999999E-2</v>
      </c>
      <c r="CO234" s="814"/>
      <c r="CP234" s="814"/>
      <c r="CQ234" s="814">
        <f t="shared" si="16"/>
        <v>1.4999999999999999E-2</v>
      </c>
      <c r="CR234" s="814">
        <f t="shared" si="17"/>
        <v>0</v>
      </c>
      <c r="CS234" s="814">
        <f t="shared" si="18"/>
        <v>0</v>
      </c>
      <c r="CT234" s="814">
        <f t="shared" si="19"/>
        <v>1.4999999999999999E-2</v>
      </c>
      <c r="CU234" s="814">
        <f t="shared" si="20"/>
        <v>0</v>
      </c>
      <c r="CV234" s="814">
        <f t="shared" si="21"/>
        <v>0</v>
      </c>
      <c r="CW234" s="814">
        <f t="shared" si="22"/>
        <v>1.4999999999999999E-2</v>
      </c>
      <c r="CX234" s="814"/>
      <c r="FA234" s="763">
        <f>'MODEL Product Introduction'!D159</f>
        <v>4705.2444492809964</v>
      </c>
      <c r="FB234" s="763">
        <f>'MODEL Product Introduction'!E159</f>
        <v>6049.6000062184239</v>
      </c>
      <c r="FC234" s="763">
        <f>'MODEL Product Introduction'!F159</f>
        <v>93202.890849578005</v>
      </c>
      <c r="FF234" s="763">
        <f>'MODEL Product Introduction'!I159</f>
        <v>100.1</v>
      </c>
      <c r="FG234" s="763">
        <f>'MODEL Product Introduction'!J159</f>
        <v>10105639.191669544</v>
      </c>
      <c r="FH234" s="763">
        <f>'MODEL Product Introduction'!K159</f>
        <v>10395773.530507743</v>
      </c>
      <c r="FI234" s="763">
        <f>'MODEL Product Introduction'!L159</f>
        <v>-290134.33883819915</v>
      </c>
      <c r="FJ234" s="763">
        <f>'MODEL Product Introduction'!M159</f>
        <v>1107867.7086761142</v>
      </c>
      <c r="FK234" s="763">
        <f>'MODEL Product Introduction'!N159</f>
        <v>-1398002.0475143134</v>
      </c>
      <c r="FL234" s="763">
        <f>'MODEL Product Introduction'!O159</f>
        <v>-46076974.608926348</v>
      </c>
      <c r="FO234" s="5">
        <f>'MODEL Product Introduction'!$C158*(1-'MODEL Product Introduction'!$E$92)</f>
        <v>4705.2444492809964</v>
      </c>
      <c r="FP234" s="5">
        <f>'MODEL Product Introduction'!$D158*(1-'MODEL Product Introduction'!$F$92)</f>
        <v>4192.7920835177192</v>
      </c>
      <c r="FQ234" s="5">
        <f>('MODEL Product Introduction'!$E158+'MODEL Product Introduction'!$F158)*(1-'MODEL Product Introduction'!$G$92)</f>
        <v>93202.890849578005</v>
      </c>
      <c r="FR234" s="605"/>
      <c r="FS234" s="606"/>
      <c r="FT234" s="12">
        <f>'MODEL Product Introduction'!$G159*(1+'MODEL Product Introduction'!$H159)</f>
        <v>110.00000000000001</v>
      </c>
      <c r="FU234" s="12">
        <f>SUMPRODUCT('MODEL Product Introduction'!$C159:$F159,'MODEL Product Introduction'!$D$90:$G$90)</f>
        <v>14278826.142427903</v>
      </c>
      <c r="FV234" s="12">
        <f>SUMPRODUCT('MODEL Product Introduction'!$C159:$F159,'MODEL Product Introduction'!$D$91:$G$91)</f>
        <v>11074673.086761143</v>
      </c>
      <c r="FW234" s="12">
        <f>'MODEL Product Introduction'!$J159-'MODEL Product Introduction'!$K159</f>
        <v>-290134.33883819915</v>
      </c>
      <c r="FX234" s="12">
        <f>SUM('MODEL Product Introduction'!$C159:$F159)*10+'MODEL Product Introduction'!$I159*'MODEL Product Introduction'!$C159</f>
        <v>1787045.7644857685</v>
      </c>
      <c r="FY234" s="12">
        <f t="shared" si="28"/>
        <v>-2077180.1033239677</v>
      </c>
      <c r="FZ234" s="12">
        <f>'MODEL Product Introduction'!$N159+'MODEL Product Introduction'!$O158</f>
        <v>-46076974.608926348</v>
      </c>
    </row>
    <row r="235" spans="90:182" ht="13.5" thickBot="1">
      <c r="CL235" s="814">
        <f t="shared" si="27"/>
        <v>1.4999999999999999E-2</v>
      </c>
      <c r="CM235" s="814">
        <f t="shared" si="24"/>
        <v>0</v>
      </c>
      <c r="CN235" s="814">
        <f t="shared" si="26"/>
        <v>1.4999999999999999E-2</v>
      </c>
      <c r="CO235" s="814"/>
      <c r="CP235" s="814"/>
      <c r="CQ235" s="814">
        <f t="shared" si="16"/>
        <v>1.4999999999999999E-2</v>
      </c>
      <c r="CR235" s="814">
        <f t="shared" si="17"/>
        <v>0</v>
      </c>
      <c r="CS235" s="814">
        <f t="shared" si="18"/>
        <v>0</v>
      </c>
      <c r="CT235" s="814">
        <f t="shared" si="19"/>
        <v>1.4999999999999999E-2</v>
      </c>
      <c r="CU235" s="814">
        <f t="shared" si="20"/>
        <v>0</v>
      </c>
      <c r="CV235" s="814">
        <f t="shared" si="21"/>
        <v>0</v>
      </c>
      <c r="CW235" s="814">
        <f t="shared" si="22"/>
        <v>1.4999999999999999E-2</v>
      </c>
      <c r="CX235" s="814"/>
      <c r="FA235" s="763">
        <f>'MODEL Product Introduction'!D160</f>
        <v>4752.296893773806</v>
      </c>
      <c r="FB235" s="763">
        <f>'MODEL Product Introduction'!E160</f>
        <v>6110.096006280608</v>
      </c>
      <c r="FC235" s="763">
        <f>'MODEL Product Introduction'!F160</f>
        <v>94289.866313006598</v>
      </c>
      <c r="FF235" s="763">
        <f>'MODEL Product Introduction'!I160</f>
        <v>100.1</v>
      </c>
      <c r="FG235" s="763">
        <f>'MODEL Product Introduction'!J160</f>
        <v>10220834.456723858</v>
      </c>
      <c r="FH235" s="763">
        <f>'MODEL Product Introduction'!K160</f>
        <v>10515225.921306102</v>
      </c>
      <c r="FI235" s="763">
        <f>'MODEL Product Introduction'!L160</f>
        <v>-294391.46458224393</v>
      </c>
      <c r="FJ235" s="763">
        <f>'MODEL Product Introduction'!M160</f>
        <v>1120491.8473122034</v>
      </c>
      <c r="FK235" s="763">
        <f>'MODEL Product Introduction'!N160</f>
        <v>-1414883.3118944473</v>
      </c>
      <c r="FL235" s="763">
        <f>'MODEL Product Introduction'!O160</f>
        <v>-47491857.920820795</v>
      </c>
      <c r="FO235" s="5">
        <f>'MODEL Product Introduction'!$C159*(1-'MODEL Product Introduction'!$E$92)</f>
        <v>4752.296893773806</v>
      </c>
      <c r="FP235" s="5">
        <f>'MODEL Product Introduction'!$D159*(1-'MODEL Product Introduction'!$F$92)</f>
        <v>4234.7200043528965</v>
      </c>
      <c r="FQ235" s="5">
        <f>('MODEL Product Introduction'!$E159+'MODEL Product Introduction'!$F159)*(1-'MODEL Product Introduction'!$G$92)</f>
        <v>94289.866313006598</v>
      </c>
      <c r="FR235" s="605"/>
      <c r="FS235" s="606"/>
      <c r="FT235" s="12">
        <f>'MODEL Product Introduction'!$G160*(1+'MODEL Product Introduction'!$H160)</f>
        <v>110.00000000000001</v>
      </c>
      <c r="FU235" s="12">
        <f>SUMPRODUCT('MODEL Product Introduction'!$C160:$F160,'MODEL Product Introduction'!$D$90:$G$90)</f>
        <v>14443306.921542773</v>
      </c>
      <c r="FV235" s="12">
        <f>SUMPRODUCT('MODEL Product Introduction'!$C160:$F160,'MODEL Product Introduction'!$D$91:$G$91)</f>
        <v>11200914.473122036</v>
      </c>
      <c r="FW235" s="12">
        <f>'MODEL Product Introduction'!$J160-'MODEL Product Introduction'!$K160</f>
        <v>-294391.46458224393</v>
      </c>
      <c r="FX235" s="12">
        <f>SUM('MODEL Product Introduction'!$C160:$F160)*10+'MODEL Product Introduction'!$I160*'MODEL Product Introduction'!$C160</f>
        <v>1806465.6876799543</v>
      </c>
      <c r="FY235" s="12">
        <f t="shared" si="28"/>
        <v>-2100857.1522621983</v>
      </c>
      <c r="FZ235" s="12">
        <f>'MODEL Product Introduction'!$N160+'MODEL Product Introduction'!$O159</f>
        <v>-47491857.920820795</v>
      </c>
    </row>
    <row r="236" spans="90:182" ht="13.5" thickBot="1">
      <c r="CL236" s="814">
        <f t="shared" si="27"/>
        <v>1.4999999999999999E-2</v>
      </c>
      <c r="CM236" s="814">
        <f t="shared" si="24"/>
        <v>0</v>
      </c>
      <c r="CN236" s="814">
        <f t="shared" si="26"/>
        <v>1.4999999999999999E-2</v>
      </c>
      <c r="CO236" s="814"/>
      <c r="CP236" s="814"/>
      <c r="CQ236" s="814">
        <f t="shared" si="16"/>
        <v>1.4999999999999999E-2</v>
      </c>
      <c r="CR236" s="814">
        <f t="shared" si="17"/>
        <v>0</v>
      </c>
      <c r="CS236" s="814">
        <f t="shared" si="18"/>
        <v>0</v>
      </c>
      <c r="CT236" s="814">
        <f t="shared" si="19"/>
        <v>1.4999999999999999E-2</v>
      </c>
      <c r="CU236" s="814">
        <f t="shared" si="20"/>
        <v>0</v>
      </c>
      <c r="CV236" s="814">
        <f t="shared" si="21"/>
        <v>0</v>
      </c>
      <c r="CW236" s="814">
        <f t="shared" si="22"/>
        <v>1.4999999999999999E-2</v>
      </c>
      <c r="CX236" s="814"/>
      <c r="FA236" s="763">
        <f>'MODEL Product Introduction'!D161</f>
        <v>4799.8198627115444</v>
      </c>
      <c r="FB236" s="763">
        <f>'MODEL Product Introduction'!E161</f>
        <v>6171.1969663434138</v>
      </c>
      <c r="FC236" s="763">
        <f>'MODEL Product Introduction'!F161</f>
        <v>95379.964203322845</v>
      </c>
      <c r="FF236" s="763">
        <f>'MODEL Product Introduction'!I161</f>
        <v>100.1</v>
      </c>
      <c r="FG236" s="763">
        <f>'MODEL Product Introduction'!J161</f>
        <v>10336474.730771836</v>
      </c>
      <c r="FH236" s="763">
        <f>'MODEL Product Introduction'!K161</f>
        <v>10635098.103237782</v>
      </c>
      <c r="FI236" s="763">
        <f>'MODEL Product Introduction'!L161</f>
        <v>-298623.37246594578</v>
      </c>
      <c r="FJ236" s="763">
        <f>'MODEL Product Introduction'!M161</f>
        <v>1133164.7540571874</v>
      </c>
      <c r="FK236" s="763">
        <f>'MODEL Product Introduction'!N161</f>
        <v>-1431788.1265231331</v>
      </c>
      <c r="FL236" s="763">
        <f>'MODEL Product Introduction'!O161</f>
        <v>-48923646.047343925</v>
      </c>
      <c r="FO236" s="5">
        <f>'MODEL Product Introduction'!$C160*(1-'MODEL Product Introduction'!$E$92)</f>
        <v>4799.8198627115444</v>
      </c>
      <c r="FP236" s="5">
        <f>'MODEL Product Introduction'!$D160*(1-'MODEL Product Introduction'!$F$92)</f>
        <v>4277.067204396426</v>
      </c>
      <c r="FQ236" s="5">
        <f>('MODEL Product Introduction'!$E160+'MODEL Product Introduction'!$F160)*(1-'MODEL Product Introduction'!$G$92)</f>
        <v>95379.964203322845</v>
      </c>
      <c r="FR236" s="605"/>
      <c r="FS236" s="606"/>
      <c r="FT236" s="12">
        <f>'MODEL Product Introduction'!$G161*(1+'MODEL Product Introduction'!$H161)</f>
        <v>110.00000000000001</v>
      </c>
      <c r="FU236" s="12">
        <f>SUMPRODUCT('MODEL Product Introduction'!$C161:$F161,'MODEL Product Introduction'!$D$90:$G$90)</f>
        <v>14608347.882564265</v>
      </c>
      <c r="FV236" s="12">
        <f>SUMPRODUCT('MODEL Product Introduction'!$C161:$F161,'MODEL Product Introduction'!$D$91:$G$91)</f>
        <v>11327643.540571876</v>
      </c>
      <c r="FW236" s="12">
        <f>'MODEL Product Introduction'!$J161-'MODEL Product Introduction'!$K161</f>
        <v>-298623.37246594578</v>
      </c>
      <c r="FX236" s="12">
        <f>SUM('MODEL Product Introduction'!$C161:$F161)*10+'MODEL Product Introduction'!$I161*'MODEL Product Introduction'!$C161</f>
        <v>1826002.3368286157</v>
      </c>
      <c r="FY236" s="12">
        <f t="shared" si="28"/>
        <v>-2124625.7092945613</v>
      </c>
      <c r="FZ236" s="12">
        <f>'MODEL Product Introduction'!$N161+'MODEL Product Introduction'!$O160</f>
        <v>-48923646.047343925</v>
      </c>
    </row>
    <row r="237" spans="90:182" ht="13.5" thickBot="1">
      <c r="CL237" s="814">
        <f t="shared" si="27"/>
        <v>1.4999999999999999E-2</v>
      </c>
      <c r="CM237" s="814">
        <f t="shared" si="24"/>
        <v>0</v>
      </c>
      <c r="CN237" s="814">
        <f t="shared" si="26"/>
        <v>1.4999999999999999E-2</v>
      </c>
      <c r="CO237" s="814"/>
      <c r="CP237" s="814"/>
      <c r="CQ237" s="814">
        <f t="shared" si="16"/>
        <v>1.4999999999999999E-2</v>
      </c>
      <c r="CR237" s="814">
        <f t="shared" si="17"/>
        <v>0</v>
      </c>
      <c r="CS237" s="814">
        <f t="shared" si="18"/>
        <v>0</v>
      </c>
      <c r="CT237" s="814">
        <f t="shared" si="19"/>
        <v>1.4999999999999999E-2</v>
      </c>
      <c r="CU237" s="814">
        <f t="shared" si="20"/>
        <v>0</v>
      </c>
      <c r="CV237" s="814">
        <f t="shared" si="21"/>
        <v>0</v>
      </c>
      <c r="CW237" s="814">
        <f t="shared" si="22"/>
        <v>1.4999999999999999E-2</v>
      </c>
      <c r="CX237" s="814"/>
      <c r="FA237" s="763">
        <f>'MODEL Product Introduction'!D162</f>
        <v>4847.8180613386594</v>
      </c>
      <c r="FB237" s="763">
        <f>'MODEL Product Introduction'!E162</f>
        <v>6232.9089360068483</v>
      </c>
      <c r="FC237" s="763">
        <f>'MODEL Product Introduction'!F162</f>
        <v>96473.603111182936</v>
      </c>
      <c r="FF237" s="763">
        <f>'MODEL Product Introduction'!I162</f>
        <v>100.1</v>
      </c>
      <c r="FG237" s="763">
        <f>'MODEL Product Introduction'!J162</f>
        <v>10452599.811086254</v>
      </c>
      <c r="FH237" s="763">
        <f>'MODEL Product Introduction'!K162</f>
        <v>10755433.010852845</v>
      </c>
      <c r="FI237" s="763">
        <f>'MODEL Product Introduction'!L162</f>
        <v>-302833.19976659119</v>
      </c>
      <c r="FJ237" s="763">
        <f>'MODEL Product Introduction'!M162</f>
        <v>1145890.7902560281</v>
      </c>
      <c r="FK237" s="763">
        <f>'MODEL Product Introduction'!N162</f>
        <v>-1448723.9900226193</v>
      </c>
      <c r="FL237" s="763">
        <f>'MODEL Product Introduction'!O162</f>
        <v>-50372370.037366547</v>
      </c>
      <c r="FO237" s="5">
        <f>'MODEL Product Introduction'!$C161*(1-'MODEL Product Introduction'!$E$92)</f>
        <v>4847.8180613386594</v>
      </c>
      <c r="FP237" s="5">
        <f>'MODEL Product Introduction'!$D161*(1-'MODEL Product Introduction'!$F$92)</f>
        <v>4319.8378764403897</v>
      </c>
      <c r="FQ237" s="5">
        <f>('MODEL Product Introduction'!$E161+'MODEL Product Introduction'!$F161)*(1-'MODEL Product Introduction'!$G$92)</f>
        <v>96473.603111182936</v>
      </c>
      <c r="FR237" s="605"/>
      <c r="FS237" s="606"/>
      <c r="FT237" s="12">
        <f>'MODEL Product Introduction'!$G162*(1+'MODEL Product Introduction'!$H162)</f>
        <v>110.00000000000001</v>
      </c>
      <c r="FU237" s="12">
        <f>SUMPRODUCT('MODEL Product Introduction'!$C162:$F162,'MODEL Product Introduction'!$D$90:$G$90)</f>
        <v>14774008.858605672</v>
      </c>
      <c r="FV237" s="12">
        <f>SUMPRODUCT('MODEL Product Introduction'!$C162:$F162,'MODEL Product Introduction'!$D$91:$G$91)</f>
        <v>11454903.902560279</v>
      </c>
      <c r="FW237" s="12">
        <f>'MODEL Product Introduction'!$J162-'MODEL Product Introduction'!$K162</f>
        <v>-302833.19976659119</v>
      </c>
      <c r="FX237" s="12">
        <f>SUM('MODEL Product Introduction'!$C162:$F162)*10+'MODEL Product Introduction'!$I162*'MODEL Product Introduction'!$C162</f>
        <v>1845660.7528551708</v>
      </c>
      <c r="FY237" s="12">
        <f t="shared" si="28"/>
        <v>-2148493.9526217617</v>
      </c>
      <c r="FZ237" s="12">
        <f>'MODEL Product Introduction'!$N162+'MODEL Product Introduction'!$O161</f>
        <v>-50372370.037366547</v>
      </c>
    </row>
    <row r="238" spans="90:182" ht="13.5" thickBot="1">
      <c r="CL238" s="814">
        <f t="shared" ref="CL238:CL269" si="29">IFERROR(IF(OR(ABS(FA238-FO238)&lt;100,CC238&lt;&gt;0),0.015,0),0)</f>
        <v>1.4999999999999999E-2</v>
      </c>
      <c r="CM238" s="814">
        <f t="shared" si="24"/>
        <v>0</v>
      </c>
      <c r="CN238" s="814">
        <f t="shared" si="26"/>
        <v>1.4999999999999999E-2</v>
      </c>
      <c r="CO238" s="814"/>
      <c r="CP238" s="814"/>
      <c r="CQ238" s="814">
        <f t="shared" ref="CQ238:CQ292" si="30">IFERROR(IF(AND(ABS(FF238-FT238)&lt;100,FF238&lt;&gt;0),0.015,0),0)</f>
        <v>1.4999999999999999E-2</v>
      </c>
      <c r="CR238" s="814">
        <f t="shared" ref="CR238:CR292" si="31">IFERROR(IF(AND(ABS(FG238-FU238)&lt;100,FG238&lt;&gt;0),0.015,0),0)</f>
        <v>0</v>
      </c>
      <c r="CS238" s="814">
        <f t="shared" ref="CS238:CS292" si="32">IFERROR(IF(AND(ABS(FH238-FV238)&lt;100,FH238&lt;&gt;0),0.015,0),0)</f>
        <v>0</v>
      </c>
      <c r="CT238" s="814">
        <f t="shared" ref="CT238:CT292" si="33">IFERROR(IF(AND(ABS(FI238-FW238)&lt;100,FI238&lt;&gt;0),0.015,0),0)</f>
        <v>1.4999999999999999E-2</v>
      </c>
      <c r="CU238" s="814">
        <f t="shared" ref="CU238:CU292" si="34">IFERROR(IF(AND(ABS(FJ238-FX238)&lt;100,FJ238&lt;&gt;0),0.015,0),0)</f>
        <v>0</v>
      </c>
      <c r="CV238" s="814">
        <f t="shared" ref="CV238:CV292" si="35">IFERROR(IF(AND(ABS(FK238-FY238)&lt;100,FK238&lt;&gt;0),0.015,0),0)</f>
        <v>0</v>
      </c>
      <c r="CW238" s="814">
        <f t="shared" ref="CW238:CW292" si="36">IFERROR(IF(AND(ABS(FL238-FZ238)&lt;100,FL238&lt;&gt;0),0.015,0),0)</f>
        <v>1.4999999999999999E-2</v>
      </c>
      <c r="CX238" s="814"/>
      <c r="FA238" s="763">
        <f>'MODEL Product Introduction'!D163</f>
        <v>4896.2962419520463</v>
      </c>
      <c r="FB238" s="763">
        <f>'MODEL Product Introduction'!E163</f>
        <v>6295.2380253669171</v>
      </c>
      <c r="FC238" s="763">
        <f>'MODEL Product Introduction'!F163</f>
        <v>97571.186444830295</v>
      </c>
      <c r="FF238" s="763">
        <f>'MODEL Product Introduction'!I163</f>
        <v>100.1</v>
      </c>
      <c r="FG238" s="763">
        <f>'MODEL Product Introduction'!J163</f>
        <v>10569248.125553485</v>
      </c>
      <c r="FH238" s="763">
        <f>'MODEL Product Introduction'!K163</f>
        <v>10876272.071214925</v>
      </c>
      <c r="FI238" s="763">
        <f>'MODEL Product Introduction'!L163</f>
        <v>-307023.94566144049</v>
      </c>
      <c r="FJ238" s="763">
        <f>'MODEL Product Introduction'!M163</f>
        <v>1158674.1671839436</v>
      </c>
      <c r="FK238" s="763">
        <f>'MODEL Product Introduction'!N163</f>
        <v>-1465698.1128453841</v>
      </c>
      <c r="FL238" s="763">
        <f>'MODEL Product Introduction'!O163</f>
        <v>-51838068.15021193</v>
      </c>
      <c r="FO238" s="5">
        <f>'MODEL Product Introduction'!$C162*(1-'MODEL Product Introduction'!$E$92)</f>
        <v>4896.2962419520463</v>
      </c>
      <c r="FP238" s="5">
        <f>'MODEL Product Introduction'!$D162*(1-'MODEL Product Introduction'!$F$92)</f>
        <v>4363.0362552047936</v>
      </c>
      <c r="FQ238" s="5">
        <f>('MODEL Product Introduction'!$E162+'MODEL Product Introduction'!$F162)*(1-'MODEL Product Introduction'!$G$92)</f>
        <v>97571.186444830295</v>
      </c>
      <c r="FR238" s="605"/>
      <c r="FS238" s="606"/>
      <c r="FT238" s="12">
        <f>'MODEL Product Introduction'!$G163*(1+'MODEL Product Introduction'!$H163)</f>
        <v>110.00000000000001</v>
      </c>
      <c r="FU238" s="12">
        <f>SUMPRODUCT('MODEL Product Introduction'!$C163:$F163,'MODEL Product Introduction'!$D$90:$G$90)</f>
        <v>14940347.569546701</v>
      </c>
      <c r="FV238" s="12">
        <f>SUMPRODUCT('MODEL Product Introduction'!$C163:$F163,'MODEL Product Introduction'!$D$91:$G$91)</f>
        <v>11582737.671839435</v>
      </c>
      <c r="FW238" s="12">
        <f>'MODEL Product Introduction'!$J163-'MODEL Product Introduction'!$K163</f>
        <v>-307023.94566144049</v>
      </c>
      <c r="FX238" s="12">
        <f>SUM('MODEL Product Introduction'!$C163:$F163)*10+'MODEL Product Introduction'!$I163*'MODEL Product Introduction'!$C163</f>
        <v>1865445.8334090775</v>
      </c>
      <c r="FY238" s="12">
        <f t="shared" ref="FY238:FY269" si="37">FW238-FX238</f>
        <v>-2172469.779070518</v>
      </c>
      <c r="FZ238" s="12">
        <f>'MODEL Product Introduction'!$N163+'MODEL Product Introduction'!$O162</f>
        <v>-51838068.15021193</v>
      </c>
    </row>
    <row r="239" spans="90:182" ht="13.5" thickBot="1">
      <c r="CL239" s="814">
        <f t="shared" si="29"/>
        <v>1.4999999999999999E-2</v>
      </c>
      <c r="CM239" s="814">
        <f t="shared" si="24"/>
        <v>0</v>
      </c>
      <c r="CN239" s="814">
        <f t="shared" si="26"/>
        <v>1.4999999999999999E-2</v>
      </c>
      <c r="CO239" s="814"/>
      <c r="CP239" s="814"/>
      <c r="CQ239" s="814">
        <f t="shared" si="30"/>
        <v>1.4999999999999999E-2</v>
      </c>
      <c r="CR239" s="814">
        <f t="shared" si="31"/>
        <v>0</v>
      </c>
      <c r="CS239" s="814">
        <f t="shared" si="32"/>
        <v>0</v>
      </c>
      <c r="CT239" s="814">
        <f t="shared" si="33"/>
        <v>1.4999999999999999E-2</v>
      </c>
      <c r="CU239" s="814">
        <f t="shared" si="34"/>
        <v>0</v>
      </c>
      <c r="CV239" s="814">
        <f t="shared" si="35"/>
        <v>0</v>
      </c>
      <c r="CW239" s="814">
        <f t="shared" si="36"/>
        <v>1.4999999999999999E-2</v>
      </c>
      <c r="CX239" s="814"/>
      <c r="FA239" s="763">
        <f>'MODEL Product Introduction'!D164</f>
        <v>4945.2592043715667</v>
      </c>
      <c r="FB239" s="763">
        <f>'MODEL Product Introduction'!E164</f>
        <v>6358.1904056205858</v>
      </c>
      <c r="FC239" s="763">
        <f>'MODEL Product Introduction'!F164</f>
        <v>98673.103246687344</v>
      </c>
      <c r="FF239" s="763">
        <f>'MODEL Product Introduction'!I164</f>
        <v>100.1</v>
      </c>
      <c r="FG239" s="763">
        <f>'MODEL Product Introduction'!J164</f>
        <v>10686456.807347568</v>
      </c>
      <c r="FH239" s="763">
        <f>'MODEL Product Introduction'!K164</f>
        <v>10997655.28566795</v>
      </c>
      <c r="FI239" s="763">
        <f>'MODEL Product Introduction'!L164</f>
        <v>-311198.47832038254</v>
      </c>
      <c r="FJ239" s="763">
        <f>'MODEL Product Introduction'!M164</f>
        <v>1171518.9542298703</v>
      </c>
      <c r="FK239" s="763">
        <f>'MODEL Product Introduction'!N164</f>
        <v>-1482717.4325502529</v>
      </c>
      <c r="FL239" s="763">
        <f>'MODEL Product Introduction'!O164</f>
        <v>-53320785.582762182</v>
      </c>
      <c r="FO239" s="5">
        <f>'MODEL Product Introduction'!$C163*(1-'MODEL Product Introduction'!$E$92)</f>
        <v>4945.2592043715667</v>
      </c>
      <c r="FP239" s="5">
        <f>'MODEL Product Introduction'!$D163*(1-'MODEL Product Introduction'!$F$92)</f>
        <v>4406.6666177568422</v>
      </c>
      <c r="FQ239" s="5">
        <f>('MODEL Product Introduction'!$E163+'MODEL Product Introduction'!$F163)*(1-'MODEL Product Introduction'!$G$92)</f>
        <v>98673.103246687344</v>
      </c>
      <c r="FR239" s="605"/>
      <c r="FS239" s="606"/>
      <c r="FT239" s="12">
        <f>'MODEL Product Introduction'!$G164*(1+'MODEL Product Introduction'!$H164)</f>
        <v>110.00000000000001</v>
      </c>
      <c r="FU239" s="12">
        <f>SUMPRODUCT('MODEL Product Introduction'!$C164:$F164,'MODEL Product Introduction'!$D$90:$G$90)</f>
        <v>15107419.736479392</v>
      </c>
      <c r="FV239" s="12">
        <f>SUMPRODUCT('MODEL Product Introduction'!$C164:$F164,'MODEL Product Introduction'!$D$91:$G$91)</f>
        <v>11711185.542298704</v>
      </c>
      <c r="FW239" s="12">
        <f>'MODEL Product Introduction'!$J164-'MODEL Product Introduction'!$K164</f>
        <v>-311198.47832038254</v>
      </c>
      <c r="FX239" s="12">
        <f>SUM('MODEL Product Introduction'!$C164:$F164)*10+'MODEL Product Introduction'!$I164*'MODEL Product Introduction'!$C164</f>
        <v>1885362.3411172559</v>
      </c>
      <c r="FY239" s="12">
        <f t="shared" si="37"/>
        <v>-2196560.8194376384</v>
      </c>
      <c r="FZ239" s="12">
        <f>'MODEL Product Introduction'!$N164+'MODEL Product Introduction'!$O163</f>
        <v>-53320785.582762182</v>
      </c>
    </row>
    <row r="240" spans="90:182" ht="13.5" thickBot="1">
      <c r="CL240" s="814">
        <f t="shared" si="29"/>
        <v>1.4999999999999999E-2</v>
      </c>
      <c r="CM240" s="814">
        <f t="shared" ref="CM240:CM292" si="38">IFERROR(IF(AND(ABS(FB240-FP240)&lt;100,FP240&lt;&gt;0),0.015,0),0)</f>
        <v>0</v>
      </c>
      <c r="CN240" s="814">
        <f t="shared" si="26"/>
        <v>1.4999999999999999E-2</v>
      </c>
      <c r="CO240" s="814"/>
      <c r="CP240" s="814"/>
      <c r="CQ240" s="814">
        <f t="shared" si="30"/>
        <v>1.4999999999999999E-2</v>
      </c>
      <c r="CR240" s="814">
        <f t="shared" si="31"/>
        <v>0</v>
      </c>
      <c r="CS240" s="814">
        <f t="shared" si="32"/>
        <v>0</v>
      </c>
      <c r="CT240" s="814">
        <f t="shared" si="33"/>
        <v>1.4999999999999999E-2</v>
      </c>
      <c r="CU240" s="814">
        <f t="shared" si="34"/>
        <v>0</v>
      </c>
      <c r="CV240" s="814">
        <f t="shared" si="35"/>
        <v>0</v>
      </c>
      <c r="CW240" s="814">
        <f t="shared" si="36"/>
        <v>1.4999999999999999E-2</v>
      </c>
      <c r="CX240" s="814"/>
      <c r="FA240" s="763">
        <f>'MODEL Product Introduction'!D165</f>
        <v>4994.7117964152822</v>
      </c>
      <c r="FB240" s="763">
        <f>'MODEL Product Introduction'!E165</f>
        <v>6421.7723096767913</v>
      </c>
      <c r="FC240" s="763">
        <f>'MODEL Product Introduction'!F165</f>
        <v>99779.728969692529</v>
      </c>
      <c r="FF240" s="763">
        <f>'MODEL Product Introduction'!I165</f>
        <v>100.1</v>
      </c>
      <c r="FG240" s="763">
        <f>'MODEL Product Introduction'!J165</f>
        <v>10804261.765932664</v>
      </c>
      <c r="FH240" s="763">
        <f>'MODEL Product Introduction'!K165</f>
        <v>11119621.307578459</v>
      </c>
      <c r="FI240" s="763">
        <f>'MODEL Product Introduction'!L165</f>
        <v>-315359.54164579511</v>
      </c>
      <c r="FJ240" s="763">
        <f>'MODEL Product Introduction'!M165</f>
        <v>1184429.0866775522</v>
      </c>
      <c r="FK240" s="763">
        <f>'MODEL Product Introduction'!N165</f>
        <v>-1499788.6283233473</v>
      </c>
      <c r="FL240" s="763">
        <f>'MODEL Product Introduction'!O165</f>
        <v>-54820574.211085528</v>
      </c>
      <c r="FO240" s="5">
        <f>'MODEL Product Introduction'!$C164*(1-'MODEL Product Introduction'!$E$92)</f>
        <v>4994.7117964152822</v>
      </c>
      <c r="FP240" s="5">
        <f>'MODEL Product Introduction'!$D164*(1-'MODEL Product Introduction'!$F$92)</f>
        <v>4450.7332839344099</v>
      </c>
      <c r="FQ240" s="5">
        <f>('MODEL Product Introduction'!$E164+'MODEL Product Introduction'!$F164)*(1-'MODEL Product Introduction'!$G$92)</f>
        <v>99779.728969692529</v>
      </c>
      <c r="FR240" s="605"/>
      <c r="FS240" s="606"/>
      <c r="FT240" s="12">
        <f>'MODEL Product Introduction'!$G165*(1+'MODEL Product Introduction'!$H165)</f>
        <v>110.00000000000001</v>
      </c>
      <c r="FU240" s="12">
        <f>SUMPRODUCT('MODEL Product Introduction'!$C165:$F165,'MODEL Product Introduction'!$D$90:$G$90)</f>
        <v>15275279.190519551</v>
      </c>
      <c r="FV240" s="12">
        <f>SUMPRODUCT('MODEL Product Introduction'!$C165:$F165,'MODEL Product Introduction'!$D$91:$G$91)</f>
        <v>11840286.866775524</v>
      </c>
      <c r="FW240" s="12">
        <f>'MODEL Product Introduction'!$J165-'MODEL Product Introduction'!$K165</f>
        <v>-315359.54164579511</v>
      </c>
      <c r="FX240" s="12">
        <f>SUM('MODEL Product Introduction'!$C165:$F165)*10+'MODEL Product Introduction'!$I165*'MODEL Product Introduction'!$C165</f>
        <v>1905414.9114338113</v>
      </c>
      <c r="FY240" s="12">
        <f t="shared" si="37"/>
        <v>-2220774.4530796064</v>
      </c>
      <c r="FZ240" s="12">
        <f>'MODEL Product Introduction'!$N165+'MODEL Product Introduction'!$O164</f>
        <v>-54820574.211085528</v>
      </c>
    </row>
    <row r="241" spans="90:182" ht="13.5" thickBot="1">
      <c r="CL241" s="814">
        <f t="shared" si="29"/>
        <v>1.4999999999999999E-2</v>
      </c>
      <c r="CM241" s="814">
        <f t="shared" si="38"/>
        <v>0</v>
      </c>
      <c r="CN241" s="814">
        <f t="shared" ref="CN241:CN292" si="39">IFERROR(IF(AND(ABS(FC241-FQ241)&lt;100,FC241&lt;&gt;0),0.015,0),0)</f>
        <v>1.4999999999999999E-2</v>
      </c>
      <c r="CO241" s="814"/>
      <c r="CP241" s="814"/>
      <c r="CQ241" s="814">
        <f t="shared" si="30"/>
        <v>1.4999999999999999E-2</v>
      </c>
      <c r="CR241" s="814">
        <f t="shared" si="31"/>
        <v>0</v>
      </c>
      <c r="CS241" s="814">
        <f t="shared" si="32"/>
        <v>0</v>
      </c>
      <c r="CT241" s="814">
        <f t="shared" si="33"/>
        <v>1.4999999999999999E-2</v>
      </c>
      <c r="CU241" s="814">
        <f t="shared" si="34"/>
        <v>0</v>
      </c>
      <c r="CV241" s="814">
        <f t="shared" si="35"/>
        <v>0</v>
      </c>
      <c r="CW241" s="814">
        <f t="shared" si="36"/>
        <v>1.4999999999999999E-2</v>
      </c>
      <c r="CX241" s="814"/>
      <c r="FA241" s="763">
        <f>'MODEL Product Introduction'!D166</f>
        <v>5044.6589143794345</v>
      </c>
      <c r="FB241" s="763">
        <f>'MODEL Product Introduction'!E166</f>
        <v>6485.9900327735595</v>
      </c>
      <c r="FC241" s="763">
        <f>'MODEL Product Introduction'!F166</f>
        <v>100891.42621540085</v>
      </c>
      <c r="FF241" s="763">
        <f>'MODEL Product Introduction'!I166</f>
        <v>100.1</v>
      </c>
      <c r="FG241" s="763">
        <f>'MODEL Product Introduction'!J166</f>
        <v>10922697.75457803</v>
      </c>
      <c r="FH241" s="763">
        <f>'MODEL Product Introduction'!K166</f>
        <v>11242207.516255384</v>
      </c>
      <c r="FI241" s="763">
        <f>'MODEL Product Introduction'!L166</f>
        <v>-319509.76167735457</v>
      </c>
      <c r="FJ241" s="763">
        <f>'MODEL Product Introduction'!M166</f>
        <v>1197408.3731044417</v>
      </c>
      <c r="FK241" s="763">
        <f>'MODEL Product Introduction'!N166</f>
        <v>-1516918.1347817963</v>
      </c>
      <c r="FL241" s="763">
        <f>'MODEL Product Introduction'!O166</f>
        <v>-56337492.345867321</v>
      </c>
      <c r="FO241" s="5">
        <f>'MODEL Product Introduction'!$C165*(1-'MODEL Product Introduction'!$E$92)</f>
        <v>5044.6589143794345</v>
      </c>
      <c r="FP241" s="5">
        <f>'MODEL Product Introduction'!$D165*(1-'MODEL Product Introduction'!$F$92)</f>
        <v>4495.2406167737545</v>
      </c>
      <c r="FQ241" s="5">
        <f>('MODEL Product Introduction'!$E165+'MODEL Product Introduction'!$F165)*(1-'MODEL Product Introduction'!$G$92)</f>
        <v>100891.42621540085</v>
      </c>
      <c r="FR241" s="605"/>
      <c r="FS241" s="606"/>
      <c r="FT241" s="12">
        <f>'MODEL Product Introduction'!$G166*(1+'MODEL Product Introduction'!$H166)</f>
        <v>110.00000000000001</v>
      </c>
      <c r="FU241" s="12">
        <f>SUMPRODUCT('MODEL Product Introduction'!$C166:$F166,'MODEL Product Introduction'!$D$90:$G$90)</f>
        <v>15443977.976266341</v>
      </c>
      <c r="FV241" s="12">
        <f>SUMPRODUCT('MODEL Product Introduction'!$C166:$F166,'MODEL Product Introduction'!$D$91:$G$91)</f>
        <v>11970079.731044415</v>
      </c>
      <c r="FW241" s="12">
        <f>'MODEL Product Introduction'!$J166-'MODEL Product Introduction'!$K166</f>
        <v>-319509.76167735457</v>
      </c>
      <c r="FX241" s="12">
        <f>SUM('MODEL Product Introduction'!$C166:$F166)*10+'MODEL Product Introduction'!$I166*'MODEL Product Introduction'!$C166</f>
        <v>1925608.0601082635</v>
      </c>
      <c r="FY241" s="12">
        <f t="shared" si="37"/>
        <v>-2245117.8217856181</v>
      </c>
      <c r="FZ241" s="12">
        <f>'MODEL Product Introduction'!$N166+'MODEL Product Introduction'!$O165</f>
        <v>-56337492.345867321</v>
      </c>
    </row>
    <row r="242" spans="90:182" ht="13.5" thickBot="1">
      <c r="CL242" s="814">
        <f t="shared" si="29"/>
        <v>1.4999999999999999E-2</v>
      </c>
      <c r="CM242" s="814">
        <f t="shared" si="38"/>
        <v>0</v>
      </c>
      <c r="CN242" s="814">
        <f t="shared" si="39"/>
        <v>1.4999999999999999E-2</v>
      </c>
      <c r="CO242" s="814"/>
      <c r="CP242" s="814"/>
      <c r="CQ242" s="814">
        <f t="shared" si="30"/>
        <v>1.4999999999999999E-2</v>
      </c>
      <c r="CR242" s="814">
        <f t="shared" si="31"/>
        <v>0</v>
      </c>
      <c r="CS242" s="814">
        <f t="shared" si="32"/>
        <v>0</v>
      </c>
      <c r="CT242" s="814">
        <f t="shared" si="33"/>
        <v>1.4999999999999999E-2</v>
      </c>
      <c r="CU242" s="814">
        <f t="shared" si="34"/>
        <v>0</v>
      </c>
      <c r="CV242" s="814">
        <f t="shared" si="35"/>
        <v>0</v>
      </c>
      <c r="CW242" s="814">
        <f t="shared" si="36"/>
        <v>1.4999999999999999E-2</v>
      </c>
      <c r="CX242" s="814"/>
      <c r="FA242" s="763">
        <f>'MODEL Product Introduction'!D167</f>
        <v>5095.1055035232293</v>
      </c>
      <c r="FB242" s="763">
        <f>'MODEL Product Introduction'!E167</f>
        <v>6550.8499331012945</v>
      </c>
      <c r="FC242" s="763">
        <f>'MODEL Product Introduction'!F167</f>
        <v>102008.54543576569</v>
      </c>
      <c r="FF242" s="763">
        <f>'MODEL Product Introduction'!I167</f>
        <v>110.1</v>
      </c>
      <c r="FG242" s="763">
        <f>'MODEL Product Introduction'!J167</f>
        <v>11041798.434560549</v>
      </c>
      <c r="FH242" s="763">
        <f>'MODEL Product Introduction'!K167</f>
        <v>11365450.087239021</v>
      </c>
      <c r="FI242" s="763">
        <f>'MODEL Product Introduction'!L167</f>
        <v>-323651.65267847292</v>
      </c>
      <c r="FJ242" s="763">
        <f>'MODEL Product Introduction'!M167</f>
        <v>1210500.5024175944</v>
      </c>
      <c r="FK242" s="763">
        <f>'MODEL Product Introduction'!N167</f>
        <v>-1534152.1550960673</v>
      </c>
      <c r="FL242" s="763">
        <f>'MODEL Product Introduction'!O167</f>
        <v>-57871644.50096339</v>
      </c>
      <c r="FO242" s="5">
        <f>'MODEL Product Introduction'!$C166*(1-'MODEL Product Introduction'!$E$92)</f>
        <v>5095.1055035232293</v>
      </c>
      <c r="FP242" s="5">
        <f>'MODEL Product Introduction'!$D166*(1-'MODEL Product Introduction'!$F$92)</f>
        <v>4540.1930229414911</v>
      </c>
      <c r="FQ242" s="5">
        <f>('MODEL Product Introduction'!$E166+'MODEL Product Introduction'!$F166)*(1-'MODEL Product Introduction'!$G$92)</f>
        <v>102008.54543576569</v>
      </c>
      <c r="FR242" s="605"/>
      <c r="FS242" s="606"/>
      <c r="FT242" s="12">
        <f>'MODEL Product Introduction'!$G167*(1+'MODEL Product Introduction'!$H167)</f>
        <v>121.00000000000001</v>
      </c>
      <c r="FU242" s="12">
        <f>SUMPRODUCT('MODEL Product Introduction'!$C167:$F167,'MODEL Product Introduction'!$D$90:$G$90)</f>
        <v>15613566.450178521</v>
      </c>
      <c r="FV242" s="12">
        <f>SUMPRODUCT('MODEL Product Introduction'!$C167:$F167,'MODEL Product Introduction'!$D$91:$G$91)</f>
        <v>12100601.024175944</v>
      </c>
      <c r="FW242" s="12">
        <f>'MODEL Product Introduction'!$J167-'MODEL Product Introduction'!$K167</f>
        <v>-323651.65267847292</v>
      </c>
      <c r="FX242" s="12">
        <f>SUM('MODEL Product Introduction'!$C167:$F167)*10+'MODEL Product Introduction'!$I167*'MODEL Product Introduction'!$C167</f>
        <v>2019461.2839851468</v>
      </c>
      <c r="FY242" s="12">
        <f t="shared" si="37"/>
        <v>-2343112.9366636197</v>
      </c>
      <c r="FZ242" s="12">
        <f>'MODEL Product Introduction'!$N167+'MODEL Product Introduction'!$O166</f>
        <v>-57871644.50096339</v>
      </c>
    </row>
    <row r="243" spans="90:182" ht="13.5" thickBot="1">
      <c r="CL243" s="814">
        <f t="shared" si="29"/>
        <v>1.4999999999999999E-2</v>
      </c>
      <c r="CM243" s="814">
        <f t="shared" si="38"/>
        <v>0</v>
      </c>
      <c r="CN243" s="814">
        <f t="shared" si="39"/>
        <v>1.4999999999999999E-2</v>
      </c>
      <c r="CO243" s="814"/>
      <c r="CP243" s="814"/>
      <c r="CQ243" s="814">
        <f t="shared" si="30"/>
        <v>1.4999999999999999E-2</v>
      </c>
      <c r="CR243" s="814">
        <f t="shared" si="31"/>
        <v>0</v>
      </c>
      <c r="CS243" s="814">
        <f t="shared" si="32"/>
        <v>0</v>
      </c>
      <c r="CT243" s="814">
        <f t="shared" si="33"/>
        <v>1.4999999999999999E-2</v>
      </c>
      <c r="CU243" s="814">
        <f t="shared" si="34"/>
        <v>0</v>
      </c>
      <c r="CV243" s="814">
        <f t="shared" si="35"/>
        <v>0</v>
      </c>
      <c r="CW243" s="814">
        <f t="shared" si="36"/>
        <v>1.4999999999999999E-2</v>
      </c>
      <c r="CX243" s="814"/>
      <c r="FA243" s="763">
        <f>'MODEL Product Introduction'!D168</f>
        <v>5146.0565585584609</v>
      </c>
      <c r="FB243" s="763">
        <f>'MODEL Product Introduction'!E168</f>
        <v>6616.3584324323074</v>
      </c>
      <c r="FC243" s="763">
        <f>'MODEL Product Introduction'!F168</f>
        <v>103131.42560042364</v>
      </c>
      <c r="FF243" s="763">
        <f>'MODEL Product Introduction'!I168</f>
        <v>110.1</v>
      </c>
      <c r="FG243" s="763">
        <f>'MODEL Product Introduction'!J168</f>
        <v>11161596.436221056</v>
      </c>
      <c r="FH243" s="763">
        <f>'MODEL Product Introduction'!K168</f>
        <v>11489384.05914144</v>
      </c>
      <c r="FI243" s="763">
        <f>'MODEL Product Introduction'!L168</f>
        <v>-327787.62292038463</v>
      </c>
      <c r="FJ243" s="763">
        <f>'MODEL Product Introduction'!M168</f>
        <v>1223629.0505447732</v>
      </c>
      <c r="FK243" s="763">
        <f>'MODEL Product Introduction'!N168</f>
        <v>-1551416.6734651579</v>
      </c>
      <c r="FL243" s="763">
        <f>'MODEL Product Introduction'!O168</f>
        <v>-59423061.174428545</v>
      </c>
      <c r="FO243" s="5">
        <f>'MODEL Product Introduction'!$C167*(1-'MODEL Product Introduction'!$E$92)</f>
        <v>5146.0565585584609</v>
      </c>
      <c r="FP243" s="5">
        <f>'MODEL Product Introduction'!$D167*(1-'MODEL Product Introduction'!$F$92)</f>
        <v>4585.5949531709066</v>
      </c>
      <c r="FQ243" s="5">
        <f>('MODEL Product Introduction'!$E167+'MODEL Product Introduction'!$F167)*(1-'MODEL Product Introduction'!$G$92)</f>
        <v>103131.42560042364</v>
      </c>
      <c r="FR243" s="605"/>
      <c r="FS243" s="606"/>
      <c r="FT243" s="12">
        <f>'MODEL Product Introduction'!$G168*(1+'MODEL Product Introduction'!$H168)</f>
        <v>121.00000000000001</v>
      </c>
      <c r="FU243" s="12">
        <f>SUMPRODUCT('MODEL Product Introduction'!$C168:$F168,'MODEL Product Introduction'!$D$90:$G$90)</f>
        <v>15784093.374122348</v>
      </c>
      <c r="FV243" s="12">
        <f>SUMPRODUCT('MODEL Product Introduction'!$C168:$F168,'MODEL Product Introduction'!$D$91:$G$91)</f>
        <v>12231886.505447734</v>
      </c>
      <c r="FW243" s="12">
        <f>'MODEL Product Introduction'!$J168-'MODEL Product Introduction'!$K168</f>
        <v>-327787.62292038463</v>
      </c>
      <c r="FX243" s="12">
        <f>SUM('MODEL Product Introduction'!$C168:$F168)*10+'MODEL Product Introduction'!$I168*'MODEL Product Introduction'!$C168</f>
        <v>2040683.8439280011</v>
      </c>
      <c r="FY243" s="12">
        <f t="shared" si="37"/>
        <v>-2368471.4668483855</v>
      </c>
      <c r="FZ243" s="12">
        <f>'MODEL Product Introduction'!$N168+'MODEL Product Introduction'!$O167</f>
        <v>-59423061.174428545</v>
      </c>
    </row>
    <row r="244" spans="90:182" ht="13.5" thickBot="1">
      <c r="CL244" s="814">
        <f t="shared" si="29"/>
        <v>1.4999999999999999E-2</v>
      </c>
      <c r="CM244" s="814">
        <f t="shared" si="38"/>
        <v>0</v>
      </c>
      <c r="CN244" s="814">
        <f t="shared" si="39"/>
        <v>1.4999999999999999E-2</v>
      </c>
      <c r="CO244" s="814"/>
      <c r="CP244" s="814"/>
      <c r="CQ244" s="814">
        <f t="shared" si="30"/>
        <v>1.4999999999999999E-2</v>
      </c>
      <c r="CR244" s="814">
        <f t="shared" si="31"/>
        <v>0</v>
      </c>
      <c r="CS244" s="814">
        <f t="shared" si="32"/>
        <v>0</v>
      </c>
      <c r="CT244" s="814">
        <f t="shared" si="33"/>
        <v>1.4999999999999999E-2</v>
      </c>
      <c r="CU244" s="814">
        <f t="shared" si="34"/>
        <v>0</v>
      </c>
      <c r="CV244" s="814">
        <f t="shared" si="35"/>
        <v>0</v>
      </c>
      <c r="CW244" s="814">
        <f t="shared" si="36"/>
        <v>1.4999999999999999E-2</v>
      </c>
      <c r="CX244" s="814"/>
      <c r="FA244" s="763">
        <f>'MODEL Product Introduction'!D169</f>
        <v>5197.5171241440457</v>
      </c>
      <c r="FB244" s="763">
        <f>'MODEL Product Introduction'!E169</f>
        <v>6682.5220167566313</v>
      </c>
      <c r="FC244" s="763">
        <f>'MODEL Product Introduction'!F169</f>
        <v>104260.39483121314</v>
      </c>
      <c r="FF244" s="763">
        <f>'MODEL Product Introduction'!I169</f>
        <v>150.1</v>
      </c>
      <c r="FG244" s="763">
        <f>'MODEL Product Introduction'!J169</f>
        <v>11282123.417032421</v>
      </c>
      <c r="FH244" s="763">
        <f>'MODEL Product Introduction'!K169</f>
        <v>11614043.397211382</v>
      </c>
      <c r="FI244" s="763">
        <f>'MODEL Product Introduction'!L169</f>
        <v>-331919.98017896153</v>
      </c>
      <c r="FJ244" s="763">
        <f>'MODEL Product Introduction'!M169</f>
        <v>1236997.4867980736</v>
      </c>
      <c r="FK244" s="763">
        <f>'MODEL Product Introduction'!N169</f>
        <v>-1568917.4669770352</v>
      </c>
      <c r="FL244" s="763">
        <f>'MODEL Product Introduction'!O169</f>
        <v>-60991978.641405582</v>
      </c>
      <c r="FO244" s="5">
        <f>'MODEL Product Introduction'!$C168*(1-'MODEL Product Introduction'!$E$92)</f>
        <v>5197.5171241440457</v>
      </c>
      <c r="FP244" s="5">
        <f>'MODEL Product Introduction'!$D168*(1-'MODEL Product Introduction'!$F$92)</f>
        <v>4631.4509027026152</v>
      </c>
      <c r="FQ244" s="5">
        <f>('MODEL Product Introduction'!$E168+'MODEL Product Introduction'!$F168)*(1-'MODEL Product Introduction'!$G$92)</f>
        <v>104260.39483121314</v>
      </c>
      <c r="FR244" s="605"/>
      <c r="FS244" s="606"/>
      <c r="FT244" s="12">
        <f>'MODEL Product Introduction'!$G169*(1+'MODEL Product Introduction'!$H169)</f>
        <v>165</v>
      </c>
      <c r="FU244" s="12">
        <f>SUMPRODUCT('MODEL Product Introduction'!$C169:$F169,'MODEL Product Introduction'!$D$90:$G$90)</f>
        <v>15955606.004333507</v>
      </c>
      <c r="FV244" s="12">
        <f>SUMPRODUCT('MODEL Product Introduction'!$C169:$F169,'MODEL Product Introduction'!$D$91:$G$91)</f>
        <v>12363970.867980735</v>
      </c>
      <c r="FW244" s="12">
        <f>'MODEL Product Introduction'!$J169-'MODEL Product Introduction'!$K169</f>
        <v>-331919.98017896153</v>
      </c>
      <c r="FX244" s="12">
        <f>SUM('MODEL Product Introduction'!$C169:$F169)*10+'MODEL Product Introduction'!$I169*'MODEL Product Introduction'!$C169</f>
        <v>2362038.2204228761</v>
      </c>
      <c r="FY244" s="12">
        <f t="shared" si="37"/>
        <v>-2693958.2006018376</v>
      </c>
      <c r="FZ244" s="12">
        <f>'MODEL Product Introduction'!$N169+'MODEL Product Introduction'!$O168</f>
        <v>-60991978.641405582</v>
      </c>
    </row>
    <row r="245" spans="90:182" ht="13.5" thickBot="1">
      <c r="CL245" s="814">
        <f t="shared" si="29"/>
        <v>1.4999999999999999E-2</v>
      </c>
      <c r="CM245" s="814">
        <f t="shared" si="38"/>
        <v>0</v>
      </c>
      <c r="CN245" s="814">
        <f t="shared" si="39"/>
        <v>1.4999999999999999E-2</v>
      </c>
      <c r="CO245" s="814"/>
      <c r="CP245" s="814"/>
      <c r="CQ245" s="814">
        <f t="shared" si="30"/>
        <v>1.4999999999999999E-2</v>
      </c>
      <c r="CR245" s="814">
        <f t="shared" si="31"/>
        <v>0</v>
      </c>
      <c r="CS245" s="814">
        <f t="shared" si="32"/>
        <v>0</v>
      </c>
      <c r="CT245" s="814">
        <f t="shared" si="33"/>
        <v>1.4999999999999999E-2</v>
      </c>
      <c r="CU245" s="814">
        <f t="shared" si="34"/>
        <v>0</v>
      </c>
      <c r="CV245" s="814">
        <f t="shared" si="35"/>
        <v>0</v>
      </c>
      <c r="CW245" s="814">
        <f t="shared" si="36"/>
        <v>1.4999999999999999E-2</v>
      </c>
      <c r="CX245" s="814"/>
      <c r="FA245" s="763">
        <f>'MODEL Product Introduction'!D170</f>
        <v>5249.4922953854857</v>
      </c>
      <c r="FB245" s="763">
        <f>'MODEL Product Introduction'!E170</f>
        <v>6749.3472369241972</v>
      </c>
      <c r="FC245" s="763">
        <f>'MODEL Product Introduction'!F170</f>
        <v>105395.77100557128</v>
      </c>
      <c r="FF245" s="763">
        <f>'MODEL Product Introduction'!I170</f>
        <v>100.1</v>
      </c>
      <c r="FG245" s="763">
        <f>'MODEL Product Introduction'!J170</f>
        <v>11403410.116829444</v>
      </c>
      <c r="FH245" s="763">
        <f>'MODEL Product Introduction'!K170</f>
        <v>11739461.053788096</v>
      </c>
      <c r="FI245" s="763">
        <f>'MODEL Product Introduction'!L170</f>
        <v>-336050.93695865199</v>
      </c>
      <c r="FJ245" s="763">
        <f>'MODEL Product Introduction'!M170</f>
        <v>1250089.1799265144</v>
      </c>
      <c r="FK245" s="763">
        <f>'MODEL Product Introduction'!N170</f>
        <v>-1586140.1168851664</v>
      </c>
      <c r="FL245" s="763">
        <f>'MODEL Product Introduction'!O170</f>
        <v>-62578118.758290745</v>
      </c>
      <c r="FO245" s="5">
        <f>'MODEL Product Introduction'!$C169*(1-'MODEL Product Introduction'!$E$92)</f>
        <v>5249.4922953854857</v>
      </c>
      <c r="FP245" s="5">
        <f>'MODEL Product Introduction'!$D169*(1-'MODEL Product Introduction'!$F$92)</f>
        <v>4677.7654117296415</v>
      </c>
      <c r="FQ245" s="5">
        <f>('MODEL Product Introduction'!$E169+'MODEL Product Introduction'!$F169)*(1-'MODEL Product Introduction'!$G$92)</f>
        <v>105395.77100557128</v>
      </c>
      <c r="FR245" s="605"/>
      <c r="FS245" s="606"/>
      <c r="FT245" s="12">
        <f>'MODEL Product Introduction'!$G170*(1+'MODEL Product Introduction'!$H170)</f>
        <v>110.00000000000001</v>
      </c>
      <c r="FU245" s="12">
        <f>SUMPRODUCT('MODEL Product Introduction'!$C170:$F170,'MODEL Product Introduction'!$D$90:$G$90)</f>
        <v>16128150.176023286</v>
      </c>
      <c r="FV245" s="12">
        <f>SUMPRODUCT('MODEL Product Introduction'!$C170:$F170,'MODEL Product Introduction'!$D$91:$G$91)</f>
        <v>12496887.799265144</v>
      </c>
      <c r="FW245" s="12">
        <f>'MODEL Product Introduction'!$J170-'MODEL Product Introduction'!$K170</f>
        <v>-336050.93695865199</v>
      </c>
      <c r="FX245" s="12">
        <f>SUM('MODEL Product Introduction'!$C170:$F170)*10+'MODEL Product Introduction'!$I170*'MODEL Product Introduction'!$C170</f>
        <v>2007872.9521490401</v>
      </c>
      <c r="FY245" s="12">
        <f t="shared" si="37"/>
        <v>-2343923.8891076921</v>
      </c>
      <c r="FZ245" s="12">
        <f>'MODEL Product Introduction'!$N170+'MODEL Product Introduction'!$O169</f>
        <v>-62578118.758290745</v>
      </c>
    </row>
    <row r="246" spans="90:182" ht="13.5" thickBot="1">
      <c r="CL246" s="814">
        <f t="shared" si="29"/>
        <v>1.4999999999999999E-2</v>
      </c>
      <c r="CM246" s="814">
        <f t="shared" si="38"/>
        <v>0</v>
      </c>
      <c r="CN246" s="814">
        <f t="shared" si="39"/>
        <v>1.4999999999999999E-2</v>
      </c>
      <c r="CO246" s="814"/>
      <c r="CP246" s="814"/>
      <c r="CQ246" s="814">
        <f t="shared" si="30"/>
        <v>1.4999999999999999E-2</v>
      </c>
      <c r="CR246" s="814">
        <f t="shared" si="31"/>
        <v>0</v>
      </c>
      <c r="CS246" s="814">
        <f t="shared" si="32"/>
        <v>0</v>
      </c>
      <c r="CT246" s="814">
        <f t="shared" si="33"/>
        <v>1.4999999999999999E-2</v>
      </c>
      <c r="CU246" s="814">
        <f t="shared" si="34"/>
        <v>0</v>
      </c>
      <c r="CV246" s="814">
        <f t="shared" si="35"/>
        <v>0</v>
      </c>
      <c r="CW246" s="814">
        <f t="shared" si="36"/>
        <v>1.4999999999999999E-2</v>
      </c>
      <c r="CX246" s="814"/>
      <c r="FA246" s="763">
        <f>'MODEL Product Introduction'!D171</f>
        <v>5301.9872183393409</v>
      </c>
      <c r="FB246" s="763">
        <f>'MODEL Product Introduction'!E171</f>
        <v>6816.8407092934385</v>
      </c>
      <c r="FC246" s="763">
        <f>'MODEL Product Introduction'!F171</f>
        <v>106537.8623303707</v>
      </c>
      <c r="FF246" s="763">
        <f>'MODEL Product Introduction'!I171</f>
        <v>100.1</v>
      </c>
      <c r="FG246" s="763">
        <f>'MODEL Product Introduction'!J171</f>
        <v>11525486.410343101</v>
      </c>
      <c r="FH246" s="763">
        <f>'MODEL Product Introduction'!K171</f>
        <v>11865669.025800347</v>
      </c>
      <c r="FI246" s="763">
        <f>'MODEL Product Introduction'!L171</f>
        <v>-340182.61545724608</v>
      </c>
      <c r="FJ246" s="763">
        <f>'MODEL Product Introduction'!M171</f>
        <v>1263467.4038732166</v>
      </c>
      <c r="FK246" s="763">
        <f>'MODEL Product Introduction'!N171</f>
        <v>-1603650.0193304627</v>
      </c>
      <c r="FL246" s="763">
        <f>'MODEL Product Introduction'!O171</f>
        <v>-64181768.77762121</v>
      </c>
      <c r="FO246" s="5">
        <f>'MODEL Product Introduction'!$C170*(1-'MODEL Product Introduction'!$E$92)</f>
        <v>5301.9872183393409</v>
      </c>
      <c r="FP246" s="5">
        <f>'MODEL Product Introduction'!$D170*(1-'MODEL Product Introduction'!$F$92)</f>
        <v>4724.5430658469377</v>
      </c>
      <c r="FQ246" s="5">
        <f>('MODEL Product Introduction'!$E170+'MODEL Product Introduction'!$F170)*(1-'MODEL Product Introduction'!$G$92)</f>
        <v>106537.8623303707</v>
      </c>
      <c r="FR246" s="605"/>
      <c r="FS246" s="606"/>
      <c r="FT246" s="12">
        <f>'MODEL Product Introduction'!$G171*(1+'MODEL Product Introduction'!$H171)</f>
        <v>110.00000000000001</v>
      </c>
      <c r="FU246" s="12">
        <f>SUMPRODUCT('MODEL Product Introduction'!$C171:$F171,'MODEL Product Introduction'!$D$90:$G$90)</f>
        <v>16301770.383847635</v>
      </c>
      <c r="FV246" s="12">
        <f>SUMPRODUCT('MODEL Product Introduction'!$C171:$F171,'MODEL Product Introduction'!$D$91:$G$91)</f>
        <v>12630670.038732167</v>
      </c>
      <c r="FW246" s="12">
        <f>'MODEL Product Introduction'!$J171-'MODEL Product Introduction'!$K171</f>
        <v>-340182.61545724608</v>
      </c>
      <c r="FX246" s="12">
        <f>SUM('MODEL Product Introduction'!$C171:$F171)*10+'MODEL Product Introduction'!$I171*'MODEL Product Introduction'!$C171</f>
        <v>2028833.0178179676</v>
      </c>
      <c r="FY246" s="12">
        <f t="shared" si="37"/>
        <v>-2369015.6332752137</v>
      </c>
      <c r="FZ246" s="12">
        <f>'MODEL Product Introduction'!$N171+'MODEL Product Introduction'!$O170</f>
        <v>-64181768.77762121</v>
      </c>
    </row>
    <row r="247" spans="90:182" ht="13.5" thickBot="1">
      <c r="CL247" s="814">
        <f t="shared" si="29"/>
        <v>1.4999999999999999E-2</v>
      </c>
      <c r="CM247" s="814">
        <f t="shared" si="38"/>
        <v>0</v>
      </c>
      <c r="CN247" s="814">
        <f t="shared" si="39"/>
        <v>1.4999999999999999E-2</v>
      </c>
      <c r="CO247" s="814"/>
      <c r="CP247" s="814"/>
      <c r="CQ247" s="814">
        <f t="shared" si="30"/>
        <v>1.4999999999999999E-2</v>
      </c>
      <c r="CR247" s="814">
        <f t="shared" si="31"/>
        <v>0</v>
      </c>
      <c r="CS247" s="814">
        <f t="shared" si="32"/>
        <v>0</v>
      </c>
      <c r="CT247" s="814">
        <f t="shared" si="33"/>
        <v>1.4999999999999999E-2</v>
      </c>
      <c r="CU247" s="814">
        <f t="shared" si="34"/>
        <v>0</v>
      </c>
      <c r="CV247" s="814">
        <f t="shared" si="35"/>
        <v>0</v>
      </c>
      <c r="CW247" s="814">
        <f t="shared" si="36"/>
        <v>1.4999999999999999E-2</v>
      </c>
      <c r="CX247" s="814"/>
      <c r="FA247" s="763">
        <f>'MODEL Product Introduction'!D172</f>
        <v>5355.007090522734</v>
      </c>
      <c r="FB247" s="763">
        <f>'MODEL Product Introduction'!E172</f>
        <v>6885.0091163863735</v>
      </c>
      <c r="FC247" s="763">
        <f>'MODEL Product Introduction'!F172</f>
        <v>107686.96788768092</v>
      </c>
      <c r="FF247" s="763">
        <f>'MODEL Product Introduction'!I172</f>
        <v>100.1</v>
      </c>
      <c r="FG247" s="763">
        <f>'MODEL Product Introduction'!J172</f>
        <v>11648381.357174627</v>
      </c>
      <c r="FH247" s="763">
        <f>'MODEL Product Introduction'!K172</f>
        <v>11992698.409459002</v>
      </c>
      <c r="FI247" s="763">
        <f>'MODEL Product Introduction'!L172</f>
        <v>-344317.05228437483</v>
      </c>
      <c r="FJ247" s="763">
        <f>'MODEL Product Introduction'!M172</f>
        <v>1276935.3432520139</v>
      </c>
      <c r="FK247" s="763">
        <f>'MODEL Product Introduction'!N172</f>
        <v>-1621252.3955363887</v>
      </c>
      <c r="FL247" s="763">
        <f>'MODEL Product Introduction'!O172</f>
        <v>-65803021.173157595</v>
      </c>
      <c r="FO247" s="5">
        <f>'MODEL Product Introduction'!$C171*(1-'MODEL Product Introduction'!$E$92)</f>
        <v>5355.007090522734</v>
      </c>
      <c r="FP247" s="5">
        <f>'MODEL Product Introduction'!$D171*(1-'MODEL Product Introduction'!$F$92)</f>
        <v>4771.7884965054072</v>
      </c>
      <c r="FQ247" s="5">
        <f>('MODEL Product Introduction'!$E171+'MODEL Product Introduction'!$F171)*(1-'MODEL Product Introduction'!$G$92)</f>
        <v>107686.96788768092</v>
      </c>
      <c r="FR247" s="605"/>
      <c r="FS247" s="606"/>
      <c r="FT247" s="12">
        <f>'MODEL Product Introduction'!$G172*(1+'MODEL Product Introduction'!$H172)</f>
        <v>110.00000000000001</v>
      </c>
      <c r="FU247" s="12">
        <f>SUMPRODUCT('MODEL Product Introduction'!$C172:$F172,'MODEL Product Introduction'!$D$90:$G$90)</f>
        <v>16476509.858447025</v>
      </c>
      <c r="FV247" s="12">
        <f>SUMPRODUCT('MODEL Product Introduction'!$C172:$F172,'MODEL Product Introduction'!$D$91:$G$91)</f>
        <v>12765349.43252014</v>
      </c>
      <c r="FW247" s="12">
        <f>'MODEL Product Introduction'!$J172-'MODEL Product Introduction'!$K172</f>
        <v>-344317.05228437483</v>
      </c>
      <c r="FX247" s="12">
        <f>SUM('MODEL Product Introduction'!$C172:$F172)*10+'MODEL Product Introduction'!$I172*'MODEL Product Introduction'!$C172</f>
        <v>2049958.6173362127</v>
      </c>
      <c r="FY247" s="12">
        <f t="shared" si="37"/>
        <v>-2394275.6696205875</v>
      </c>
      <c r="FZ247" s="12">
        <f>'MODEL Product Introduction'!$N172+'MODEL Product Introduction'!$O171</f>
        <v>-65803021.173157595</v>
      </c>
    </row>
    <row r="248" spans="90:182" ht="13.5" thickBot="1">
      <c r="CL248" s="814">
        <f t="shared" si="29"/>
        <v>1.4999999999999999E-2</v>
      </c>
      <c r="CM248" s="814">
        <f t="shared" si="38"/>
        <v>0</v>
      </c>
      <c r="CN248" s="814">
        <f t="shared" si="39"/>
        <v>1.4999999999999999E-2</v>
      </c>
      <c r="CO248" s="814"/>
      <c r="CP248" s="814"/>
      <c r="CQ248" s="814">
        <f t="shared" si="30"/>
        <v>1.4999999999999999E-2</v>
      </c>
      <c r="CR248" s="814">
        <f t="shared" si="31"/>
        <v>0</v>
      </c>
      <c r="CS248" s="814">
        <f t="shared" si="32"/>
        <v>0</v>
      </c>
      <c r="CT248" s="814">
        <f t="shared" si="33"/>
        <v>1.4999999999999999E-2</v>
      </c>
      <c r="CU248" s="814">
        <f t="shared" si="34"/>
        <v>0</v>
      </c>
      <c r="CV248" s="814">
        <f t="shared" si="35"/>
        <v>0</v>
      </c>
      <c r="CW248" s="814">
        <f t="shared" si="36"/>
        <v>1.4999999999999999E-2</v>
      </c>
      <c r="CX248" s="814"/>
      <c r="FA248" s="763">
        <f>'MODEL Product Introduction'!D173</f>
        <v>5408.5571614279615</v>
      </c>
      <c r="FB248" s="763">
        <f>'MODEL Product Introduction'!E173</f>
        <v>6953.8592075502365</v>
      </c>
      <c r="FC248" s="763">
        <f>'MODEL Product Introduction'!F173</f>
        <v>108843.37815386392</v>
      </c>
      <c r="FF248" s="763">
        <f>'MODEL Product Introduction'!I173</f>
        <v>100.1</v>
      </c>
      <c r="FG248" s="763">
        <f>'MODEL Product Introduction'!J173</f>
        <v>11772123.249338064</v>
      </c>
      <c r="FH248" s="763">
        <f>'MODEL Product Introduction'!K173</f>
        <v>12120579.452284211</v>
      </c>
      <c r="FI248" s="763">
        <f>'MODEL Product Introduction'!L173</f>
        <v>-348456.20294614695</v>
      </c>
      <c r="FJ248" s="763">
        <f>'MODEL Product Introduction'!M173</f>
        <v>1290496.0985575959</v>
      </c>
      <c r="FK248" s="763">
        <f>'MODEL Product Introduction'!N173</f>
        <v>-1638952.3015037428</v>
      </c>
      <c r="FL248" s="763">
        <f>'MODEL Product Introduction'!O173</f>
        <v>-67441973.474661335</v>
      </c>
      <c r="FO248" s="5">
        <f>'MODEL Product Introduction'!$C172*(1-'MODEL Product Introduction'!$E$92)</f>
        <v>5408.5571614279615</v>
      </c>
      <c r="FP248" s="5">
        <f>'MODEL Product Introduction'!$D172*(1-'MODEL Product Introduction'!$F$92)</f>
        <v>4819.5063814704608</v>
      </c>
      <c r="FQ248" s="5">
        <f>('MODEL Product Introduction'!$E172+'MODEL Product Introduction'!$F172)*(1-'MODEL Product Introduction'!$G$92)</f>
        <v>108843.37815386392</v>
      </c>
      <c r="FR248" s="605"/>
      <c r="FS248" s="606"/>
      <c r="FT248" s="12">
        <f>'MODEL Product Introduction'!$G173*(1+'MODEL Product Introduction'!$H173)</f>
        <v>110.00000000000001</v>
      </c>
      <c r="FU248" s="12">
        <f>SUMPRODUCT('MODEL Product Introduction'!$C173:$F173,'MODEL Product Introduction'!$D$90:$G$90)</f>
        <v>16652410.639254361</v>
      </c>
      <c r="FV248" s="12">
        <f>SUMPRODUCT('MODEL Product Introduction'!$C173:$F173,'MODEL Product Introduction'!$D$91:$G$91)</f>
        <v>12900956.985575961</v>
      </c>
      <c r="FW248" s="12">
        <f>'MODEL Product Introduction'!$J173-'MODEL Product Introduction'!$K173</f>
        <v>-348456.20294614695</v>
      </c>
      <c r="FX248" s="12">
        <f>SUM('MODEL Product Introduction'!$C173:$F173)*10+'MODEL Product Introduction'!$I173*'MODEL Product Introduction'!$C173</f>
        <v>2071253.6093826364</v>
      </c>
      <c r="FY248" s="12">
        <f t="shared" si="37"/>
        <v>-2419709.8123287833</v>
      </c>
      <c r="FZ248" s="12">
        <f>'MODEL Product Introduction'!$N173+'MODEL Product Introduction'!$O172</f>
        <v>-67441973.474661335</v>
      </c>
    </row>
    <row r="249" spans="90:182" ht="13.5" thickBot="1">
      <c r="CL249" s="814">
        <f t="shared" si="29"/>
        <v>1.4999999999999999E-2</v>
      </c>
      <c r="CM249" s="814">
        <f t="shared" si="38"/>
        <v>0</v>
      </c>
      <c r="CN249" s="814">
        <f t="shared" si="39"/>
        <v>1.4999999999999999E-2</v>
      </c>
      <c r="CO249" s="814"/>
      <c r="CP249" s="814"/>
      <c r="CQ249" s="814">
        <f t="shared" si="30"/>
        <v>1.4999999999999999E-2</v>
      </c>
      <c r="CR249" s="814">
        <f t="shared" si="31"/>
        <v>0</v>
      </c>
      <c r="CS249" s="814">
        <f t="shared" si="32"/>
        <v>0</v>
      </c>
      <c r="CT249" s="814">
        <f t="shared" si="33"/>
        <v>1.4999999999999999E-2</v>
      </c>
      <c r="CU249" s="814">
        <f t="shared" si="34"/>
        <v>0</v>
      </c>
      <c r="CV249" s="814">
        <f t="shared" si="35"/>
        <v>0</v>
      </c>
      <c r="CW249" s="814">
        <f t="shared" si="36"/>
        <v>1.4999999999999999E-2</v>
      </c>
      <c r="CX249" s="814"/>
      <c r="FA249" s="763">
        <f>'MODEL Product Introduction'!D174</f>
        <v>5462.6427330422412</v>
      </c>
      <c r="FB249" s="763">
        <f>'MODEL Product Introduction'!E174</f>
        <v>7023.397799625739</v>
      </c>
      <c r="FC249" s="763">
        <f>'MODEL Product Introduction'!F174</f>
        <v>110007.37549334344</v>
      </c>
      <c r="FF249" s="763">
        <f>'MODEL Product Introduction'!I174</f>
        <v>100.1</v>
      </c>
      <c r="FG249" s="763">
        <f>'MODEL Product Introduction'!J174</f>
        <v>11896739.65649355</v>
      </c>
      <c r="FH249" s="763">
        <f>'MODEL Product Introduction'!K174</f>
        <v>12249341.602601141</v>
      </c>
      <c r="FI249" s="763">
        <f>'MODEL Product Introduction'!L174</f>
        <v>-352601.94610759057</v>
      </c>
      <c r="FJ249" s="763">
        <f>'MODEL Product Introduction'!M174</f>
        <v>1304152.6911225808</v>
      </c>
      <c r="FK249" s="763">
        <f>'MODEL Product Introduction'!N174</f>
        <v>-1656754.6372301714</v>
      </c>
      <c r="FL249" s="763">
        <f>'MODEL Product Introduction'!O174</f>
        <v>-69098728.111891508</v>
      </c>
      <c r="FO249" s="5">
        <f>'MODEL Product Introduction'!$C173*(1-'MODEL Product Introduction'!$E$92)</f>
        <v>5462.6427330422412</v>
      </c>
      <c r="FP249" s="5">
        <f>'MODEL Product Introduction'!$D173*(1-'MODEL Product Introduction'!$F$92)</f>
        <v>4867.7014452851654</v>
      </c>
      <c r="FQ249" s="5">
        <f>('MODEL Product Introduction'!$E173+'MODEL Product Introduction'!$F173)*(1-'MODEL Product Introduction'!$G$92)</f>
        <v>110007.37549334344</v>
      </c>
      <c r="FR249" s="605"/>
      <c r="FS249" s="606"/>
      <c r="FT249" s="12">
        <f>'MODEL Product Introduction'!$G174*(1+'MODEL Product Introduction'!$H174)</f>
        <v>110.00000000000001</v>
      </c>
      <c r="FU249" s="12">
        <f>SUMPRODUCT('MODEL Product Introduction'!$C174:$F174,'MODEL Product Introduction'!$D$90:$G$90)</f>
        <v>16829513.643758629</v>
      </c>
      <c r="FV249" s="12">
        <f>SUMPRODUCT('MODEL Product Introduction'!$C174:$F174,'MODEL Product Introduction'!$D$91:$G$91)</f>
        <v>13037522.911225807</v>
      </c>
      <c r="FW249" s="12">
        <f>'MODEL Product Introduction'!$J174-'MODEL Product Introduction'!$K174</f>
        <v>-352601.94610759057</v>
      </c>
      <c r="FX249" s="12">
        <f>SUM('MODEL Product Introduction'!$C174:$F174)*10+'MODEL Product Introduction'!$I174*'MODEL Product Introduction'!$C174</f>
        <v>2092721.7810558719</v>
      </c>
      <c r="FY249" s="12">
        <f t="shared" si="37"/>
        <v>-2445323.7271634624</v>
      </c>
      <c r="FZ249" s="12">
        <f>'MODEL Product Introduction'!$N174+'MODEL Product Introduction'!$O173</f>
        <v>-69098728.111891508</v>
      </c>
    </row>
    <row r="250" spans="90:182" ht="13.5" thickBot="1">
      <c r="CL250" s="814">
        <f t="shared" si="29"/>
        <v>1.4999999999999999E-2</v>
      </c>
      <c r="CM250" s="814">
        <f t="shared" si="38"/>
        <v>0</v>
      </c>
      <c r="CN250" s="814">
        <f t="shared" si="39"/>
        <v>1.4999999999999999E-2</v>
      </c>
      <c r="CO250" s="814"/>
      <c r="CP250" s="814"/>
      <c r="CQ250" s="814">
        <f t="shared" si="30"/>
        <v>1.4999999999999999E-2</v>
      </c>
      <c r="CR250" s="814">
        <f t="shared" si="31"/>
        <v>0</v>
      </c>
      <c r="CS250" s="814">
        <f t="shared" si="32"/>
        <v>0</v>
      </c>
      <c r="CT250" s="814">
        <f t="shared" si="33"/>
        <v>1.4999999999999999E-2</v>
      </c>
      <c r="CU250" s="814">
        <f t="shared" si="34"/>
        <v>0</v>
      </c>
      <c r="CV250" s="814">
        <f t="shared" si="35"/>
        <v>0</v>
      </c>
      <c r="CW250" s="814">
        <f t="shared" si="36"/>
        <v>1.4999999999999999E-2</v>
      </c>
      <c r="CX250" s="814"/>
      <c r="FA250" s="763">
        <f>'MODEL Product Introduction'!D175</f>
        <v>5517.2691603726635</v>
      </c>
      <c r="FB250" s="763">
        <f>'MODEL Product Introduction'!E175</f>
        <v>7093.6317776219967</v>
      </c>
      <c r="FC250" s="763">
        <f>'MODEL Product Introduction'!F175</f>
        <v>111179.23462832072</v>
      </c>
      <c r="FF250" s="763">
        <f>'MODEL Product Introduction'!I175</f>
        <v>100.1</v>
      </c>
      <c r="FG250" s="763">
        <f>'MODEL Product Introduction'!J175</f>
        <v>12022257.468987487</v>
      </c>
      <c r="FH250" s="763">
        <f>'MODEL Product Introduction'!K175</f>
        <v>12379013.556631539</v>
      </c>
      <c r="FI250" s="763">
        <f>'MODEL Product Introduction'!L175</f>
        <v>-356756.08764405176</v>
      </c>
      <c r="FJ250" s="763">
        <f>'MODEL Product Introduction'!M175</f>
        <v>1317908.067834245</v>
      </c>
      <c r="FK250" s="763">
        <f>'MODEL Product Introduction'!N175</f>
        <v>-1674664.1554782968</v>
      </c>
      <c r="FL250" s="763">
        <f>'MODEL Product Introduction'!O175</f>
        <v>-70773392.267369807</v>
      </c>
      <c r="FO250" s="5">
        <f>'MODEL Product Introduction'!$C174*(1-'MODEL Product Introduction'!$E$92)</f>
        <v>5517.2691603726635</v>
      </c>
      <c r="FP250" s="5">
        <f>'MODEL Product Introduction'!$D174*(1-'MODEL Product Introduction'!$F$92)</f>
        <v>4916.3784597380172</v>
      </c>
      <c r="FQ250" s="5">
        <f>('MODEL Product Introduction'!$E174+'MODEL Product Introduction'!$F174)*(1-'MODEL Product Introduction'!$G$92)</f>
        <v>111179.23462832072</v>
      </c>
      <c r="FR250" s="605"/>
      <c r="FS250" s="606"/>
      <c r="FT250" s="12">
        <f>'MODEL Product Introduction'!$G175*(1+'MODEL Product Introduction'!$H175)</f>
        <v>110.00000000000001</v>
      </c>
      <c r="FU250" s="12">
        <f>SUMPRODUCT('MODEL Product Introduction'!$C175:$F175,'MODEL Product Introduction'!$D$90:$G$90)</f>
        <v>17007858.733402353</v>
      </c>
      <c r="FV250" s="12">
        <f>SUMPRODUCT('MODEL Product Introduction'!$C175:$F175,'MODEL Product Introduction'!$D$91:$G$91)</f>
        <v>13175076.67834245</v>
      </c>
      <c r="FW250" s="12">
        <f>'MODEL Product Introduction'!$J175-'MODEL Product Introduction'!$K175</f>
        <v>-356756.08764405176</v>
      </c>
      <c r="FX250" s="12">
        <f>SUM('MODEL Product Introduction'!$C175:$F175)*10+'MODEL Product Introduction'!$I175*'MODEL Product Introduction'!$C175</f>
        <v>2114366.8526668688</v>
      </c>
      <c r="FY250" s="12">
        <f t="shared" si="37"/>
        <v>-2471122.9403109206</v>
      </c>
      <c r="FZ250" s="12">
        <f>'MODEL Product Introduction'!$N175+'MODEL Product Introduction'!$O174</f>
        <v>-70773392.267369807</v>
      </c>
    </row>
    <row r="251" spans="90:182" ht="13.5" thickBot="1">
      <c r="CL251" s="814">
        <f t="shared" si="29"/>
        <v>1.4999999999999999E-2</v>
      </c>
      <c r="CM251" s="814">
        <f t="shared" si="38"/>
        <v>0</v>
      </c>
      <c r="CN251" s="814">
        <f t="shared" si="39"/>
        <v>1.4999999999999999E-2</v>
      </c>
      <c r="CO251" s="814"/>
      <c r="CP251" s="814"/>
      <c r="CQ251" s="814">
        <f t="shared" si="30"/>
        <v>1.4999999999999999E-2</v>
      </c>
      <c r="CR251" s="814">
        <f t="shared" si="31"/>
        <v>0</v>
      </c>
      <c r="CS251" s="814">
        <f t="shared" si="32"/>
        <v>0</v>
      </c>
      <c r="CT251" s="814">
        <f t="shared" si="33"/>
        <v>1.4999999999999999E-2</v>
      </c>
      <c r="CU251" s="814">
        <f t="shared" si="34"/>
        <v>0</v>
      </c>
      <c r="CV251" s="814">
        <f t="shared" si="35"/>
        <v>0</v>
      </c>
      <c r="CW251" s="814">
        <f t="shared" si="36"/>
        <v>1.4999999999999999E-2</v>
      </c>
      <c r="CX251" s="814"/>
      <c r="FA251" s="763">
        <f>'MODEL Product Introduction'!D176</f>
        <v>5572.4418519763904</v>
      </c>
      <c r="FB251" s="763">
        <f>'MODEL Product Introduction'!E176</f>
        <v>7164.5680953982164</v>
      </c>
      <c r="FC251" s="763">
        <f>'MODEL Product Introduction'!F176</f>
        <v>112359.22308564557</v>
      </c>
      <c r="FF251" s="763">
        <f>'MODEL Product Introduction'!I176</f>
        <v>100.1</v>
      </c>
      <c r="FG251" s="763">
        <f>'MODEL Product Introduction'!J176</f>
        <v>12148702.938809913</v>
      </c>
      <c r="FH251" s="763">
        <f>'MODEL Product Introduction'!K176</f>
        <v>12509623.303302018</v>
      </c>
      <c r="FI251" s="763">
        <f>'MODEL Product Introduction'!L176</f>
        <v>-360920.36449210532</v>
      </c>
      <c r="FJ251" s="763">
        <f>'MODEL Product Introduction'!M176</f>
        <v>1331765.105623004</v>
      </c>
      <c r="FK251" s="763">
        <f>'MODEL Product Introduction'!N176</f>
        <v>-1692685.4701151093</v>
      </c>
      <c r="FL251" s="763">
        <f>'MODEL Product Introduction'!O176</f>
        <v>-72466077.737484917</v>
      </c>
      <c r="FO251" s="5">
        <f>'MODEL Product Introduction'!$C175*(1-'MODEL Product Introduction'!$E$92)</f>
        <v>5572.4418519763904</v>
      </c>
      <c r="FP251" s="5">
        <f>'MODEL Product Introduction'!$D175*(1-'MODEL Product Introduction'!$F$92)</f>
        <v>4965.5422443353973</v>
      </c>
      <c r="FQ251" s="5">
        <f>('MODEL Product Introduction'!$E175+'MODEL Product Introduction'!$F175)*(1-'MODEL Product Introduction'!$G$92)</f>
        <v>112359.22308564557</v>
      </c>
      <c r="FR251" s="605"/>
      <c r="FS251" s="606"/>
      <c r="FT251" s="12">
        <f>'MODEL Product Introduction'!$G176*(1+'MODEL Product Introduction'!$H176)</f>
        <v>110.00000000000001</v>
      </c>
      <c r="FU251" s="12">
        <f>SUMPRODUCT('MODEL Product Introduction'!$C176:$F176,'MODEL Product Introduction'!$D$90:$G$90)</f>
        <v>17187484.776282206</v>
      </c>
      <c r="FV251" s="12">
        <f>SUMPRODUCT('MODEL Product Introduction'!$C176:$F176,'MODEL Product Introduction'!$D$91:$G$91)</f>
        <v>13313647.05623004</v>
      </c>
      <c r="FW251" s="12">
        <f>'MODEL Product Introduction'!$J176-'MODEL Product Introduction'!$K176</f>
        <v>-360920.36449210532</v>
      </c>
      <c r="FX251" s="12">
        <f>SUM('MODEL Product Introduction'!$C176:$F176)*10+'MODEL Product Introduction'!$I176*'MODEL Product Introduction'!$C176</f>
        <v>2136192.4823039542</v>
      </c>
      <c r="FY251" s="12">
        <f t="shared" si="37"/>
        <v>-2497112.8467960595</v>
      </c>
      <c r="FZ251" s="12">
        <f>'MODEL Product Introduction'!$N176+'MODEL Product Introduction'!$O175</f>
        <v>-72466077.737484917</v>
      </c>
    </row>
    <row r="252" spans="90:182" ht="13.5" thickBot="1">
      <c r="CL252" s="814">
        <f t="shared" si="29"/>
        <v>1.4999999999999999E-2</v>
      </c>
      <c r="CM252" s="814">
        <f t="shared" si="38"/>
        <v>0</v>
      </c>
      <c r="CN252" s="814">
        <f t="shared" si="39"/>
        <v>1.4999999999999999E-2</v>
      </c>
      <c r="CO252" s="814"/>
      <c r="CP252" s="814"/>
      <c r="CQ252" s="814">
        <f t="shared" si="30"/>
        <v>1.4999999999999999E-2</v>
      </c>
      <c r="CR252" s="814">
        <f t="shared" si="31"/>
        <v>0</v>
      </c>
      <c r="CS252" s="814">
        <f t="shared" si="32"/>
        <v>0</v>
      </c>
      <c r="CT252" s="814">
        <f t="shared" si="33"/>
        <v>1.4999999999999999E-2</v>
      </c>
      <c r="CU252" s="814">
        <f t="shared" si="34"/>
        <v>0</v>
      </c>
      <c r="CV252" s="814">
        <f t="shared" si="35"/>
        <v>0</v>
      </c>
      <c r="CW252" s="814">
        <f t="shared" si="36"/>
        <v>1.4999999999999999E-2</v>
      </c>
      <c r="CX252" s="814"/>
      <c r="FA252" s="763">
        <f>'MODEL Product Introduction'!D177</f>
        <v>5628.1662704961545</v>
      </c>
      <c r="FB252" s="763">
        <f>'MODEL Product Introduction'!E177</f>
        <v>7236.2137763521987</v>
      </c>
      <c r="FC252" s="763">
        <f>'MODEL Product Introduction'!F177</f>
        <v>113547.60162199161</v>
      </c>
      <c r="FF252" s="763">
        <f>'MODEL Product Introduction'!I177</f>
        <v>100.1</v>
      </c>
      <c r="FG252" s="763">
        <f>'MODEL Product Introduction'!J177</f>
        <v>12276101.718573933</v>
      </c>
      <c r="FH252" s="763">
        <f>'MODEL Product Introduction'!K177</f>
        <v>12641198.166883996</v>
      </c>
      <c r="FI252" s="763">
        <f>'MODEL Product Introduction'!L177</f>
        <v>-365096.44831006229</v>
      </c>
      <c r="FJ252" s="763">
        <f>'MODEL Product Introduction'!M177</f>
        <v>1345726.6157341297</v>
      </c>
      <c r="FK252" s="763">
        <f>'MODEL Product Introduction'!N177</f>
        <v>-1710823.064044192</v>
      </c>
      <c r="FL252" s="763">
        <f>'MODEL Product Introduction'!O177</f>
        <v>-74176900.801529109</v>
      </c>
      <c r="FO252" s="5">
        <f>'MODEL Product Introduction'!$C176*(1-'MODEL Product Introduction'!$E$92)</f>
        <v>5628.1662704961545</v>
      </c>
      <c r="FP252" s="5">
        <f>'MODEL Product Introduction'!$D176*(1-'MODEL Product Introduction'!$F$92)</f>
        <v>5015.1976667787512</v>
      </c>
      <c r="FQ252" s="5">
        <f>('MODEL Product Introduction'!$E176+'MODEL Product Introduction'!$F176)*(1-'MODEL Product Introduction'!$G$92)</f>
        <v>113547.60162199161</v>
      </c>
      <c r="FR252" s="605"/>
      <c r="FS252" s="606"/>
      <c r="FT252" s="12">
        <f>'MODEL Product Introduction'!$G177*(1+'MODEL Product Introduction'!$H177)</f>
        <v>110.00000000000001</v>
      </c>
      <c r="FU252" s="12">
        <f>SUMPRODUCT('MODEL Product Introduction'!$C177:$F177,'MODEL Product Introduction'!$D$90:$G$90)</f>
        <v>17368429.70681357</v>
      </c>
      <c r="FV252" s="12">
        <f>SUMPRODUCT('MODEL Product Introduction'!$C177:$F177,'MODEL Product Introduction'!$D$91:$G$91)</f>
        <v>13453262.157341298</v>
      </c>
      <c r="FW252" s="12">
        <f>'MODEL Product Introduction'!$J177-'MODEL Product Introduction'!$K177</f>
        <v>-365096.44831006229</v>
      </c>
      <c r="FX252" s="12">
        <f>SUM('MODEL Product Introduction'!$C177:$F177)*10+'MODEL Product Introduction'!$I177*'MODEL Product Introduction'!$C177</f>
        <v>2158202.2701818892</v>
      </c>
      <c r="FY252" s="12">
        <f t="shared" si="37"/>
        <v>-2523298.7184919515</v>
      </c>
      <c r="FZ252" s="12">
        <f>'MODEL Product Introduction'!$N177+'MODEL Product Introduction'!$O176</f>
        <v>-74176900.801529109</v>
      </c>
    </row>
    <row r="253" spans="90:182" ht="13.5" thickBot="1">
      <c r="CL253" s="814">
        <f t="shared" si="29"/>
        <v>1.4999999999999999E-2</v>
      </c>
      <c r="CM253" s="814">
        <f t="shared" si="38"/>
        <v>0</v>
      </c>
      <c r="CN253" s="814">
        <f t="shared" si="39"/>
        <v>1.4999999999999999E-2</v>
      </c>
      <c r="CO253" s="814"/>
      <c r="CP253" s="814"/>
      <c r="CQ253" s="814">
        <f t="shared" si="30"/>
        <v>1.4999999999999999E-2</v>
      </c>
      <c r="CR253" s="814">
        <f t="shared" si="31"/>
        <v>0</v>
      </c>
      <c r="CS253" s="814">
        <f t="shared" si="32"/>
        <v>0</v>
      </c>
      <c r="CT253" s="814">
        <f t="shared" si="33"/>
        <v>1.4999999999999999E-2</v>
      </c>
      <c r="CU253" s="814">
        <f t="shared" si="34"/>
        <v>0</v>
      </c>
      <c r="CV253" s="814">
        <f t="shared" si="35"/>
        <v>0</v>
      </c>
      <c r="CW253" s="814">
        <f t="shared" si="36"/>
        <v>1.4999999999999999E-2</v>
      </c>
      <c r="CX253" s="814"/>
      <c r="FA253" s="763">
        <f>'MODEL Product Introduction'!D178</f>
        <v>5684.447933201116</v>
      </c>
      <c r="FB253" s="763">
        <f>'MODEL Product Introduction'!E178</f>
        <v>7308.5759141157214</v>
      </c>
      <c r="FC253" s="763">
        <f>'MODEL Product Introduction'!F178</f>
        <v>114744.62462842661</v>
      </c>
      <c r="FF253" s="763">
        <f>'MODEL Product Introduction'!I178</f>
        <v>100.1</v>
      </c>
      <c r="FG253" s="763">
        <f>'MODEL Product Introduction'!J178</f>
        <v>12404478.8986168</v>
      </c>
      <c r="FH253" s="763">
        <f>'MODEL Product Introduction'!K178</f>
        <v>12773764.847574346</v>
      </c>
      <c r="FI253" s="763">
        <f>'MODEL Product Introduction'!L178</f>
        <v>-369285.94895754568</v>
      </c>
      <c r="FJ253" s="763">
        <f>'MODEL Product Introduction'!M178</f>
        <v>1359795.3477936219</v>
      </c>
      <c r="FK253" s="763">
        <f>'MODEL Product Introduction'!N178</f>
        <v>-1729081.2967511676</v>
      </c>
      <c r="FL253" s="763">
        <f>'MODEL Product Introduction'!O178</f>
        <v>-75905982.098280281</v>
      </c>
      <c r="FO253" s="5">
        <f>'MODEL Product Introduction'!$C177*(1-'MODEL Product Introduction'!$E$92)</f>
        <v>5684.447933201116</v>
      </c>
      <c r="FP253" s="5">
        <f>'MODEL Product Introduction'!$D177*(1-'MODEL Product Introduction'!$F$92)</f>
        <v>5065.3496434465396</v>
      </c>
      <c r="FQ253" s="5">
        <f>('MODEL Product Introduction'!$E177+'MODEL Product Introduction'!$F177)*(1-'MODEL Product Introduction'!$G$92)</f>
        <v>114744.62462842661</v>
      </c>
      <c r="FR253" s="605"/>
      <c r="FS253" s="606"/>
      <c r="FT253" s="12">
        <f>'MODEL Product Introduction'!$G178*(1+'MODEL Product Introduction'!$H178)</f>
        <v>110.00000000000001</v>
      </c>
      <c r="FU253" s="12">
        <f>SUMPRODUCT('MODEL Product Introduction'!$C178:$F178,'MODEL Product Introduction'!$D$90:$G$90)</f>
        <v>17550730.582511816</v>
      </c>
      <c r="FV253" s="12">
        <f>SUMPRODUCT('MODEL Product Introduction'!$C178:$F178,'MODEL Product Introduction'!$D$91:$G$91)</f>
        <v>13593949.477936219</v>
      </c>
      <c r="FW253" s="12">
        <f>'MODEL Product Introduction'!$J178-'MODEL Product Introduction'!$K178</f>
        <v>-369285.94895754568</v>
      </c>
      <c r="FX253" s="12">
        <f>SUM('MODEL Product Introduction'!$C178:$F178)*10+'MODEL Product Introduction'!$I178*'MODEL Product Introduction'!$C178</f>
        <v>2180399.7627858594</v>
      </c>
      <c r="FY253" s="12">
        <f t="shared" si="37"/>
        <v>-2549685.7117434051</v>
      </c>
      <c r="FZ253" s="12">
        <f>'MODEL Product Introduction'!$N178+'MODEL Product Introduction'!$O177</f>
        <v>-75905982.098280281</v>
      </c>
    </row>
    <row r="254" spans="90:182" ht="13.5" thickBot="1">
      <c r="CL254" s="814">
        <f t="shared" si="29"/>
        <v>1.4999999999999999E-2</v>
      </c>
      <c r="CM254" s="814">
        <f t="shared" si="38"/>
        <v>0</v>
      </c>
      <c r="CN254" s="814">
        <f t="shared" si="39"/>
        <v>1.4999999999999999E-2</v>
      </c>
      <c r="CO254" s="814"/>
      <c r="CP254" s="814"/>
      <c r="CQ254" s="814">
        <f t="shared" si="30"/>
        <v>1.4999999999999999E-2</v>
      </c>
      <c r="CR254" s="814">
        <f t="shared" si="31"/>
        <v>0</v>
      </c>
      <c r="CS254" s="814">
        <f t="shared" si="32"/>
        <v>0</v>
      </c>
      <c r="CT254" s="814">
        <f t="shared" si="33"/>
        <v>1.4999999999999999E-2</v>
      </c>
      <c r="CU254" s="814">
        <f t="shared" si="34"/>
        <v>0</v>
      </c>
      <c r="CV254" s="814">
        <f t="shared" si="35"/>
        <v>0</v>
      </c>
      <c r="CW254" s="814">
        <f t="shared" si="36"/>
        <v>1.4999999999999999E-2</v>
      </c>
      <c r="CX254" s="814"/>
      <c r="FA254" s="763">
        <f>'MODEL Product Introduction'!D179</f>
        <v>5741.2924125331265</v>
      </c>
      <c r="FB254" s="763">
        <f>'MODEL Product Introduction'!E179</f>
        <v>7381.6616732568782</v>
      </c>
      <c r="FC254" s="763">
        <f>'MODEL Product Introduction'!F179</f>
        <v>115950.54051541521</v>
      </c>
      <c r="FF254" s="763">
        <f>'MODEL Product Introduction'!I179</f>
        <v>110.1</v>
      </c>
      <c r="FG254" s="763">
        <f>'MODEL Product Introduction'!J179</f>
        <v>12533859.042317238</v>
      </c>
      <c r="FH254" s="763">
        <f>'MODEL Product Introduction'!K179</f>
        <v>12907349.460120521</v>
      </c>
      <c r="FI254" s="763">
        <f>'MODEL Product Introduction'!L179</f>
        <v>-373490.41780328378</v>
      </c>
      <c r="FJ254" s="763">
        <f>'MODEL Product Introduction'!M179</f>
        <v>1374013.9936786015</v>
      </c>
      <c r="FK254" s="763">
        <f>'MODEL Product Introduction'!N179</f>
        <v>-1747504.4114818852</v>
      </c>
      <c r="FL254" s="763">
        <f>'MODEL Product Introduction'!O179</f>
        <v>-77653486.509762168</v>
      </c>
      <c r="FO254" s="5">
        <f>'MODEL Product Introduction'!$C178*(1-'MODEL Product Introduction'!$E$92)</f>
        <v>5741.2924125331265</v>
      </c>
      <c r="FP254" s="5">
        <f>'MODEL Product Introduction'!$D178*(1-'MODEL Product Introduction'!$F$92)</f>
        <v>5116.0031398810042</v>
      </c>
      <c r="FQ254" s="5">
        <f>('MODEL Product Introduction'!$E178+'MODEL Product Introduction'!$F178)*(1-'MODEL Product Introduction'!$G$92)</f>
        <v>115950.54051541521</v>
      </c>
      <c r="FR254" s="605"/>
      <c r="FS254" s="606"/>
      <c r="FT254" s="12">
        <f>'MODEL Product Introduction'!$G179*(1+'MODEL Product Introduction'!$H179)</f>
        <v>121.00000000000001</v>
      </c>
      <c r="FU254" s="12">
        <f>SUMPRODUCT('MODEL Product Introduction'!$C179:$F179,'MODEL Product Introduction'!$D$90:$G$90)</f>
        <v>17734423.638035543</v>
      </c>
      <c r="FV254" s="12">
        <f>SUMPRODUCT('MODEL Product Introduction'!$C179:$F179,'MODEL Product Introduction'!$D$91:$G$91)</f>
        <v>13735735.936786015</v>
      </c>
      <c r="FW254" s="12">
        <f>'MODEL Product Introduction'!$J179-'MODEL Product Introduction'!$K179</f>
        <v>-373490.41780328378</v>
      </c>
      <c r="FX254" s="12">
        <f>SUM('MODEL Product Introduction'!$C179:$F179)*10+'MODEL Product Introduction'!$I179*'MODEL Product Introduction'!$C179</f>
        <v>2285627.1044873102</v>
      </c>
      <c r="FY254" s="12">
        <f t="shared" si="37"/>
        <v>-2659117.5222905939</v>
      </c>
      <c r="FZ254" s="12">
        <f>'MODEL Product Introduction'!$N179+'MODEL Product Introduction'!$O178</f>
        <v>-77653486.509762168</v>
      </c>
    </row>
    <row r="255" spans="90:182" ht="13.5" thickBot="1">
      <c r="CL255" s="814">
        <f t="shared" si="29"/>
        <v>1.4999999999999999E-2</v>
      </c>
      <c r="CM255" s="814">
        <f t="shared" si="38"/>
        <v>0</v>
      </c>
      <c r="CN255" s="814">
        <f t="shared" si="39"/>
        <v>1.4999999999999999E-2</v>
      </c>
      <c r="CO255" s="814"/>
      <c r="CP255" s="814"/>
      <c r="CQ255" s="814">
        <f t="shared" si="30"/>
        <v>1.4999999999999999E-2</v>
      </c>
      <c r="CR255" s="814">
        <f t="shared" si="31"/>
        <v>0</v>
      </c>
      <c r="CS255" s="814">
        <f t="shared" si="32"/>
        <v>0</v>
      </c>
      <c r="CT255" s="814">
        <f t="shared" si="33"/>
        <v>1.4999999999999999E-2</v>
      </c>
      <c r="CU255" s="814">
        <f t="shared" si="34"/>
        <v>0</v>
      </c>
      <c r="CV255" s="814">
        <f t="shared" si="35"/>
        <v>0</v>
      </c>
      <c r="CW255" s="814">
        <f t="shared" si="36"/>
        <v>1.4999999999999999E-2</v>
      </c>
      <c r="CX255" s="814"/>
      <c r="FA255" s="763">
        <f>'MODEL Product Introduction'!D180</f>
        <v>5798.7053366584578</v>
      </c>
      <c r="FB255" s="763">
        <f>'MODEL Product Introduction'!E180</f>
        <v>7455.4782899894462</v>
      </c>
      <c r="FC255" s="763">
        <f>'MODEL Product Introduction'!F180</f>
        <v>117165.59207923849</v>
      </c>
      <c r="FF255" s="763">
        <f>'MODEL Product Introduction'!I180</f>
        <v>110.1</v>
      </c>
      <c r="FG255" s="763">
        <f>'MODEL Product Introduction'!J180</f>
        <v>12664266.21971897</v>
      </c>
      <c r="FH255" s="763">
        <f>'MODEL Product Introduction'!K180</f>
        <v>13041977.570588639</v>
      </c>
      <c r="FI255" s="763">
        <f>'MODEL Product Introduction'!L180</f>
        <v>-377711.35086966865</v>
      </c>
      <c r="FJ255" s="763">
        <f>'MODEL Product Introduction'!M180</f>
        <v>1388305.1912020789</v>
      </c>
      <c r="FK255" s="763">
        <f>'MODEL Product Introduction'!N180</f>
        <v>-1766016.5420717476</v>
      </c>
      <c r="FL255" s="763">
        <f>'MODEL Product Introduction'!O180</f>
        <v>-79419503.051833913</v>
      </c>
      <c r="FO255" s="5">
        <f>'MODEL Product Introduction'!$C179*(1-'MODEL Product Introduction'!$E$92)</f>
        <v>5798.7053366584578</v>
      </c>
      <c r="FP255" s="5">
        <f>'MODEL Product Introduction'!$D179*(1-'MODEL Product Introduction'!$F$92)</f>
        <v>5167.1631712798144</v>
      </c>
      <c r="FQ255" s="5">
        <f>('MODEL Product Introduction'!$E179+'MODEL Product Introduction'!$F179)*(1-'MODEL Product Introduction'!$G$92)</f>
        <v>117165.59207923849</v>
      </c>
      <c r="FR255" s="605"/>
      <c r="FS255" s="606"/>
      <c r="FT255" s="12">
        <f>'MODEL Product Introduction'!$G180*(1+'MODEL Product Introduction'!$H180)</f>
        <v>121.00000000000001</v>
      </c>
      <c r="FU255" s="12">
        <f>SUMPRODUCT('MODEL Product Introduction'!$C180:$F180,'MODEL Product Introduction'!$D$90:$G$90)</f>
        <v>17919544.336629573</v>
      </c>
      <c r="FV255" s="12">
        <f>SUMPRODUCT('MODEL Product Introduction'!$C180:$F180,'MODEL Product Introduction'!$D$91:$G$91)</f>
        <v>13878647.912020788</v>
      </c>
      <c r="FW255" s="12">
        <f>'MODEL Product Introduction'!$J180-'MODEL Product Introduction'!$K180</f>
        <v>-377711.35086966865</v>
      </c>
      <c r="FX255" s="12">
        <f>SUM('MODEL Product Introduction'!$C180:$F180)*10+'MODEL Product Introduction'!$I180*'MODEL Product Introduction'!$C180</f>
        <v>2309038.8371188752</v>
      </c>
      <c r="FY255" s="12">
        <f t="shared" si="37"/>
        <v>-2686750.1879885439</v>
      </c>
      <c r="FZ255" s="12">
        <f>'MODEL Product Introduction'!$N180+'MODEL Product Introduction'!$O179</f>
        <v>-79419503.051833913</v>
      </c>
    </row>
    <row r="256" spans="90:182" ht="13.5" thickBot="1">
      <c r="CL256" s="814">
        <f t="shared" si="29"/>
        <v>1.4999999999999999E-2</v>
      </c>
      <c r="CM256" s="814">
        <f t="shared" si="38"/>
        <v>0</v>
      </c>
      <c r="CN256" s="814">
        <f t="shared" si="39"/>
        <v>1.4999999999999999E-2</v>
      </c>
      <c r="CO256" s="814"/>
      <c r="CP256" s="814"/>
      <c r="CQ256" s="814">
        <f t="shared" si="30"/>
        <v>1.4999999999999999E-2</v>
      </c>
      <c r="CR256" s="814">
        <f t="shared" si="31"/>
        <v>0</v>
      </c>
      <c r="CS256" s="814">
        <f t="shared" si="32"/>
        <v>0</v>
      </c>
      <c r="CT256" s="814">
        <f t="shared" si="33"/>
        <v>1.4999999999999999E-2</v>
      </c>
      <c r="CU256" s="814">
        <f t="shared" si="34"/>
        <v>0</v>
      </c>
      <c r="CV256" s="814">
        <f t="shared" si="35"/>
        <v>0</v>
      </c>
      <c r="CW256" s="814">
        <f t="shared" si="36"/>
        <v>1.4999999999999999E-2</v>
      </c>
      <c r="CX256" s="814"/>
      <c r="FA256" s="763">
        <f>'MODEL Product Introduction'!D181</f>
        <v>5856.6923900250422</v>
      </c>
      <c r="FB256" s="763">
        <f>'MODEL Product Introduction'!E181</f>
        <v>7530.0330728893405</v>
      </c>
      <c r="FC256" s="763">
        <f>'MODEL Product Introduction'!F181</f>
        <v>118390.01685076654</v>
      </c>
      <c r="FF256" s="763">
        <f>'MODEL Product Introduction'!I181</f>
        <v>150.1</v>
      </c>
      <c r="FG256" s="763">
        <f>'MODEL Product Introduction'!J181</f>
        <v>12795724.039545789</v>
      </c>
      <c r="FH256" s="763">
        <f>'MODEL Product Introduction'!K181</f>
        <v>13177674.231368091</v>
      </c>
      <c r="FI256" s="763">
        <f>'MODEL Product Introduction'!L181</f>
        <v>-381950.1918223016</v>
      </c>
      <c r="FJ256" s="763">
        <f>'MODEL Product Introduction'!M181</f>
        <v>1402871.5276214564</v>
      </c>
      <c r="FK256" s="763">
        <f>'MODEL Product Introduction'!N181</f>
        <v>-1784821.719443758</v>
      </c>
      <c r="FL256" s="763">
        <f>'MODEL Product Introduction'!O181</f>
        <v>-81204324.771277666</v>
      </c>
      <c r="FO256" s="5">
        <f>'MODEL Product Introduction'!$C180*(1-'MODEL Product Introduction'!$E$92)</f>
        <v>5856.6923900250422</v>
      </c>
      <c r="FP256" s="5">
        <f>'MODEL Product Introduction'!$D180*(1-'MODEL Product Introduction'!$F$92)</f>
        <v>5218.8348029926119</v>
      </c>
      <c r="FQ256" s="5">
        <f>('MODEL Product Introduction'!$E180+'MODEL Product Introduction'!$F180)*(1-'MODEL Product Introduction'!$G$92)</f>
        <v>118390.01685076654</v>
      </c>
      <c r="FR256" s="605"/>
      <c r="FS256" s="606"/>
      <c r="FT256" s="12">
        <f>'MODEL Product Introduction'!$G181*(1+'MODEL Product Introduction'!$H181)</f>
        <v>165</v>
      </c>
      <c r="FU256" s="12">
        <f>SUMPRODUCT('MODEL Product Introduction'!$C181:$F181,'MODEL Product Introduction'!$D$90:$G$90)</f>
        <v>18106127.419098865</v>
      </c>
      <c r="FV256" s="12">
        <f>SUMPRODUCT('MODEL Product Introduction'!$C181:$F181,'MODEL Product Introduction'!$D$91:$G$91)</f>
        <v>14022711.276214562</v>
      </c>
      <c r="FW256" s="12">
        <f>'MODEL Product Introduction'!$J181-'MODEL Product Introduction'!$K181</f>
        <v>-381950.1918223016</v>
      </c>
      <c r="FX256" s="12">
        <f>SUM('MODEL Product Introduction'!$C181:$F181)*10+'MODEL Product Introduction'!$I181*'MODEL Product Introduction'!$C181</f>
        <v>2670671.7319360087</v>
      </c>
      <c r="FY256" s="12">
        <f t="shared" si="37"/>
        <v>-3052621.9237583103</v>
      </c>
      <c r="FZ256" s="12">
        <f>'MODEL Product Introduction'!$N181+'MODEL Product Introduction'!$O180</f>
        <v>-81204324.771277666</v>
      </c>
    </row>
    <row r="257" spans="90:182" ht="13.5" thickBot="1">
      <c r="CL257" s="814">
        <f t="shared" si="29"/>
        <v>1.4999999999999999E-2</v>
      </c>
      <c r="CM257" s="814">
        <f t="shared" si="38"/>
        <v>0</v>
      </c>
      <c r="CN257" s="814">
        <f t="shared" si="39"/>
        <v>1.4999999999999999E-2</v>
      </c>
      <c r="CO257" s="814"/>
      <c r="CP257" s="814"/>
      <c r="CQ257" s="814">
        <f t="shared" si="30"/>
        <v>1.4999999999999999E-2</v>
      </c>
      <c r="CR257" s="814">
        <f t="shared" si="31"/>
        <v>0</v>
      </c>
      <c r="CS257" s="814">
        <f t="shared" si="32"/>
        <v>0</v>
      </c>
      <c r="CT257" s="814">
        <f t="shared" si="33"/>
        <v>1.4999999999999999E-2</v>
      </c>
      <c r="CU257" s="814">
        <f t="shared" si="34"/>
        <v>0</v>
      </c>
      <c r="CV257" s="814">
        <f t="shared" si="35"/>
        <v>0</v>
      </c>
      <c r="CW257" s="814">
        <f t="shared" si="36"/>
        <v>1.4999999999999999E-2</v>
      </c>
      <c r="CX257" s="814"/>
      <c r="FA257" s="763">
        <f>'MODEL Product Introduction'!D182</f>
        <v>5915.2593139252922</v>
      </c>
      <c r="FB257" s="763">
        <f>'MODEL Product Introduction'!E182</f>
        <v>7605.3334036182341</v>
      </c>
      <c r="FC257" s="763">
        <f>'MODEL Product Introduction'!F182</f>
        <v>119624.04742747308</v>
      </c>
      <c r="FF257" s="763">
        <f>'MODEL Product Introduction'!I182</f>
        <v>100.1</v>
      </c>
      <c r="FG257" s="763">
        <f>'MODEL Product Introduction'!J182</f>
        <v>12928255.679689394</v>
      </c>
      <c r="FH257" s="763">
        <f>'MODEL Product Introduction'!K182</f>
        <v>13314464.014501661</v>
      </c>
      <c r="FI257" s="763">
        <f>'MODEL Product Introduction'!L182</f>
        <v>-386208.33481226675</v>
      </c>
      <c r="FJ257" s="763">
        <f>'MODEL Product Introduction'!M182</f>
        <v>1417195.5429796595</v>
      </c>
      <c r="FK257" s="763">
        <f>'MODEL Product Introduction'!N182</f>
        <v>-1803403.8777919263</v>
      </c>
      <c r="FL257" s="763">
        <f>'MODEL Product Introduction'!O182</f>
        <v>-83007728.649069592</v>
      </c>
      <c r="FO257" s="5">
        <f>'MODEL Product Introduction'!$C181*(1-'MODEL Product Introduction'!$E$92)</f>
        <v>5915.2593139252922</v>
      </c>
      <c r="FP257" s="5">
        <f>'MODEL Product Introduction'!$D181*(1-'MODEL Product Introduction'!$F$92)</f>
        <v>5271.0231510225385</v>
      </c>
      <c r="FQ257" s="5">
        <f>('MODEL Product Introduction'!$E181+'MODEL Product Introduction'!$F181)*(1-'MODEL Product Introduction'!$G$92)</f>
        <v>119624.04742747308</v>
      </c>
      <c r="FR257" s="605"/>
      <c r="FS257" s="606"/>
      <c r="FT257" s="12">
        <f>'MODEL Product Introduction'!$G182*(1+'MODEL Product Introduction'!$H182)</f>
        <v>110.00000000000001</v>
      </c>
      <c r="FU257" s="12">
        <f>SUMPRODUCT('MODEL Product Introduction'!$C182:$F182,'MODEL Product Introduction'!$D$90:$G$90)</f>
        <v>18294206.950437695</v>
      </c>
      <c r="FV257" s="12">
        <f>SUMPRODUCT('MODEL Product Introduction'!$C182:$F182,'MODEL Product Introduction'!$D$91:$G$91)</f>
        <v>14167951.429796597</v>
      </c>
      <c r="FW257" s="12">
        <f>'MODEL Product Introduction'!$J182-'MODEL Product Introduction'!$K182</f>
        <v>-386208.33481226675</v>
      </c>
      <c r="FX257" s="12">
        <f>SUM('MODEL Product Introduction'!$C182:$F182)*10+'MODEL Product Introduction'!$I182*'MODEL Product Introduction'!$C182</f>
        <v>2271136.0456898897</v>
      </c>
      <c r="FY257" s="12">
        <f t="shared" si="37"/>
        <v>-2657344.3805021564</v>
      </c>
      <c r="FZ257" s="12">
        <f>'MODEL Product Introduction'!$N182+'MODEL Product Introduction'!$O181</f>
        <v>-83007728.649069592</v>
      </c>
    </row>
    <row r="258" spans="90:182" ht="13.5" thickBot="1">
      <c r="CL258" s="814">
        <f t="shared" si="29"/>
        <v>1.4999999999999999E-2</v>
      </c>
      <c r="CM258" s="814">
        <f t="shared" si="38"/>
        <v>0</v>
      </c>
      <c r="CN258" s="814">
        <f t="shared" si="39"/>
        <v>1.4999999999999999E-2</v>
      </c>
      <c r="CO258" s="814"/>
      <c r="CP258" s="814"/>
      <c r="CQ258" s="814">
        <f t="shared" si="30"/>
        <v>1.4999999999999999E-2</v>
      </c>
      <c r="CR258" s="814">
        <f t="shared" si="31"/>
        <v>0</v>
      </c>
      <c r="CS258" s="814">
        <f t="shared" si="32"/>
        <v>0</v>
      </c>
      <c r="CT258" s="814">
        <f t="shared" si="33"/>
        <v>1.4999999999999999E-2</v>
      </c>
      <c r="CU258" s="814">
        <f t="shared" si="34"/>
        <v>0</v>
      </c>
      <c r="CV258" s="814">
        <f t="shared" si="35"/>
        <v>0</v>
      </c>
      <c r="CW258" s="814">
        <f t="shared" si="36"/>
        <v>1.4999999999999999E-2</v>
      </c>
      <c r="CX258" s="814"/>
      <c r="FA258" s="763">
        <f>'MODEL Product Introduction'!D183</f>
        <v>5974.4119070645456</v>
      </c>
      <c r="FB258" s="763">
        <f>'MODEL Product Introduction'!E183</f>
        <v>7681.3867376544158</v>
      </c>
      <c r="FC258" s="763">
        <f>'MODEL Product Introduction'!F183</f>
        <v>120867.91178953674</v>
      </c>
      <c r="FF258" s="763">
        <f>'MODEL Product Introduction'!I183</f>
        <v>100.1</v>
      </c>
      <c r="FG258" s="763">
        <f>'MODEL Product Introduction'!J183</f>
        <v>13061883.916247027</v>
      </c>
      <c r="FH258" s="763">
        <f>'MODEL Product Introduction'!K183</f>
        <v>13452371.043425571</v>
      </c>
      <c r="FI258" s="763">
        <f>'MODEL Product Introduction'!L183</f>
        <v>-390487.12717854418</v>
      </c>
      <c r="FJ258" s="763">
        <f>'MODEL Product Introduction'!M183</f>
        <v>1431839.7332873452</v>
      </c>
      <c r="FK258" s="763">
        <f>'MODEL Product Introduction'!N183</f>
        <v>-1822326.8604658893</v>
      </c>
      <c r="FL258" s="763">
        <f>'MODEL Product Introduction'!O183</f>
        <v>-84830055.509535477</v>
      </c>
      <c r="FO258" s="5">
        <f>'MODEL Product Introduction'!$C182*(1-'MODEL Product Introduction'!$E$92)</f>
        <v>5974.4119070645456</v>
      </c>
      <c r="FP258" s="5">
        <f>'MODEL Product Introduction'!$D182*(1-'MODEL Product Introduction'!$F$92)</f>
        <v>5323.7333825327632</v>
      </c>
      <c r="FQ258" s="5">
        <f>('MODEL Product Introduction'!$E182+'MODEL Product Introduction'!$F182)*(1-'MODEL Product Introduction'!$G$92)</f>
        <v>120867.91178953674</v>
      </c>
      <c r="FR258" s="605"/>
      <c r="FS258" s="606"/>
      <c r="FT258" s="12">
        <f>'MODEL Product Introduction'!$G183*(1+'MODEL Product Introduction'!$H183)</f>
        <v>110.00000000000001</v>
      </c>
      <c r="FU258" s="12">
        <f>SUMPRODUCT('MODEL Product Introduction'!$C183:$F183,'MODEL Product Introduction'!$D$90:$G$90)</f>
        <v>18483816.364232522</v>
      </c>
      <c r="FV258" s="12">
        <f>SUMPRODUCT('MODEL Product Introduction'!$C183:$F183,'MODEL Product Introduction'!$D$91:$G$91)</f>
        <v>14314393.332873454</v>
      </c>
      <c r="FW258" s="12">
        <f>'MODEL Product Introduction'!$J183-'MODEL Product Introduction'!$K183</f>
        <v>-390487.12717854418</v>
      </c>
      <c r="FX258" s="12">
        <f>SUM('MODEL Product Introduction'!$C183:$F183)*10+'MODEL Product Introduction'!$I183*'MODEL Product Introduction'!$C183</f>
        <v>2294323.6450246777</v>
      </c>
      <c r="FY258" s="12">
        <f t="shared" si="37"/>
        <v>-2684810.7722032219</v>
      </c>
      <c r="FZ258" s="12">
        <f>'MODEL Product Introduction'!$N183+'MODEL Product Introduction'!$O182</f>
        <v>-84830055.509535477</v>
      </c>
    </row>
    <row r="259" spans="90:182" ht="13.5" thickBot="1">
      <c r="CL259" s="814">
        <f t="shared" si="29"/>
        <v>1.4999999999999999E-2</v>
      </c>
      <c r="CM259" s="814">
        <f t="shared" si="38"/>
        <v>0</v>
      </c>
      <c r="CN259" s="814">
        <f t="shared" si="39"/>
        <v>1.4999999999999999E-2</v>
      </c>
      <c r="CO259" s="814"/>
      <c r="CP259" s="814"/>
      <c r="CQ259" s="814">
        <f t="shared" si="30"/>
        <v>1.4999999999999999E-2</v>
      </c>
      <c r="CR259" s="814">
        <f t="shared" si="31"/>
        <v>0</v>
      </c>
      <c r="CS259" s="814">
        <f t="shared" si="32"/>
        <v>0</v>
      </c>
      <c r="CT259" s="814">
        <f t="shared" si="33"/>
        <v>1.4999999999999999E-2</v>
      </c>
      <c r="CU259" s="814">
        <f t="shared" si="34"/>
        <v>0</v>
      </c>
      <c r="CV259" s="814">
        <f t="shared" si="35"/>
        <v>0</v>
      </c>
      <c r="CW259" s="814">
        <f t="shared" si="36"/>
        <v>1.4999999999999999E-2</v>
      </c>
      <c r="CX259" s="814"/>
      <c r="FA259" s="763">
        <f>'MODEL Product Introduction'!D184</f>
        <v>6034.1560261351906</v>
      </c>
      <c r="FB259" s="763">
        <f>'MODEL Product Introduction'!E184</f>
        <v>7758.2006050309601</v>
      </c>
      <c r="FC259" s="763">
        <f>'MODEL Product Introduction'!F184</f>
        <v>122121.8336008316</v>
      </c>
      <c r="FF259" s="763">
        <f>'MODEL Product Introduction'!I184</f>
        <v>100.1</v>
      </c>
      <c r="FG259" s="763">
        <f>'MODEL Product Introduction'!J184</f>
        <v>13196631.151182201</v>
      </c>
      <c r="FH259" s="763">
        <f>'MODEL Product Introduction'!K184</f>
        <v>13591419.023199774</v>
      </c>
      <c r="FI259" s="763">
        <f>'MODEL Product Introduction'!L184</f>
        <v>-394787.87201757357</v>
      </c>
      <c r="FJ259" s="763">
        <f>'MODEL Product Introduction'!M184</f>
        <v>1446606.5535542136</v>
      </c>
      <c r="FK259" s="763">
        <f>'MODEL Product Introduction'!N184</f>
        <v>-1841394.4255717872</v>
      </c>
      <c r="FL259" s="763">
        <f>'MODEL Product Introduction'!O184</f>
        <v>-86671449.935107261</v>
      </c>
      <c r="FO259" s="5">
        <f>'MODEL Product Introduction'!$C183*(1-'MODEL Product Introduction'!$E$92)</f>
        <v>6034.1560261351906</v>
      </c>
      <c r="FP259" s="5">
        <f>'MODEL Product Introduction'!$D183*(1-'MODEL Product Introduction'!$F$92)</f>
        <v>5376.9707163580915</v>
      </c>
      <c r="FQ259" s="5">
        <f>('MODEL Product Introduction'!$E183+'MODEL Product Introduction'!$F183)*(1-'MODEL Product Introduction'!$G$92)</f>
        <v>122121.8336008316</v>
      </c>
      <c r="FR259" s="605"/>
      <c r="FS259" s="606"/>
      <c r="FT259" s="12">
        <f>'MODEL Product Introduction'!$G184*(1+'MODEL Product Introduction'!$H184)</f>
        <v>110.00000000000001</v>
      </c>
      <c r="FU259" s="12">
        <f>SUMPRODUCT('MODEL Product Introduction'!$C184:$F184,'MODEL Product Introduction'!$D$90:$G$90)</f>
        <v>18674988.504950777</v>
      </c>
      <c r="FV259" s="12">
        <f>SUMPRODUCT('MODEL Product Introduction'!$C184:$F184,'MODEL Product Introduction'!$D$91:$G$91)</f>
        <v>14462061.535542138</v>
      </c>
      <c r="FW259" s="12">
        <f>'MODEL Product Introduction'!$J184-'MODEL Product Introduction'!$K184</f>
        <v>-394787.87201757357</v>
      </c>
      <c r="FX259" s="12">
        <f>SUM('MODEL Product Introduction'!$C184:$F184)*10+'MODEL Product Introduction'!$I184*'MODEL Product Introduction'!$C184</f>
        <v>2317719.3084089193</v>
      </c>
      <c r="FY259" s="12">
        <f t="shared" si="37"/>
        <v>-2712507.1804264928</v>
      </c>
      <c r="FZ259" s="12">
        <f>'MODEL Product Introduction'!$N184+'MODEL Product Introduction'!$O183</f>
        <v>-86671449.935107261</v>
      </c>
    </row>
    <row r="260" spans="90:182" ht="13.5" thickBot="1">
      <c r="CL260" s="814">
        <f t="shared" si="29"/>
        <v>1.4999999999999999E-2</v>
      </c>
      <c r="CM260" s="814">
        <f t="shared" si="38"/>
        <v>0</v>
      </c>
      <c r="CN260" s="814">
        <f t="shared" si="39"/>
        <v>1.4999999999999999E-2</v>
      </c>
      <c r="CO260" s="814"/>
      <c r="CP260" s="814"/>
      <c r="CQ260" s="814">
        <f t="shared" si="30"/>
        <v>1.4999999999999999E-2</v>
      </c>
      <c r="CR260" s="814">
        <f t="shared" si="31"/>
        <v>0</v>
      </c>
      <c r="CS260" s="814">
        <f t="shared" si="32"/>
        <v>0</v>
      </c>
      <c r="CT260" s="814">
        <f t="shared" si="33"/>
        <v>1.4999999999999999E-2</v>
      </c>
      <c r="CU260" s="814">
        <f t="shared" si="34"/>
        <v>0</v>
      </c>
      <c r="CV260" s="814">
        <f t="shared" si="35"/>
        <v>0</v>
      </c>
      <c r="CW260" s="814">
        <f t="shared" si="36"/>
        <v>1.4999999999999999E-2</v>
      </c>
      <c r="CX260" s="814"/>
      <c r="FA260" s="763">
        <f>'MODEL Product Introduction'!D185</f>
        <v>6094.4975863965428</v>
      </c>
      <c r="FB260" s="763">
        <f>'MODEL Product Introduction'!E185</f>
        <v>7835.7826110812694</v>
      </c>
      <c r="FC260" s="763">
        <f>'MODEL Product Introduction'!F185</f>
        <v>123386.03249556942</v>
      </c>
      <c r="FF260" s="763">
        <f>'MODEL Product Introduction'!I185</f>
        <v>100.1</v>
      </c>
      <c r="FG260" s="763">
        <f>'MODEL Product Introduction'!J185</f>
        <v>13332519.438678091</v>
      </c>
      <c r="FH260" s="763">
        <f>'MODEL Product Introduction'!K185</f>
        <v>13731631.269304723</v>
      </c>
      <c r="FI260" s="763">
        <f>'MODEL Product Introduction'!L185</f>
        <v>-399111.83062663116</v>
      </c>
      <c r="FJ260" s="763">
        <f>'MODEL Product Introduction'!M185</f>
        <v>1461498.4206770509</v>
      </c>
      <c r="FK260" s="763">
        <f>'MODEL Product Introduction'!N185</f>
        <v>-1860610.2513036821</v>
      </c>
      <c r="FL260" s="763">
        <f>'MODEL Product Introduction'!O185</f>
        <v>-88532060.186410949</v>
      </c>
      <c r="FO260" s="5">
        <f>'MODEL Product Introduction'!$C184*(1-'MODEL Product Introduction'!$E$92)</f>
        <v>6094.4975863965428</v>
      </c>
      <c r="FP260" s="5">
        <f>'MODEL Product Introduction'!$D184*(1-'MODEL Product Introduction'!$F$92)</f>
        <v>5430.7404235216718</v>
      </c>
      <c r="FQ260" s="5">
        <f>('MODEL Product Introduction'!$E184+'MODEL Product Introduction'!$F184)*(1-'MODEL Product Introduction'!$G$92)</f>
        <v>123386.03249556942</v>
      </c>
      <c r="FR260" s="605"/>
      <c r="FS260" s="606"/>
      <c r="FT260" s="12">
        <f>'MODEL Product Introduction'!$G185*(1+'MODEL Product Introduction'!$H185)</f>
        <v>110.00000000000001</v>
      </c>
      <c r="FU260" s="12">
        <f>SUMPRODUCT('MODEL Product Introduction'!$C185:$F185,'MODEL Product Introduction'!$D$90:$G$90)</f>
        <v>18867755.668222412</v>
      </c>
      <c r="FV260" s="12">
        <f>SUMPRODUCT('MODEL Product Introduction'!$C185:$F185,'MODEL Product Introduction'!$D$91:$G$91)</f>
        <v>14610980.206770509</v>
      </c>
      <c r="FW260" s="12">
        <f>'MODEL Product Introduction'!$J185-'MODEL Product Introduction'!$K185</f>
        <v>-399111.83062663116</v>
      </c>
      <c r="FX260" s="12">
        <f>SUM('MODEL Product Introduction'!$C185:$F185)*10+'MODEL Product Introduction'!$I185*'MODEL Product Introduction'!$C185</f>
        <v>2341326.3070803038</v>
      </c>
      <c r="FY260" s="12">
        <f t="shared" si="37"/>
        <v>-2740438.1377069349</v>
      </c>
      <c r="FZ260" s="12">
        <f>'MODEL Product Introduction'!$N185+'MODEL Product Introduction'!$O184</f>
        <v>-88532060.186410949</v>
      </c>
    </row>
    <row r="261" spans="90:182" ht="13.5" thickBot="1">
      <c r="CL261" s="814">
        <f t="shared" si="29"/>
        <v>1.4999999999999999E-2</v>
      </c>
      <c r="CM261" s="814">
        <f t="shared" si="38"/>
        <v>0</v>
      </c>
      <c r="CN261" s="814">
        <f t="shared" si="39"/>
        <v>1.4999999999999999E-2</v>
      </c>
      <c r="CO261" s="814"/>
      <c r="CP261" s="814"/>
      <c r="CQ261" s="814">
        <f t="shared" si="30"/>
        <v>1.4999999999999999E-2</v>
      </c>
      <c r="CR261" s="814">
        <f t="shared" si="31"/>
        <v>0</v>
      </c>
      <c r="CS261" s="814">
        <f t="shared" si="32"/>
        <v>0</v>
      </c>
      <c r="CT261" s="814">
        <f t="shared" si="33"/>
        <v>1.4999999999999999E-2</v>
      </c>
      <c r="CU261" s="814">
        <f t="shared" si="34"/>
        <v>0</v>
      </c>
      <c r="CV261" s="814">
        <f t="shared" si="35"/>
        <v>0</v>
      </c>
      <c r="CW261" s="814">
        <f t="shared" si="36"/>
        <v>1.4999999999999999E-2</v>
      </c>
      <c r="CX261" s="814"/>
      <c r="FA261" s="763">
        <f>'MODEL Product Introduction'!D186</f>
        <v>6155.4425622605077</v>
      </c>
      <c r="FB261" s="763">
        <f>'MODEL Product Introduction'!E186</f>
        <v>7914.1404371920826</v>
      </c>
      <c r="FC261" s="763">
        <f>'MODEL Product Introduction'!F186</f>
        <v>124660.72435131816</v>
      </c>
      <c r="FF261" s="763">
        <f>'MODEL Product Introduction'!I186</f>
        <v>100.1</v>
      </c>
      <c r="FG261" s="763">
        <f>'MODEL Product Introduction'!J186</f>
        <v>13469570.510249738</v>
      </c>
      <c r="FH261" s="763">
        <f>'MODEL Product Introduction'!K186</f>
        <v>13873030.735077074</v>
      </c>
      <c r="FI261" s="763">
        <f>'MODEL Product Introduction'!L186</f>
        <v>-403460.22482733615</v>
      </c>
      <c r="FJ261" s="763">
        <f>'MODEL Product Introduction'!M186</f>
        <v>1476517.7161917519</v>
      </c>
      <c r="FK261" s="763">
        <f>'MODEL Product Introduction'!N186</f>
        <v>-1879977.941019088</v>
      </c>
      <c r="FL261" s="763">
        <f>'MODEL Product Introduction'!O186</f>
        <v>-90412038.127430037</v>
      </c>
      <c r="FO261" s="5">
        <f>'MODEL Product Introduction'!$C185*(1-'MODEL Product Introduction'!$E$92)</f>
        <v>6155.4425622605077</v>
      </c>
      <c r="FP261" s="5">
        <f>'MODEL Product Introduction'!$D185*(1-'MODEL Product Introduction'!$F$92)</f>
        <v>5485.0478277568891</v>
      </c>
      <c r="FQ261" s="5">
        <f>('MODEL Product Introduction'!$E185+'MODEL Product Introduction'!$F185)*(1-'MODEL Product Introduction'!$G$92)</f>
        <v>124660.72435131816</v>
      </c>
      <c r="FR261" s="605"/>
      <c r="FS261" s="606"/>
      <c r="FT261" s="12">
        <f>'MODEL Product Introduction'!$G186*(1+'MODEL Product Introduction'!$H186)</f>
        <v>110.00000000000001</v>
      </c>
      <c r="FU261" s="12">
        <f>SUMPRODUCT('MODEL Product Introduction'!$C186:$F186,'MODEL Product Introduction'!$D$90:$G$90)</f>
        <v>19062149.639215663</v>
      </c>
      <c r="FV261" s="12">
        <f>SUMPRODUCT('MODEL Product Introduction'!$C186:$F186,'MODEL Product Introduction'!$D$91:$G$91)</f>
        <v>14761173.161917521</v>
      </c>
      <c r="FW261" s="12">
        <f>'MODEL Product Introduction'!$J186-'MODEL Product Introduction'!$K186</f>
        <v>-403460.22482733615</v>
      </c>
      <c r="FX261" s="12">
        <f>SUM('MODEL Product Introduction'!$C186:$F186)*10+'MODEL Product Introduction'!$I186*'MODEL Product Introduction'!$C186</f>
        <v>2365147.885459037</v>
      </c>
      <c r="FY261" s="12">
        <f t="shared" si="37"/>
        <v>-2768608.1102863732</v>
      </c>
      <c r="FZ261" s="12">
        <f>'MODEL Product Introduction'!$N186+'MODEL Product Introduction'!$O185</f>
        <v>-90412038.127430037</v>
      </c>
    </row>
    <row r="262" spans="90:182" ht="13.5" thickBot="1">
      <c r="CL262" s="814">
        <f t="shared" si="29"/>
        <v>1.4999999999999999E-2</v>
      </c>
      <c r="CM262" s="814">
        <f t="shared" si="38"/>
        <v>0</v>
      </c>
      <c r="CN262" s="814">
        <f t="shared" si="39"/>
        <v>1.4999999999999999E-2</v>
      </c>
      <c r="CO262" s="814"/>
      <c r="CP262" s="814"/>
      <c r="CQ262" s="814">
        <f t="shared" si="30"/>
        <v>1.4999999999999999E-2</v>
      </c>
      <c r="CR262" s="814">
        <f t="shared" si="31"/>
        <v>0</v>
      </c>
      <c r="CS262" s="814">
        <f t="shared" si="32"/>
        <v>0</v>
      </c>
      <c r="CT262" s="814">
        <f t="shared" si="33"/>
        <v>1.4999999999999999E-2</v>
      </c>
      <c r="CU262" s="814">
        <f t="shared" si="34"/>
        <v>0</v>
      </c>
      <c r="CV262" s="814">
        <f t="shared" si="35"/>
        <v>0</v>
      </c>
      <c r="CW262" s="814">
        <f t="shared" si="36"/>
        <v>1.4999999999999999E-2</v>
      </c>
      <c r="CX262" s="814"/>
      <c r="FA262" s="763">
        <f>'MODEL Product Introduction'!D187</f>
        <v>6216.9969878831125</v>
      </c>
      <c r="FB262" s="763">
        <f>'MODEL Product Introduction'!E187</f>
        <v>7993.2818415640031</v>
      </c>
      <c r="FC262" s="763">
        <f>'MODEL Product Introduction'!F187</f>
        <v>125946.12154908474</v>
      </c>
      <c r="FF262" s="763">
        <f>'MODEL Product Introduction'!I187</f>
        <v>100.1</v>
      </c>
      <c r="FG262" s="763">
        <f>'MODEL Product Introduction'!J187</f>
        <v>13607805.798677858</v>
      </c>
      <c r="FH262" s="763">
        <f>'MODEL Product Introduction'!K187</f>
        <v>14015640.037853187</v>
      </c>
      <c r="FI262" s="763">
        <f>'MODEL Product Introduction'!L187</f>
        <v>-407834.23917532898</v>
      </c>
      <c r="FJ262" s="763">
        <f>'MODEL Product Introduction'!M187</f>
        <v>1491666.7888962033</v>
      </c>
      <c r="FK262" s="763">
        <f>'MODEL Product Introduction'!N187</f>
        <v>-1899501.0280715323</v>
      </c>
      <c r="FL262" s="763">
        <f>'MODEL Product Introduction'!O187</f>
        <v>-92311539.155501574</v>
      </c>
      <c r="FO262" s="5">
        <f>'MODEL Product Introduction'!$C186*(1-'MODEL Product Introduction'!$E$92)</f>
        <v>6216.9969878831125</v>
      </c>
      <c r="FP262" s="5">
        <f>'MODEL Product Introduction'!$D186*(1-'MODEL Product Introduction'!$F$92)</f>
        <v>5539.8983060344572</v>
      </c>
      <c r="FQ262" s="5">
        <f>('MODEL Product Introduction'!$E186+'MODEL Product Introduction'!$F186)*(1-'MODEL Product Introduction'!$G$92)</f>
        <v>125946.12154908474</v>
      </c>
      <c r="FR262" s="605"/>
      <c r="FS262" s="606"/>
      <c r="FT262" s="12">
        <f>'MODEL Product Introduction'!$G187*(1+'MODEL Product Introduction'!$H187)</f>
        <v>110.00000000000001</v>
      </c>
      <c r="FU262" s="12">
        <f>SUMPRODUCT('MODEL Product Introduction'!$C187:$F187,'MODEL Product Introduction'!$D$90:$G$90)</f>
        <v>19258201.729203295</v>
      </c>
      <c r="FV262" s="12">
        <f>SUMPRODUCT('MODEL Product Introduction'!$C187:$F187,'MODEL Product Introduction'!$D$91:$G$91)</f>
        <v>14912663.888962034</v>
      </c>
      <c r="FW262" s="12">
        <f>'MODEL Product Introduction'!$J187-'MODEL Product Introduction'!$K187</f>
        <v>-407834.23917532898</v>
      </c>
      <c r="FX262" s="12">
        <f>SUM('MODEL Product Introduction'!$C187:$F187)*10+'MODEL Product Introduction'!$I187*'MODEL Product Introduction'!$C187</f>
        <v>2389187.2638561614</v>
      </c>
      <c r="FY262" s="12">
        <f t="shared" si="37"/>
        <v>-2797021.5030314904</v>
      </c>
      <c r="FZ262" s="12">
        <f>'MODEL Product Introduction'!$N187+'MODEL Product Introduction'!$O186</f>
        <v>-92311539.155501574</v>
      </c>
    </row>
    <row r="263" spans="90:182" ht="13.5" thickBot="1">
      <c r="CL263" s="814">
        <f t="shared" si="29"/>
        <v>1.4999999999999999E-2</v>
      </c>
      <c r="CM263" s="814">
        <f t="shared" si="38"/>
        <v>0</v>
      </c>
      <c r="CN263" s="814">
        <f t="shared" si="39"/>
        <v>1.4999999999999999E-2</v>
      </c>
      <c r="CO263" s="814"/>
      <c r="CP263" s="814"/>
      <c r="CQ263" s="814">
        <f t="shared" si="30"/>
        <v>1.4999999999999999E-2</v>
      </c>
      <c r="CR263" s="814">
        <f t="shared" si="31"/>
        <v>0</v>
      </c>
      <c r="CS263" s="814">
        <f t="shared" si="32"/>
        <v>0</v>
      </c>
      <c r="CT263" s="814">
        <f t="shared" si="33"/>
        <v>1.4999999999999999E-2</v>
      </c>
      <c r="CU263" s="814">
        <f t="shared" si="34"/>
        <v>0</v>
      </c>
      <c r="CV263" s="814">
        <f t="shared" si="35"/>
        <v>0</v>
      </c>
      <c r="CW263" s="814">
        <f t="shared" si="36"/>
        <v>1.4999999999999999E-2</v>
      </c>
      <c r="CX263" s="814"/>
      <c r="FA263" s="763">
        <f>'MODEL Product Introduction'!D188</f>
        <v>6279.1669577619441</v>
      </c>
      <c r="FB263" s="763">
        <f>'MODEL Product Introduction'!E188</f>
        <v>8073.2146599796424</v>
      </c>
      <c r="FC263" s="763">
        <f>'MODEL Product Introduction'!F188</f>
        <v>127242.4332211163</v>
      </c>
      <c r="FF263" s="763">
        <f>'MODEL Product Introduction'!I188</f>
        <v>100.1</v>
      </c>
      <c r="FG263" s="763">
        <f>'MODEL Product Introduction'!J188</f>
        <v>13747246.460823976</v>
      </c>
      <c r="FH263" s="763">
        <f>'MODEL Product Introduction'!K188</f>
        <v>14159481.483885789</v>
      </c>
      <c r="FI263" s="763">
        <f>'MODEL Product Introduction'!L188</f>
        <v>-412235.02306181379</v>
      </c>
      <c r="FJ263" s="763">
        <f>'MODEL Product Introduction'!M188</f>
        <v>1506947.9573505726</v>
      </c>
      <c r="FK263" s="763">
        <f>'MODEL Product Introduction'!N188</f>
        <v>-1919182.9804123864</v>
      </c>
      <c r="FL263" s="763">
        <f>'MODEL Product Introduction'!O188</f>
        <v>-94230722.135913968</v>
      </c>
      <c r="FO263" s="5">
        <f>'MODEL Product Introduction'!$C187*(1-'MODEL Product Introduction'!$E$92)</f>
        <v>6279.1669577619441</v>
      </c>
      <c r="FP263" s="5">
        <f>'MODEL Product Introduction'!$D187*(1-'MODEL Product Introduction'!$F$92)</f>
        <v>5595.2972890948013</v>
      </c>
      <c r="FQ263" s="5">
        <f>('MODEL Product Introduction'!$E187+'MODEL Product Introduction'!$F187)*(1-'MODEL Product Introduction'!$G$92)</f>
        <v>127242.4332211163</v>
      </c>
      <c r="FR263" s="605"/>
      <c r="FS263" s="606"/>
      <c r="FT263" s="12">
        <f>'MODEL Product Introduction'!$G188*(1+'MODEL Product Introduction'!$H188)</f>
        <v>110.00000000000001</v>
      </c>
      <c r="FU263" s="12">
        <f>SUMPRODUCT('MODEL Product Introduction'!$C188:$F188,'MODEL Product Introduction'!$D$90:$G$90)</f>
        <v>19455942.810411029</v>
      </c>
      <c r="FV263" s="12">
        <f>SUMPRODUCT('MODEL Product Introduction'!$C188:$F188,'MODEL Product Introduction'!$D$91:$G$91)</f>
        <v>15065475.573505726</v>
      </c>
      <c r="FW263" s="12">
        <f>'MODEL Product Introduction'!$J188-'MODEL Product Introduction'!$K188</f>
        <v>-412235.02306181379</v>
      </c>
      <c r="FX263" s="12">
        <f>SUM('MODEL Product Introduction'!$C188:$F188)*10+'MODEL Product Introduction'!$I188*'MODEL Product Introduction'!$C188</f>
        <v>2413447.6410601302</v>
      </c>
      <c r="FY263" s="12">
        <f t="shared" si="37"/>
        <v>-2825682.664121944</v>
      </c>
      <c r="FZ263" s="12">
        <f>'MODEL Product Introduction'!$N188+'MODEL Product Introduction'!$O187</f>
        <v>-94230722.135913968</v>
      </c>
    </row>
    <row r="264" spans="90:182" ht="13.5" thickBot="1">
      <c r="CL264" s="814">
        <f t="shared" si="29"/>
        <v>1.4999999999999999E-2</v>
      </c>
      <c r="CM264" s="814">
        <f t="shared" si="38"/>
        <v>0</v>
      </c>
      <c r="CN264" s="814">
        <f t="shared" si="39"/>
        <v>1.4999999999999999E-2</v>
      </c>
      <c r="CO264" s="814"/>
      <c r="CP264" s="814"/>
      <c r="CQ264" s="814">
        <f t="shared" si="30"/>
        <v>1.4999999999999999E-2</v>
      </c>
      <c r="CR264" s="814">
        <f t="shared" si="31"/>
        <v>0</v>
      </c>
      <c r="CS264" s="814">
        <f t="shared" si="32"/>
        <v>0</v>
      </c>
      <c r="CT264" s="814">
        <f t="shared" si="33"/>
        <v>1.4999999999999999E-2</v>
      </c>
      <c r="CU264" s="814">
        <f t="shared" si="34"/>
        <v>0</v>
      </c>
      <c r="CV264" s="814">
        <f t="shared" si="35"/>
        <v>0</v>
      </c>
      <c r="CW264" s="814">
        <f t="shared" si="36"/>
        <v>1.4999999999999999E-2</v>
      </c>
      <c r="CX264" s="814"/>
      <c r="FA264" s="763">
        <f>'MODEL Product Introduction'!D189</f>
        <v>6341.9586273395626</v>
      </c>
      <c r="FB264" s="763">
        <f>'MODEL Product Introduction'!E189</f>
        <v>8153.9468065794381</v>
      </c>
      <c r="FC264" s="763">
        <f>'MODEL Product Introduction'!F189</f>
        <v>128549.86548704114</v>
      </c>
      <c r="FF264" s="763">
        <f>'MODEL Product Introduction'!I189</f>
        <v>100.1</v>
      </c>
      <c r="FG264" s="763">
        <f>'MODEL Product Introduction'!J189</f>
        <v>13887913.39938359</v>
      </c>
      <c r="FH264" s="763">
        <f>'MODEL Product Introduction'!K189</f>
        <v>14304577.092096014</v>
      </c>
      <c r="FI264" s="763">
        <f>'MODEL Product Introduction'!L189</f>
        <v>-416663.69271242432</v>
      </c>
      <c r="FJ264" s="763">
        <f>'MODEL Product Introduction'!M189</f>
        <v>1522363.5122612149</v>
      </c>
      <c r="FK264" s="763">
        <f>'MODEL Product Introduction'!N189</f>
        <v>-1939027.2049736392</v>
      </c>
      <c r="FL264" s="763">
        <f>'MODEL Product Introduction'!O189</f>
        <v>-96169749.340887606</v>
      </c>
      <c r="FO264" s="5">
        <f>'MODEL Product Introduction'!$C188*(1-'MODEL Product Introduction'!$E$92)</f>
        <v>6341.9586273395626</v>
      </c>
      <c r="FP264" s="5">
        <f>'MODEL Product Introduction'!$D188*(1-'MODEL Product Introduction'!$F$92)</f>
        <v>5651.2502619857496</v>
      </c>
      <c r="FQ264" s="5">
        <f>('MODEL Product Introduction'!$E188+'MODEL Product Introduction'!$F188)*(1-'MODEL Product Introduction'!$G$92)</f>
        <v>128549.86548704114</v>
      </c>
      <c r="FR264" s="605"/>
      <c r="FS264" s="606"/>
      <c r="FT264" s="12">
        <f>'MODEL Product Introduction'!$G189*(1+'MODEL Product Introduction'!$H189)</f>
        <v>110.00000000000001</v>
      </c>
      <c r="FU264" s="12">
        <f>SUMPRODUCT('MODEL Product Introduction'!$C189:$F189,'MODEL Product Introduction'!$D$90:$G$90)</f>
        <v>19655403.349235054</v>
      </c>
      <c r="FV264" s="12">
        <f>SUMPRODUCT('MODEL Product Introduction'!$C189:$F189,'MODEL Product Introduction'!$D$91:$G$91)</f>
        <v>15219631.12261215</v>
      </c>
      <c r="FW264" s="12">
        <f>'MODEL Product Introduction'!$J189-'MODEL Product Introduction'!$K189</f>
        <v>-416663.69271242432</v>
      </c>
      <c r="FX264" s="12">
        <f>SUM('MODEL Product Introduction'!$C189:$F189)*10+'MODEL Product Introduction'!$I189*'MODEL Product Introduction'!$C189</f>
        <v>2437932.1968078678</v>
      </c>
      <c r="FY264" s="12">
        <f t="shared" si="37"/>
        <v>-2854595.8895202922</v>
      </c>
      <c r="FZ264" s="12">
        <f>'MODEL Product Introduction'!$N189+'MODEL Product Introduction'!$O188</f>
        <v>-96169749.340887606</v>
      </c>
    </row>
    <row r="265" spans="90:182" ht="13.5" thickBot="1">
      <c r="CL265" s="814">
        <f t="shared" si="29"/>
        <v>1.4999999999999999E-2</v>
      </c>
      <c r="CM265" s="814">
        <f t="shared" si="38"/>
        <v>0</v>
      </c>
      <c r="CN265" s="814">
        <f t="shared" si="39"/>
        <v>1.4999999999999999E-2</v>
      </c>
      <c r="CO265" s="814"/>
      <c r="CP265" s="814"/>
      <c r="CQ265" s="814">
        <f t="shared" si="30"/>
        <v>1.4999999999999999E-2</v>
      </c>
      <c r="CR265" s="814">
        <f t="shared" si="31"/>
        <v>0</v>
      </c>
      <c r="CS265" s="814">
        <f t="shared" si="32"/>
        <v>0</v>
      </c>
      <c r="CT265" s="814">
        <f t="shared" si="33"/>
        <v>1.4999999999999999E-2</v>
      </c>
      <c r="CU265" s="814">
        <f t="shared" si="34"/>
        <v>0</v>
      </c>
      <c r="CV265" s="814">
        <f t="shared" si="35"/>
        <v>0</v>
      </c>
      <c r="CW265" s="814">
        <f t="shared" si="36"/>
        <v>1.4999999999999999E-2</v>
      </c>
      <c r="CX265" s="814"/>
      <c r="FA265" s="763">
        <f>'MODEL Product Introduction'!D190</f>
        <v>6405.3782136129585</v>
      </c>
      <c r="FB265" s="763">
        <f>'MODEL Product Introduction'!E190</f>
        <v>8235.4862746452327</v>
      </c>
      <c r="FC265" s="763">
        <f>'MODEL Product Introduction'!F190</f>
        <v>129868.62167893954</v>
      </c>
      <c r="FF265" s="763">
        <f>'MODEL Product Introduction'!I190</f>
        <v>100.1</v>
      </c>
      <c r="FG265" s="763">
        <f>'MODEL Product Introduction'!J190</f>
        <v>14029827.283631228</v>
      </c>
      <c r="FH265" s="763">
        <f>'MODEL Product Introduction'!K190</f>
        <v>14450948.616719773</v>
      </c>
      <c r="FI265" s="763">
        <f>'MODEL Product Introduction'!L190</f>
        <v>-421121.33308854513</v>
      </c>
      <c r="FJ265" s="763">
        <f>'MODEL Product Introduction'!M190</f>
        <v>1537915.7187541069</v>
      </c>
      <c r="FK265" s="763">
        <f>'MODEL Product Introduction'!N190</f>
        <v>-1959037.051842652</v>
      </c>
      <c r="FL265" s="763">
        <f>'MODEL Product Introduction'!O190</f>
        <v>-98128786.392730251</v>
      </c>
      <c r="FO265" s="5">
        <f>'MODEL Product Introduction'!$C189*(1-'MODEL Product Introduction'!$E$92)</f>
        <v>6405.3782136129585</v>
      </c>
      <c r="FP265" s="5">
        <f>'MODEL Product Introduction'!$D189*(1-'MODEL Product Introduction'!$F$92)</f>
        <v>5707.7627646056062</v>
      </c>
      <c r="FQ265" s="5">
        <f>('MODEL Product Introduction'!$E189+'MODEL Product Introduction'!$F189)*(1-'MODEL Product Introduction'!$G$92)</f>
        <v>129868.62167893954</v>
      </c>
      <c r="FR265" s="605"/>
      <c r="FS265" s="606"/>
      <c r="FT265" s="12">
        <f>'MODEL Product Introduction'!$G190*(1+'MODEL Product Introduction'!$H190)</f>
        <v>110.00000000000001</v>
      </c>
      <c r="FU265" s="12">
        <f>SUMPRODUCT('MODEL Product Introduction'!$C190:$F190,'MODEL Product Introduction'!$D$90:$G$90)</f>
        <v>19856613.437911324</v>
      </c>
      <c r="FV265" s="12">
        <f>SUMPRODUCT('MODEL Product Introduction'!$C190:$F190,'MODEL Product Introduction'!$D$91:$G$91)</f>
        <v>15375153.187541071</v>
      </c>
      <c r="FW265" s="12">
        <f>'MODEL Product Introduction'!$J190-'MODEL Product Introduction'!$K190</f>
        <v>-421121.33308854513</v>
      </c>
      <c r="FX265" s="12">
        <f>SUM('MODEL Product Introduction'!$C190:$F190)*10+'MODEL Product Introduction'!$I190*'MODEL Product Introduction'!$C190</f>
        <v>2462644.0941462265</v>
      </c>
      <c r="FY265" s="12">
        <f t="shared" si="37"/>
        <v>-2883765.4272347717</v>
      </c>
      <c r="FZ265" s="12">
        <f>'MODEL Product Introduction'!$N190+'MODEL Product Introduction'!$O189</f>
        <v>-98128786.392730251</v>
      </c>
    </row>
    <row r="266" spans="90:182" ht="13.5" thickBot="1">
      <c r="CL266" s="814">
        <f t="shared" si="29"/>
        <v>1.4999999999999999E-2</v>
      </c>
      <c r="CM266" s="814">
        <f t="shared" si="38"/>
        <v>0</v>
      </c>
      <c r="CN266" s="814">
        <f t="shared" si="39"/>
        <v>1.4999999999999999E-2</v>
      </c>
      <c r="CO266" s="814"/>
      <c r="CP266" s="814"/>
      <c r="CQ266" s="814">
        <f t="shared" si="30"/>
        <v>1.4999999999999999E-2</v>
      </c>
      <c r="CR266" s="814">
        <f t="shared" si="31"/>
        <v>0</v>
      </c>
      <c r="CS266" s="814">
        <f t="shared" si="32"/>
        <v>0</v>
      </c>
      <c r="CT266" s="814">
        <f t="shared" si="33"/>
        <v>1.4999999999999999E-2</v>
      </c>
      <c r="CU266" s="814">
        <f t="shared" si="34"/>
        <v>0</v>
      </c>
      <c r="CV266" s="814">
        <f t="shared" si="35"/>
        <v>0</v>
      </c>
      <c r="CW266" s="814">
        <f t="shared" si="36"/>
        <v>1.4999999999999999E-2</v>
      </c>
      <c r="CX266" s="814"/>
      <c r="FA266" s="763">
        <f>'MODEL Product Introduction'!D191</f>
        <v>6469.4319957490879</v>
      </c>
      <c r="FB266" s="763">
        <f>'MODEL Product Introduction'!E191</f>
        <v>8317.8411373916861</v>
      </c>
      <c r="FC266" s="763">
        <f>'MODEL Product Introduction'!F191</f>
        <v>131198.90255590554</v>
      </c>
      <c r="FF266" s="763">
        <f>'MODEL Product Introduction'!I191</f>
        <v>110.1</v>
      </c>
      <c r="FG266" s="763">
        <f>'MODEL Product Introduction'!J191</f>
        <v>14173008.569208656</v>
      </c>
      <c r="FH266" s="763">
        <f>'MODEL Product Introduction'!K191</f>
        <v>14598617.568904633</v>
      </c>
      <c r="FI266" s="763">
        <f>'MODEL Product Introduction'!L191</f>
        <v>-425608.9996959772</v>
      </c>
      <c r="FJ266" s="763">
        <f>'MODEL Product Introduction'!M191</f>
        <v>1553646.8185434141</v>
      </c>
      <c r="FK266" s="763">
        <f>'MODEL Product Introduction'!N191</f>
        <v>-1979255.8182393913</v>
      </c>
      <c r="FL266" s="763">
        <f>'MODEL Product Introduction'!O191</f>
        <v>-100108042.21096964</v>
      </c>
      <c r="FO266" s="5">
        <f>'MODEL Product Introduction'!$C190*(1-'MODEL Product Introduction'!$E$92)</f>
        <v>6469.4319957490879</v>
      </c>
      <c r="FP266" s="5">
        <f>'MODEL Product Introduction'!$D190*(1-'MODEL Product Introduction'!$F$92)</f>
        <v>5764.8403922516627</v>
      </c>
      <c r="FQ266" s="5">
        <f>('MODEL Product Introduction'!$E190+'MODEL Product Introduction'!$F190)*(1-'MODEL Product Introduction'!$G$92)</f>
        <v>131198.90255590554</v>
      </c>
      <c r="FR266" s="605"/>
      <c r="FS266" s="606"/>
      <c r="FT266" s="12">
        <f>'MODEL Product Introduction'!$G191*(1+'MODEL Product Introduction'!$H191)</f>
        <v>121.00000000000001</v>
      </c>
      <c r="FU266" s="12">
        <f>SUMPRODUCT('MODEL Product Introduction'!$C191:$F191,'MODEL Product Introduction'!$D$90:$G$90)</f>
        <v>20059602.824715164</v>
      </c>
      <c r="FV266" s="12">
        <f>SUMPRODUCT('MODEL Product Introduction'!$C191:$F191,'MODEL Product Introduction'!$D$91:$G$91)</f>
        <v>15532064.185434144</v>
      </c>
      <c r="FW266" s="12">
        <f>'MODEL Product Introduction'!$J191-'MODEL Product Introduction'!$K191</f>
        <v>-425608.9996959772</v>
      </c>
      <c r="FX266" s="12">
        <f>SUM('MODEL Product Introduction'!$C191:$F191)*10+'MODEL Product Introduction'!$I191*'MODEL Product Introduction'!$C191</f>
        <v>2580931.143342406</v>
      </c>
      <c r="FY266" s="12">
        <f t="shared" si="37"/>
        <v>-3006540.1430383832</v>
      </c>
      <c r="FZ266" s="12">
        <f>'MODEL Product Introduction'!$N191+'MODEL Product Introduction'!$O190</f>
        <v>-100108042.21096964</v>
      </c>
    </row>
    <row r="267" spans="90:182" ht="13.5" thickBot="1">
      <c r="CL267" s="814">
        <f t="shared" si="29"/>
        <v>1.4999999999999999E-2</v>
      </c>
      <c r="CM267" s="814">
        <f t="shared" si="38"/>
        <v>0</v>
      </c>
      <c r="CN267" s="814">
        <f t="shared" si="39"/>
        <v>1.4999999999999999E-2</v>
      </c>
      <c r="CO267" s="814"/>
      <c r="CP267" s="814"/>
      <c r="CQ267" s="814">
        <f t="shared" si="30"/>
        <v>1.4999999999999999E-2</v>
      </c>
      <c r="CR267" s="814">
        <f t="shared" si="31"/>
        <v>0</v>
      </c>
      <c r="CS267" s="814">
        <f t="shared" si="32"/>
        <v>0</v>
      </c>
      <c r="CT267" s="814">
        <f t="shared" si="33"/>
        <v>1.4999999999999999E-2</v>
      </c>
      <c r="CU267" s="814">
        <f t="shared" si="34"/>
        <v>0</v>
      </c>
      <c r="CV267" s="814">
        <f t="shared" si="35"/>
        <v>0</v>
      </c>
      <c r="CW267" s="814">
        <f t="shared" si="36"/>
        <v>1.4999999999999999E-2</v>
      </c>
      <c r="CX267" s="814"/>
      <c r="FA267" s="763">
        <f>'MODEL Product Introduction'!D192</f>
        <v>6534.1263157065787</v>
      </c>
      <c r="FB267" s="763">
        <f>'MODEL Product Introduction'!E192</f>
        <v>8401.0195487656019</v>
      </c>
      <c r="FC267" s="763">
        <f>'MODEL Product Introduction'!F192</f>
        <v>132540.90650863235</v>
      </c>
      <c r="FF267" s="763">
        <f>'MODEL Product Introduction'!I192</f>
        <v>110.1</v>
      </c>
      <c r="FG267" s="763">
        <f>'MODEL Product Introduction'!J192</f>
        <v>14317477.517004799</v>
      </c>
      <c r="FH267" s="763">
        <f>'MODEL Product Introduction'!K192</f>
        <v>14747605.237310452</v>
      </c>
      <c r="FI267" s="763">
        <f>'MODEL Product Introduction'!L192</f>
        <v>-430127.72030565329</v>
      </c>
      <c r="FJ267" s="763">
        <f>'MODEL Product Introduction'!M192</f>
        <v>1569479.0320005259</v>
      </c>
      <c r="FK267" s="763">
        <f>'MODEL Product Introduction'!N192</f>
        <v>-1999606.7523061791</v>
      </c>
      <c r="FL267" s="763">
        <f>'MODEL Product Introduction'!O192</f>
        <v>-102107648.96327582</v>
      </c>
      <c r="FO267" s="5">
        <f>'MODEL Product Introduction'!$C191*(1-'MODEL Product Introduction'!$E$92)</f>
        <v>6534.1263157065787</v>
      </c>
      <c r="FP267" s="5">
        <f>'MODEL Product Introduction'!$D191*(1-'MODEL Product Introduction'!$F$92)</f>
        <v>5822.4887961741797</v>
      </c>
      <c r="FQ267" s="5">
        <f>('MODEL Product Introduction'!$E191+'MODEL Product Introduction'!$F191)*(1-'MODEL Product Introduction'!$G$92)</f>
        <v>132540.90650863235</v>
      </c>
      <c r="FR267" s="605"/>
      <c r="FS267" s="606"/>
      <c r="FT267" s="12">
        <f>'MODEL Product Introduction'!$G192*(1+'MODEL Product Introduction'!$H192)</f>
        <v>121.00000000000001</v>
      </c>
      <c r="FU267" s="12">
        <f>SUMPRODUCT('MODEL Product Introduction'!$C192:$F192,'MODEL Product Introduction'!$D$90:$G$90)</f>
        <v>20264400.942765798</v>
      </c>
      <c r="FV267" s="12">
        <f>SUMPRODUCT('MODEL Product Introduction'!$C192:$F192,'MODEL Product Introduction'!$D$91:$G$91)</f>
        <v>15690386.32000526</v>
      </c>
      <c r="FW267" s="12">
        <f>'MODEL Product Introduction'!$J192-'MODEL Product Introduction'!$K192</f>
        <v>-430127.72030565329</v>
      </c>
      <c r="FX267" s="12">
        <f>SUM('MODEL Product Introduction'!$C192:$F192)*10+'MODEL Product Introduction'!$I192*'MODEL Product Introduction'!$C192</f>
        <v>2607040.604047508</v>
      </c>
      <c r="FY267" s="12">
        <f t="shared" si="37"/>
        <v>-3037168.3243531613</v>
      </c>
      <c r="FZ267" s="12">
        <f>'MODEL Product Introduction'!$N192+'MODEL Product Introduction'!$O191</f>
        <v>-102107648.96327582</v>
      </c>
    </row>
    <row r="268" spans="90:182" ht="13.5" thickBot="1">
      <c r="CL268" s="814">
        <f t="shared" si="29"/>
        <v>1.4999999999999999E-2</v>
      </c>
      <c r="CM268" s="814">
        <f t="shared" si="38"/>
        <v>0</v>
      </c>
      <c r="CN268" s="814">
        <f t="shared" si="39"/>
        <v>1.4999999999999999E-2</v>
      </c>
      <c r="CO268" s="814"/>
      <c r="CP268" s="814"/>
      <c r="CQ268" s="814">
        <f t="shared" si="30"/>
        <v>1.4999999999999999E-2</v>
      </c>
      <c r="CR268" s="814">
        <f t="shared" si="31"/>
        <v>0</v>
      </c>
      <c r="CS268" s="814">
        <f t="shared" si="32"/>
        <v>0</v>
      </c>
      <c r="CT268" s="814">
        <f t="shared" si="33"/>
        <v>1.4999999999999999E-2</v>
      </c>
      <c r="CU268" s="814">
        <f t="shared" si="34"/>
        <v>0</v>
      </c>
      <c r="CV268" s="814">
        <f t="shared" si="35"/>
        <v>0</v>
      </c>
      <c r="CW268" s="814">
        <f t="shared" si="36"/>
        <v>1.4999999999999999E-2</v>
      </c>
      <c r="CX268" s="814"/>
      <c r="FA268" s="763">
        <f>'MODEL Product Introduction'!D193</f>
        <v>6599.4675788636441</v>
      </c>
      <c r="FB268" s="763">
        <f>'MODEL Product Introduction'!E193</f>
        <v>8485.0297442532574</v>
      </c>
      <c r="FC268" s="763">
        <f>'MODEL Product Introduction'!F193</f>
        <v>133894.82975452807</v>
      </c>
      <c r="FF268" s="763">
        <f>'MODEL Product Introduction'!I193</f>
        <v>150.1</v>
      </c>
      <c r="FG268" s="763">
        <f>'MODEL Product Introduction'!J193</f>
        <v>14463254.211173704</v>
      </c>
      <c r="FH268" s="763">
        <f>'MODEL Product Introduction'!K193</f>
        <v>14897932.707764497</v>
      </c>
      <c r="FI268" s="763">
        <f>'MODEL Product Introduction'!L193</f>
        <v>-434678.49659079313</v>
      </c>
      <c r="FJ268" s="763">
        <f>'MODEL Product Introduction'!M193</f>
        <v>1585614.560128625</v>
      </c>
      <c r="FK268" s="763">
        <f>'MODEL Product Introduction'!N193</f>
        <v>-2020293.0567194181</v>
      </c>
      <c r="FL268" s="763">
        <f>'MODEL Product Introduction'!O193</f>
        <v>-104127942.01999524</v>
      </c>
      <c r="FO268" s="5">
        <f>'MODEL Product Introduction'!$C192*(1-'MODEL Product Introduction'!$E$92)</f>
        <v>6599.4675788636441</v>
      </c>
      <c r="FP268" s="5">
        <f>'MODEL Product Introduction'!$D192*(1-'MODEL Product Introduction'!$F$92)</f>
        <v>5880.7136841359206</v>
      </c>
      <c r="FQ268" s="5">
        <f>('MODEL Product Introduction'!$E192+'MODEL Product Introduction'!$F192)*(1-'MODEL Product Introduction'!$G$92)</f>
        <v>133894.82975452807</v>
      </c>
      <c r="FR268" s="605"/>
      <c r="FS268" s="606"/>
      <c r="FT268" s="12">
        <f>'MODEL Product Introduction'!$G193*(1+'MODEL Product Introduction'!$H193)</f>
        <v>165</v>
      </c>
      <c r="FU268" s="12">
        <f>SUMPRODUCT('MODEL Product Introduction'!$C193:$F193,'MODEL Product Introduction'!$D$90:$G$90)</f>
        <v>20471036.937506773</v>
      </c>
      <c r="FV268" s="12">
        <f>SUMPRODUCT('MODEL Product Introduction'!$C193:$F193,'MODEL Product Introduction'!$D$91:$G$91)</f>
        <v>15850141.601286251</v>
      </c>
      <c r="FW268" s="12">
        <f>'MODEL Product Introduction'!$J193-'MODEL Product Introduction'!$K193</f>
        <v>-434678.49659079313</v>
      </c>
      <c r="FX268" s="12">
        <f>SUM('MODEL Product Introduction'!$C193:$F193)*10+'MODEL Product Introduction'!$I193*'MODEL Product Introduction'!$C193</f>
        <v>3014279.7093047784</v>
      </c>
      <c r="FY268" s="12">
        <f t="shared" si="37"/>
        <v>-3448958.2058955715</v>
      </c>
      <c r="FZ268" s="12">
        <f>'MODEL Product Introduction'!$N193+'MODEL Product Introduction'!$O192</f>
        <v>-104127942.01999524</v>
      </c>
    </row>
    <row r="269" spans="90:182" ht="13.5" thickBot="1">
      <c r="CL269" s="814">
        <f t="shared" si="29"/>
        <v>1.4999999999999999E-2</v>
      </c>
      <c r="CM269" s="814">
        <f t="shared" si="38"/>
        <v>0</v>
      </c>
      <c r="CN269" s="814">
        <f t="shared" si="39"/>
        <v>1.4999999999999999E-2</v>
      </c>
      <c r="CO269" s="814"/>
      <c r="CP269" s="814"/>
      <c r="CQ269" s="814">
        <f t="shared" si="30"/>
        <v>1.4999999999999999E-2</v>
      </c>
      <c r="CR269" s="814">
        <f t="shared" si="31"/>
        <v>0</v>
      </c>
      <c r="CS269" s="814">
        <f t="shared" si="32"/>
        <v>0</v>
      </c>
      <c r="CT269" s="814">
        <f t="shared" si="33"/>
        <v>1.4999999999999999E-2</v>
      </c>
      <c r="CU269" s="814">
        <f t="shared" si="34"/>
        <v>0</v>
      </c>
      <c r="CV269" s="814">
        <f t="shared" si="35"/>
        <v>0</v>
      </c>
      <c r="CW269" s="814">
        <f t="shared" si="36"/>
        <v>1.4999999999999999E-2</v>
      </c>
      <c r="CX269" s="814"/>
      <c r="FA269" s="763">
        <f>'MODEL Product Introduction'!D194</f>
        <v>6665.4622546522805</v>
      </c>
      <c r="FB269" s="763">
        <f>'MODEL Product Introduction'!E194</f>
        <v>8569.8800416957893</v>
      </c>
      <c r="FC269" s="763">
        <f>'MODEL Product Introduction'!F194</f>
        <v>135260.86652384224</v>
      </c>
      <c r="FF269" s="763">
        <f>'MODEL Product Introduction'!I194</f>
        <v>100.1</v>
      </c>
      <c r="FG269" s="763">
        <f>'MODEL Product Introduction'!J194</f>
        <v>14610358.576334354</v>
      </c>
      <c r="FH269" s="763">
        <f>'MODEL Product Introduction'!K194</f>
        <v>15049620.882019032</v>
      </c>
      <c r="FI269" s="763">
        <f>'MODEL Product Introduction'!L194</f>
        <v>-439262.30568467826</v>
      </c>
      <c r="FJ269" s="763">
        <f>'MODEL Product Introduction'!M194</f>
        <v>1601535.5864476</v>
      </c>
      <c r="FK269" s="763">
        <f>'MODEL Product Introduction'!N194</f>
        <v>-2040797.8921322783</v>
      </c>
      <c r="FL269" s="763">
        <f>'MODEL Product Introduction'!O194</f>
        <v>-106168739.91212752</v>
      </c>
      <c r="FO269" s="5">
        <f>'MODEL Product Introduction'!$C193*(1-'MODEL Product Introduction'!$E$92)</f>
        <v>6665.4622546522805</v>
      </c>
      <c r="FP269" s="5">
        <f>'MODEL Product Introduction'!$D193*(1-'MODEL Product Introduction'!$F$92)</f>
        <v>5939.52082097728</v>
      </c>
      <c r="FQ269" s="5">
        <f>('MODEL Product Introduction'!$E193+'MODEL Product Introduction'!$F193)*(1-'MODEL Product Introduction'!$G$92)</f>
        <v>135260.86652384224</v>
      </c>
      <c r="FR269" s="605"/>
      <c r="FS269" s="606"/>
      <c r="FT269" s="12">
        <f>'MODEL Product Introduction'!$G194*(1+'MODEL Product Introduction'!$H194)</f>
        <v>110.00000000000001</v>
      </c>
      <c r="FU269" s="12">
        <f>SUMPRODUCT('MODEL Product Introduction'!$C194:$F194,'MODEL Product Introduction'!$D$90:$G$90)</f>
        <v>20679539.692929488</v>
      </c>
      <c r="FV269" s="12">
        <f>SUMPRODUCT('MODEL Product Introduction'!$C194:$F194,'MODEL Product Introduction'!$D$91:$G$91)</f>
        <v>16011351.864476003</v>
      </c>
      <c r="FW269" s="12">
        <f>'MODEL Product Introduction'!$J194-'MODEL Product Introduction'!$K194</f>
        <v>-439262.30568467826</v>
      </c>
      <c r="FX269" s="12">
        <f>SUM('MODEL Product Introduction'!$C194:$F194)*10+'MODEL Product Introduction'!$I194*'MODEL Product Introduction'!$C194</f>
        <v>2563827.8998870291</v>
      </c>
      <c r="FY269" s="12">
        <f t="shared" si="37"/>
        <v>-3003090.2055717073</v>
      </c>
      <c r="FZ269" s="12">
        <f>'MODEL Product Introduction'!$N194+'MODEL Product Introduction'!$O193</f>
        <v>-106168739.91212752</v>
      </c>
    </row>
    <row r="270" spans="90:182" ht="13.5" thickBot="1">
      <c r="CL270" s="814">
        <f t="shared" ref="CL270:CL292" si="40">IFERROR(IF(OR(ABS(FA270-FO270)&lt;100,CC270&lt;&gt;0),0.015,0),0)</f>
        <v>1.4999999999999999E-2</v>
      </c>
      <c r="CM270" s="814">
        <f t="shared" si="38"/>
        <v>0</v>
      </c>
      <c r="CN270" s="814">
        <f t="shared" si="39"/>
        <v>1.4999999999999999E-2</v>
      </c>
      <c r="CO270" s="814"/>
      <c r="CP270" s="814"/>
      <c r="CQ270" s="814">
        <f t="shared" si="30"/>
        <v>1.4999999999999999E-2</v>
      </c>
      <c r="CR270" s="814">
        <f t="shared" si="31"/>
        <v>0</v>
      </c>
      <c r="CS270" s="814">
        <f t="shared" si="32"/>
        <v>0</v>
      </c>
      <c r="CT270" s="814">
        <f t="shared" si="33"/>
        <v>1.4999999999999999E-2</v>
      </c>
      <c r="CU270" s="814">
        <f t="shared" si="34"/>
        <v>0</v>
      </c>
      <c r="CV270" s="814">
        <f t="shared" si="35"/>
        <v>0</v>
      </c>
      <c r="CW270" s="814">
        <f t="shared" si="36"/>
        <v>1.4999999999999999E-2</v>
      </c>
      <c r="CX270" s="814"/>
      <c r="FA270" s="763">
        <f>'MODEL Product Introduction'!D195</f>
        <v>6732.1168771988023</v>
      </c>
      <c r="FB270" s="763">
        <f>'MODEL Product Introduction'!E195</f>
        <v>8655.5788421127472</v>
      </c>
      <c r="FC270" s="763">
        <f>'MODEL Product Introduction'!F195</f>
        <v>136639.20923726112</v>
      </c>
      <c r="FF270" s="763">
        <f>'MODEL Product Introduction'!I195</f>
        <v>100.1</v>
      </c>
      <c r="FG270" s="763">
        <f>'MODEL Product Introduction'!J195</f>
        <v>14758810.393994162</v>
      </c>
      <c r="FH270" s="763">
        <f>'MODEL Product Introduction'!K195</f>
        <v>15202690.495657265</v>
      </c>
      <c r="FI270" s="763">
        <f>'MODEL Product Introduction'!L195</f>
        <v>-443880.10166310333</v>
      </c>
      <c r="FJ270" s="763">
        <f>'MODEL Product Introduction'!M195</f>
        <v>1617804.2787938807</v>
      </c>
      <c r="FK270" s="763">
        <f>'MODEL Product Introduction'!N195</f>
        <v>-2061684.380456984</v>
      </c>
      <c r="FL270" s="763">
        <f>'MODEL Product Introduction'!O195</f>
        <v>-108230424.29258451</v>
      </c>
      <c r="FO270" s="5">
        <f>'MODEL Product Introduction'!$C194*(1-'MODEL Product Introduction'!$E$92)</f>
        <v>6732.1168771988023</v>
      </c>
      <c r="FP270" s="5">
        <f>'MODEL Product Introduction'!$D194*(1-'MODEL Product Introduction'!$F$92)</f>
        <v>5998.916029187053</v>
      </c>
      <c r="FQ270" s="5">
        <f>('MODEL Product Introduction'!$E194+'MODEL Product Introduction'!$F194)*(1-'MODEL Product Introduction'!$G$92)</f>
        <v>136639.20923726112</v>
      </c>
      <c r="FR270" s="605"/>
      <c r="FS270" s="606"/>
      <c r="FT270" s="12">
        <f>'MODEL Product Introduction'!$G195*(1+'MODEL Product Introduction'!$H195)</f>
        <v>110.00000000000001</v>
      </c>
      <c r="FU270" s="12">
        <f>SUMPRODUCT('MODEL Product Introduction'!$C195:$F195,'MODEL Product Introduction'!$D$90:$G$90)</f>
        <v>20889937.856604043</v>
      </c>
      <c r="FV270" s="12">
        <f>SUMPRODUCT('MODEL Product Introduction'!$C195:$F195,'MODEL Product Introduction'!$D$91:$G$91)</f>
        <v>16174038.787938807</v>
      </c>
      <c r="FW270" s="12">
        <f>'MODEL Product Introduction'!$J195-'MODEL Product Introduction'!$K195</f>
        <v>-443880.10166310333</v>
      </c>
      <c r="FX270" s="12">
        <f>SUM('MODEL Product Introduction'!$C195:$F195)*10+'MODEL Product Introduction'!$I195*'MODEL Product Introduction'!$C195</f>
        <v>2589723.5193677037</v>
      </c>
      <c r="FY270" s="12">
        <f t="shared" ref="FY270:FY292" si="41">FW270-FX270</f>
        <v>-3033603.621030807</v>
      </c>
      <c r="FZ270" s="12">
        <f>'MODEL Product Introduction'!$N195+'MODEL Product Introduction'!$O194</f>
        <v>-108230424.29258451</v>
      </c>
    </row>
    <row r="271" spans="90:182" ht="13.5" thickBot="1">
      <c r="CL271" s="814">
        <f t="shared" si="40"/>
        <v>1.4999999999999999E-2</v>
      </c>
      <c r="CM271" s="814">
        <f t="shared" si="38"/>
        <v>0</v>
      </c>
      <c r="CN271" s="814">
        <f t="shared" si="39"/>
        <v>1.4999999999999999E-2</v>
      </c>
      <c r="CO271" s="814"/>
      <c r="CP271" s="814"/>
      <c r="CQ271" s="814">
        <f t="shared" si="30"/>
        <v>1.4999999999999999E-2</v>
      </c>
      <c r="CR271" s="814">
        <f t="shared" si="31"/>
        <v>0</v>
      </c>
      <c r="CS271" s="814">
        <f t="shared" si="32"/>
        <v>0</v>
      </c>
      <c r="CT271" s="814">
        <f t="shared" si="33"/>
        <v>1.4999999999999999E-2</v>
      </c>
      <c r="CU271" s="814">
        <f t="shared" si="34"/>
        <v>0</v>
      </c>
      <c r="CV271" s="814">
        <f t="shared" si="35"/>
        <v>0</v>
      </c>
      <c r="CW271" s="814">
        <f t="shared" si="36"/>
        <v>1.4999999999999999E-2</v>
      </c>
      <c r="CX271" s="814"/>
      <c r="FA271" s="763">
        <f>'MODEL Product Introduction'!D196</f>
        <v>6799.4380459707909</v>
      </c>
      <c r="FB271" s="763">
        <f>'MODEL Product Introduction'!E196</f>
        <v>8742.1346305338739</v>
      </c>
      <c r="FC271" s="763">
        <f>'MODEL Product Introduction'!F196</f>
        <v>138030.04867540515</v>
      </c>
      <c r="FF271" s="763">
        <f>'MODEL Product Introduction'!I196</f>
        <v>100.1</v>
      </c>
      <c r="FG271" s="763">
        <f>'MODEL Product Introduction'!J196</f>
        <v>14908629.318235748</v>
      </c>
      <c r="FH271" s="763">
        <f>'MODEL Product Introduction'!K196</f>
        <v>15357162.135190982</v>
      </c>
      <c r="FI271" s="763">
        <f>'MODEL Product Introduction'!L196</f>
        <v>-448532.81695523486</v>
      </c>
      <c r="FJ271" s="763">
        <f>'MODEL Product Introduction'!M196</f>
        <v>1634222.7910395337</v>
      </c>
      <c r="FK271" s="763">
        <f>'MODEL Product Introduction'!N196</f>
        <v>-2082755.6079947685</v>
      </c>
      <c r="FL271" s="763">
        <f>'MODEL Product Introduction'!O196</f>
        <v>-110313179.90057927</v>
      </c>
      <c r="FO271" s="5">
        <f>'MODEL Product Introduction'!$C195*(1-'MODEL Product Introduction'!$E$92)</f>
        <v>6799.4380459707909</v>
      </c>
      <c r="FP271" s="5">
        <f>'MODEL Product Introduction'!$D195*(1-'MODEL Product Introduction'!$F$92)</f>
        <v>6058.9051894789218</v>
      </c>
      <c r="FQ271" s="5">
        <f>('MODEL Product Introduction'!$E195+'MODEL Product Introduction'!$F195)*(1-'MODEL Product Introduction'!$G$92)</f>
        <v>138030.04867540515</v>
      </c>
      <c r="FR271" s="605"/>
      <c r="FS271" s="606"/>
      <c r="FT271" s="12">
        <f>'MODEL Product Introduction'!$G196*(1+'MODEL Product Introduction'!$H196)</f>
        <v>110.00000000000001</v>
      </c>
      <c r="FU271" s="12">
        <f>SUMPRODUCT('MODEL Product Introduction'!$C196:$F196,'MODEL Product Introduction'!$D$90:$G$90)</f>
        <v>21102259.863578085</v>
      </c>
      <c r="FV271" s="12">
        <f>SUMPRODUCT('MODEL Product Introduction'!$C196:$F196,'MODEL Product Introduction'!$D$91:$G$91)</f>
        <v>16338223.910395339</v>
      </c>
      <c r="FW271" s="12">
        <f>'MODEL Product Introduction'!$J196-'MODEL Product Introduction'!$K196</f>
        <v>-448532.81695523486</v>
      </c>
      <c r="FX271" s="12">
        <f>SUM('MODEL Product Introduction'!$C196:$F196)*10+'MODEL Product Introduction'!$I196*'MODEL Product Introduction'!$C196</f>
        <v>2615865.228019095</v>
      </c>
      <c r="FY271" s="12">
        <f t="shared" si="41"/>
        <v>-3064398.0449743299</v>
      </c>
      <c r="FZ271" s="12">
        <f>'MODEL Product Introduction'!$N196+'MODEL Product Introduction'!$O195</f>
        <v>-110313179.90057927</v>
      </c>
    </row>
    <row r="272" spans="90:182" ht="13.5" thickBot="1">
      <c r="CL272" s="814">
        <f t="shared" si="40"/>
        <v>1.4999999999999999E-2</v>
      </c>
      <c r="CM272" s="814">
        <f t="shared" si="38"/>
        <v>0</v>
      </c>
      <c r="CN272" s="814">
        <f t="shared" si="39"/>
        <v>1.4999999999999999E-2</v>
      </c>
      <c r="CO272" s="814"/>
      <c r="CP272" s="814"/>
      <c r="CQ272" s="814">
        <f t="shared" si="30"/>
        <v>1.4999999999999999E-2</v>
      </c>
      <c r="CR272" s="814">
        <f t="shared" si="31"/>
        <v>0</v>
      </c>
      <c r="CS272" s="814">
        <f t="shared" si="32"/>
        <v>0</v>
      </c>
      <c r="CT272" s="814">
        <f t="shared" si="33"/>
        <v>1.4999999999999999E-2</v>
      </c>
      <c r="CU272" s="814">
        <f t="shared" si="34"/>
        <v>0</v>
      </c>
      <c r="CV272" s="814">
        <f t="shared" si="35"/>
        <v>0</v>
      </c>
      <c r="CW272" s="814">
        <f t="shared" si="36"/>
        <v>1.4999999999999999E-2</v>
      </c>
      <c r="CX272" s="814"/>
      <c r="FA272" s="763">
        <f>'MODEL Product Introduction'!D197</f>
        <v>6867.4324264304987</v>
      </c>
      <c r="FB272" s="763">
        <f>'MODEL Product Introduction'!E197</f>
        <v>8829.5559768392141</v>
      </c>
      <c r="FC272" s="763">
        <f>'MODEL Product Introduction'!F197</f>
        <v>139433.57414064207</v>
      </c>
      <c r="FF272" s="763">
        <f>'MODEL Product Introduction'!I197</f>
        <v>100.1</v>
      </c>
      <c r="FG272" s="763">
        <f>'MODEL Product Introduction'!J197</f>
        <v>15059834.890704665</v>
      </c>
      <c r="FH272" s="763">
        <f>'MODEL Product Introduction'!K197</f>
        <v>15513056.254391177</v>
      </c>
      <c r="FI272" s="763">
        <f>'MODEL Product Introduction'!L197</f>
        <v>-453221.36368651129</v>
      </c>
      <c r="FJ272" s="763">
        <f>'MODEL Product Introduction'!M197</f>
        <v>1650793.2647347581</v>
      </c>
      <c r="FK272" s="763">
        <f>'MODEL Product Introduction'!N197</f>
        <v>-2104014.6284212694</v>
      </c>
      <c r="FL272" s="763">
        <f>'MODEL Product Introduction'!O197</f>
        <v>-112417194.52900055</v>
      </c>
      <c r="FO272" s="5">
        <f>'MODEL Product Introduction'!$C196*(1-'MODEL Product Introduction'!$E$92)</f>
        <v>6867.4324264304987</v>
      </c>
      <c r="FP272" s="5">
        <f>'MODEL Product Introduction'!$D196*(1-'MODEL Product Introduction'!$F$92)</f>
        <v>6119.4942413737117</v>
      </c>
      <c r="FQ272" s="5">
        <f>('MODEL Product Introduction'!$E196+'MODEL Product Introduction'!$F196)*(1-'MODEL Product Introduction'!$G$92)</f>
        <v>139433.57414064207</v>
      </c>
      <c r="FR272" s="605"/>
      <c r="FS272" s="606"/>
      <c r="FT272" s="12">
        <f>'MODEL Product Introduction'!$G197*(1+'MODEL Product Introduction'!$H197)</f>
        <v>110.00000000000001</v>
      </c>
      <c r="FU272" s="12">
        <f>SUMPRODUCT('MODEL Product Introduction'!$C197:$F197,'MODEL Product Introduction'!$D$90:$G$90)</f>
        <v>21316533.959201466</v>
      </c>
      <c r="FV272" s="12">
        <f>SUMPRODUCT('MODEL Product Introduction'!$C197:$F197,'MODEL Product Introduction'!$D$91:$G$91)</f>
        <v>16503928.647347579</v>
      </c>
      <c r="FW272" s="12">
        <f>'MODEL Product Introduction'!$J197-'MODEL Product Introduction'!$K197</f>
        <v>-453221.36368651129</v>
      </c>
      <c r="FX272" s="12">
        <f>SUM('MODEL Product Introduction'!$C197:$F197)*10+'MODEL Product Introduction'!$I197*'MODEL Product Introduction'!$C197</f>
        <v>2642256.1300841151</v>
      </c>
      <c r="FY272" s="12">
        <f t="shared" si="41"/>
        <v>-3095477.4937706264</v>
      </c>
      <c r="FZ272" s="12">
        <f>'MODEL Product Introduction'!$N197+'MODEL Product Introduction'!$O196</f>
        <v>-112417194.52900055</v>
      </c>
    </row>
    <row r="273" spans="90:182" ht="13.5" thickBot="1">
      <c r="CL273" s="814">
        <f t="shared" si="40"/>
        <v>1.4999999999999999E-2</v>
      </c>
      <c r="CM273" s="814">
        <f t="shared" si="38"/>
        <v>0</v>
      </c>
      <c r="CN273" s="814">
        <f t="shared" si="39"/>
        <v>1.4999999999999999E-2</v>
      </c>
      <c r="CO273" s="814"/>
      <c r="CP273" s="814"/>
      <c r="CQ273" s="814">
        <f t="shared" si="30"/>
        <v>1.4999999999999999E-2</v>
      </c>
      <c r="CR273" s="814">
        <f t="shared" si="31"/>
        <v>0</v>
      </c>
      <c r="CS273" s="814">
        <f t="shared" si="32"/>
        <v>0</v>
      </c>
      <c r="CT273" s="814">
        <f t="shared" si="33"/>
        <v>1.4999999999999999E-2</v>
      </c>
      <c r="CU273" s="814">
        <f t="shared" si="34"/>
        <v>0</v>
      </c>
      <c r="CV273" s="814">
        <f t="shared" si="35"/>
        <v>0</v>
      </c>
      <c r="CW273" s="814">
        <f t="shared" si="36"/>
        <v>1.4999999999999999E-2</v>
      </c>
      <c r="CX273" s="814"/>
      <c r="FA273" s="763">
        <f>'MODEL Product Introduction'!D198</f>
        <v>6936.1067506948038</v>
      </c>
      <c r="FB273" s="763">
        <f>'MODEL Product Introduction'!E198</f>
        <v>8917.8515366076062</v>
      </c>
      <c r="FC273" s="763">
        <f>'MODEL Product Introduction'!F198</f>
        <v>140849.97361160722</v>
      </c>
      <c r="FF273" s="763">
        <f>'MODEL Product Introduction'!I198</f>
        <v>100.2</v>
      </c>
      <c r="FG273" s="763">
        <f>'MODEL Product Introduction'!J198</f>
        <v>15212446.554933947</v>
      </c>
      <c r="FH273" s="763">
        <f>'MODEL Product Introduction'!K198</f>
        <v>15670393.189890962</v>
      </c>
      <c r="FI273" s="763">
        <f>'MODEL Product Introduction'!L198</f>
        <v>-457946.63495701551</v>
      </c>
      <c r="FJ273" s="763">
        <f>'MODEL Product Introduction'!M198</f>
        <v>1667518.2306776929</v>
      </c>
      <c r="FK273" s="763">
        <f>'MODEL Product Introduction'!N198</f>
        <v>-2125464.8656347087</v>
      </c>
      <c r="FL273" s="763">
        <f>'MODEL Product Introduction'!O198</f>
        <v>-114542659.39463526</v>
      </c>
      <c r="FO273" s="5">
        <f>'MODEL Product Introduction'!$C197*(1-'MODEL Product Introduction'!$E$92)</f>
        <v>6936.1067506948038</v>
      </c>
      <c r="FP273" s="5">
        <f>'MODEL Product Introduction'!$D197*(1-'MODEL Product Introduction'!$F$92)</f>
        <v>6180.6891837874491</v>
      </c>
      <c r="FQ273" s="5">
        <f>('MODEL Product Introduction'!$E197+'MODEL Product Introduction'!$F197)*(1-'MODEL Product Introduction'!$G$92)</f>
        <v>140849.97361160722</v>
      </c>
      <c r="FR273" s="605"/>
      <c r="FS273" s="606"/>
      <c r="FT273" s="12">
        <f>'MODEL Product Introduction'!$G198*(1+'MODEL Product Introduction'!$H198)</f>
        <v>120</v>
      </c>
      <c r="FU273" s="12">
        <f>SUMPRODUCT('MODEL Product Introduction'!$C198:$F198,'MODEL Product Introduction'!$D$90:$G$90)</f>
        <v>21532788.220931701</v>
      </c>
      <c r="FV273" s="12">
        <f>SUMPRODUCT('MODEL Product Introduction'!$C198:$F198,'MODEL Product Introduction'!$D$91:$G$91)</f>
        <v>16671174.306776928</v>
      </c>
      <c r="FW273" s="12">
        <f>'MODEL Product Introduction'!$J198-'MODEL Product Introduction'!$K198</f>
        <v>-457946.63495701551</v>
      </c>
      <c r="FX273" s="12">
        <f>SUM('MODEL Product Introduction'!$C198:$F198)*10+'MODEL Product Introduction'!$I198*'MODEL Product Introduction'!$C198</f>
        <v>2669900.1097974293</v>
      </c>
      <c r="FY273" s="12">
        <f t="shared" si="41"/>
        <v>-3127846.7447544448</v>
      </c>
      <c r="FZ273" s="12">
        <f>'MODEL Product Introduction'!$N198+'MODEL Product Introduction'!$O197</f>
        <v>-114542659.39463526</v>
      </c>
    </row>
    <row r="274" spans="90:182" ht="13.5" thickBot="1">
      <c r="CL274" s="814">
        <f t="shared" si="40"/>
        <v>1.4999999999999999E-2</v>
      </c>
      <c r="CM274" s="814">
        <f t="shared" si="38"/>
        <v>0</v>
      </c>
      <c r="CN274" s="814">
        <f t="shared" si="39"/>
        <v>1.4999999999999999E-2</v>
      </c>
      <c r="CO274" s="814"/>
      <c r="CP274" s="814"/>
      <c r="CQ274" s="814">
        <f t="shared" si="30"/>
        <v>1.4999999999999999E-2</v>
      </c>
      <c r="CR274" s="814">
        <f t="shared" si="31"/>
        <v>0</v>
      </c>
      <c r="CS274" s="814">
        <f t="shared" si="32"/>
        <v>0</v>
      </c>
      <c r="CT274" s="814">
        <f t="shared" si="33"/>
        <v>1.4999999999999999E-2</v>
      </c>
      <c r="CU274" s="814">
        <f t="shared" si="34"/>
        <v>0</v>
      </c>
      <c r="CV274" s="814">
        <f t="shared" si="35"/>
        <v>0</v>
      </c>
      <c r="CW274" s="814">
        <f t="shared" si="36"/>
        <v>1.4999999999999999E-2</v>
      </c>
      <c r="CX274" s="814"/>
      <c r="FA274" s="763">
        <f>'MODEL Product Introduction'!D199</f>
        <v>7005.4678182017524</v>
      </c>
      <c r="FB274" s="763">
        <f>'MODEL Product Introduction'!E199</f>
        <v>9007.0300519736829</v>
      </c>
      <c r="FC274" s="763">
        <f>'MODEL Product Introduction'!F199</f>
        <v>142279.43389080407</v>
      </c>
      <c r="FF274" s="763">
        <f>'MODEL Product Introduction'!I199</f>
        <v>100.2</v>
      </c>
      <c r="FG274" s="763">
        <f>'MODEL Product Introduction'!J199</f>
        <v>15366483.670039406</v>
      </c>
      <c r="FH274" s="763">
        <f>'MODEL Product Introduction'!K199</f>
        <v>15829193.17609795</v>
      </c>
      <c r="FI274" s="763">
        <f>'MODEL Product Introduction'!L199</f>
        <v>-462709.50605854392</v>
      </c>
      <c r="FJ274" s="763">
        <f>'MODEL Product Introduction'!M199</f>
        <v>1684399.0104152777</v>
      </c>
      <c r="FK274" s="763">
        <f>'MODEL Product Introduction'!N199</f>
        <v>-2147108.5164738214</v>
      </c>
      <c r="FL274" s="763">
        <f>'MODEL Product Introduction'!O199</f>
        <v>-116689767.91110907</v>
      </c>
      <c r="FO274" s="5">
        <f>'MODEL Product Introduction'!$C198*(1-'MODEL Product Introduction'!$E$92)</f>
        <v>7005.4678182017524</v>
      </c>
      <c r="FP274" s="5">
        <f>'MODEL Product Introduction'!$D198*(1-'MODEL Product Introduction'!$F$92)</f>
        <v>6242.496075625324</v>
      </c>
      <c r="FQ274" s="5">
        <f>('MODEL Product Introduction'!$E198+'MODEL Product Introduction'!$F198)*(1-'MODEL Product Introduction'!$G$92)</f>
        <v>142279.43389080407</v>
      </c>
      <c r="FR274" s="605"/>
      <c r="FS274" s="606"/>
      <c r="FT274" s="12">
        <f>'MODEL Product Introduction'!$G199*(1+'MODEL Product Introduction'!$H199)</f>
        <v>120</v>
      </c>
      <c r="FU274" s="12">
        <f>SUMPRODUCT('MODEL Product Introduction'!$C199:$F199,'MODEL Product Introduction'!$D$90:$G$90)</f>
        <v>21751050.579172328</v>
      </c>
      <c r="FV274" s="12">
        <f>SUMPRODUCT('MODEL Product Introduction'!$C199:$F199,'MODEL Product Introduction'!$D$91:$G$91)</f>
        <v>16839982.104152776</v>
      </c>
      <c r="FW274" s="12">
        <f>'MODEL Product Introduction'!$J199-'MODEL Product Introduction'!$K199</f>
        <v>-462709.50605854392</v>
      </c>
      <c r="FX274" s="12">
        <f>SUM('MODEL Product Introduction'!$C199:$F199)*10+'MODEL Product Introduction'!$I199*'MODEL Product Introduction'!$C199</f>
        <v>2696808.7163262116</v>
      </c>
      <c r="FY274" s="12">
        <f t="shared" si="41"/>
        <v>-3159518.2223847555</v>
      </c>
      <c r="FZ274" s="12">
        <f>'MODEL Product Introduction'!$N199+'MODEL Product Introduction'!$O198</f>
        <v>-116689767.91110907</v>
      </c>
    </row>
    <row r="275" spans="90:182" ht="13.5" thickBot="1">
      <c r="CL275" s="814">
        <f t="shared" si="40"/>
        <v>1.4999999999999999E-2</v>
      </c>
      <c r="CM275" s="814">
        <f t="shared" si="38"/>
        <v>0</v>
      </c>
      <c r="CN275" s="814">
        <f t="shared" si="39"/>
        <v>1.4999999999999999E-2</v>
      </c>
      <c r="CO275" s="814"/>
      <c r="CP275" s="814"/>
      <c r="CQ275" s="814">
        <f t="shared" si="30"/>
        <v>1.4999999999999999E-2</v>
      </c>
      <c r="CR275" s="814">
        <f t="shared" si="31"/>
        <v>0</v>
      </c>
      <c r="CS275" s="814">
        <f t="shared" si="32"/>
        <v>0</v>
      </c>
      <c r="CT275" s="814">
        <f t="shared" si="33"/>
        <v>1.4999999999999999E-2</v>
      </c>
      <c r="CU275" s="814">
        <f t="shared" si="34"/>
        <v>0</v>
      </c>
      <c r="CV275" s="814">
        <f t="shared" si="35"/>
        <v>0</v>
      </c>
      <c r="CW275" s="814">
        <f t="shared" si="36"/>
        <v>1.4999999999999999E-2</v>
      </c>
      <c r="CX275" s="814"/>
      <c r="FA275" s="763">
        <f>'MODEL Product Introduction'!D200</f>
        <v>7075.5224963837709</v>
      </c>
      <c r="FB275" s="763">
        <f>'MODEL Product Introduction'!E200</f>
        <v>9097.1003524934204</v>
      </c>
      <c r="FC275" s="763">
        <f>'MODEL Product Introduction'!F200</f>
        <v>143722.14074563884</v>
      </c>
      <c r="FF275" s="763">
        <f>'MODEL Product Introduction'!I200</f>
        <v>100.2</v>
      </c>
      <c r="FG275" s="763">
        <f>'MODEL Product Introduction'!J200</f>
        <v>15521965.523818117</v>
      </c>
      <c r="FH275" s="763">
        <f>'MODEL Product Introduction'!K200</f>
        <v>15989476.359451603</v>
      </c>
      <c r="FI275" s="763">
        <f>'MODEL Product Introduction'!L200</f>
        <v>-467510.83563348651</v>
      </c>
      <c r="FJ275" s="763">
        <f>'MODEL Product Introduction'!M200</f>
        <v>1701438.1176786977</v>
      </c>
      <c r="FK275" s="763">
        <f>'MODEL Product Introduction'!N200</f>
        <v>-2168948.9533121842</v>
      </c>
      <c r="FL275" s="763">
        <f>'MODEL Product Introduction'!O200</f>
        <v>-118858716.86442126</v>
      </c>
      <c r="FO275" s="5">
        <f>'MODEL Product Introduction'!$C199*(1-'MODEL Product Introduction'!$E$92)</f>
        <v>7075.5224963837709</v>
      </c>
      <c r="FP275" s="5">
        <f>'MODEL Product Introduction'!$D199*(1-'MODEL Product Introduction'!$F$92)</f>
        <v>6304.9210363815773</v>
      </c>
      <c r="FQ275" s="5">
        <f>('MODEL Product Introduction'!$E199+'MODEL Product Introduction'!$F199)*(1-'MODEL Product Introduction'!$G$92)</f>
        <v>143722.14074563884</v>
      </c>
      <c r="FR275" s="605"/>
      <c r="FS275" s="606"/>
      <c r="FT275" s="12">
        <f>'MODEL Product Introduction'!$G200*(1+'MODEL Product Introduction'!$H200)</f>
        <v>120</v>
      </c>
      <c r="FU275" s="12">
        <f>SUMPRODUCT('MODEL Product Introduction'!$C200:$F200,'MODEL Product Introduction'!$D$90:$G$90)</f>
        <v>21971348.837193795</v>
      </c>
      <c r="FV275" s="12">
        <f>SUMPRODUCT('MODEL Product Introduction'!$C200:$F200,'MODEL Product Introduction'!$D$91:$G$91)</f>
        <v>17010373.176786974</v>
      </c>
      <c r="FW275" s="12">
        <f>'MODEL Product Introduction'!$J200-'MODEL Product Introduction'!$K200</f>
        <v>-467510.83563348651</v>
      </c>
      <c r="FX275" s="12">
        <f>SUM('MODEL Product Introduction'!$C200:$F200)*10+'MODEL Product Introduction'!$I200*'MODEL Product Introduction'!$C200</f>
        <v>2723975.928648741</v>
      </c>
      <c r="FY275" s="12">
        <f t="shared" si="41"/>
        <v>-3191486.7642822275</v>
      </c>
      <c r="FZ275" s="12">
        <f>'MODEL Product Introduction'!$N200+'MODEL Product Introduction'!$O199</f>
        <v>-118858716.86442126</v>
      </c>
    </row>
    <row r="276" spans="90:182" ht="13.5" thickBot="1">
      <c r="CL276" s="814">
        <f t="shared" si="40"/>
        <v>1.4999999999999999E-2</v>
      </c>
      <c r="CM276" s="814">
        <f t="shared" si="38"/>
        <v>0</v>
      </c>
      <c r="CN276" s="814">
        <f t="shared" si="39"/>
        <v>1.4999999999999999E-2</v>
      </c>
      <c r="CO276" s="814"/>
      <c r="CP276" s="814"/>
      <c r="CQ276" s="814">
        <f t="shared" si="30"/>
        <v>1.4999999999999999E-2</v>
      </c>
      <c r="CR276" s="814">
        <f t="shared" si="31"/>
        <v>0</v>
      </c>
      <c r="CS276" s="814">
        <f t="shared" si="32"/>
        <v>0</v>
      </c>
      <c r="CT276" s="814">
        <f t="shared" si="33"/>
        <v>1.4999999999999999E-2</v>
      </c>
      <c r="CU276" s="814">
        <f t="shared" si="34"/>
        <v>0</v>
      </c>
      <c r="CV276" s="814">
        <f t="shared" si="35"/>
        <v>0</v>
      </c>
      <c r="CW276" s="814">
        <f t="shared" si="36"/>
        <v>1.4999999999999999E-2</v>
      </c>
      <c r="CX276" s="814"/>
      <c r="FA276" s="763">
        <f>'MODEL Product Introduction'!D201</f>
        <v>7146.2777213476083</v>
      </c>
      <c r="FB276" s="763">
        <f>'MODEL Product Introduction'!E201</f>
        <v>9188.071356018354</v>
      </c>
      <c r="FC276" s="763">
        <f>'MODEL Product Introduction'!F201</f>
        <v>145178.27904322566</v>
      </c>
      <c r="FF276" s="763">
        <f>'MODEL Product Introduction'!I201</f>
        <v>100.2</v>
      </c>
      <c r="FG276" s="763">
        <f>'MODEL Product Introduction'!J201</f>
        <v>15678911.345280699</v>
      </c>
      <c r="FH276" s="763">
        <f>'MODEL Product Introduction'!K201</f>
        <v>16151262.812059164</v>
      </c>
      <c r="FI276" s="763">
        <f>'MODEL Product Introduction'!L201</f>
        <v>-472351.46677846462</v>
      </c>
      <c r="FJ276" s="763">
        <f>'MODEL Product Introduction'!M201</f>
        <v>1718637.6597567888</v>
      </c>
      <c r="FK276" s="763">
        <f>'MODEL Product Introduction'!N201</f>
        <v>-2190989.1265352536</v>
      </c>
      <c r="FL276" s="763">
        <f>'MODEL Product Introduction'!O201</f>
        <v>-121049705.99095652</v>
      </c>
      <c r="FO276" s="5">
        <f>'MODEL Product Introduction'!$C200*(1-'MODEL Product Introduction'!$E$92)</f>
        <v>7146.2777213476083</v>
      </c>
      <c r="FP276" s="5">
        <f>'MODEL Product Introduction'!$D200*(1-'MODEL Product Introduction'!$F$92)</f>
        <v>6367.9702467453935</v>
      </c>
      <c r="FQ276" s="5">
        <f>('MODEL Product Introduction'!$E200+'MODEL Product Introduction'!$F200)*(1-'MODEL Product Introduction'!$G$92)</f>
        <v>145178.27904322566</v>
      </c>
      <c r="FR276" s="605"/>
      <c r="FS276" s="606"/>
      <c r="FT276" s="12">
        <f>'MODEL Product Introduction'!$G201*(1+'MODEL Product Introduction'!$H201)</f>
        <v>120</v>
      </c>
      <c r="FU276" s="12">
        <f>SUMPRODUCT('MODEL Product Introduction'!$C201:$F201,'MODEL Product Introduction'!$D$90:$G$90)</f>
        <v>22193710.69018399</v>
      </c>
      <c r="FV276" s="12">
        <f>SUMPRODUCT('MODEL Product Introduction'!$C201:$F201,'MODEL Product Introduction'!$D$91:$G$91)</f>
        <v>17182368.59756789</v>
      </c>
      <c r="FW276" s="12">
        <f>'MODEL Product Introduction'!$J201-'MODEL Product Introduction'!$K201</f>
        <v>-472351.46677846462</v>
      </c>
      <c r="FX276" s="12">
        <f>SUM('MODEL Product Introduction'!$C201:$F201)*10+'MODEL Product Introduction'!$I201*'MODEL Product Introduction'!$C201</f>
        <v>2751404.8568365327</v>
      </c>
      <c r="FY276" s="12">
        <f t="shared" si="41"/>
        <v>-3223756.3236149973</v>
      </c>
      <c r="FZ276" s="12">
        <f>'MODEL Product Introduction'!$N201+'MODEL Product Introduction'!$O200</f>
        <v>-121049705.99095652</v>
      </c>
    </row>
    <row r="277" spans="90:182" ht="13.5" thickBot="1">
      <c r="CL277" s="814">
        <f t="shared" si="40"/>
        <v>1.4999999999999999E-2</v>
      </c>
      <c r="CM277" s="814">
        <f t="shared" si="38"/>
        <v>0</v>
      </c>
      <c r="CN277" s="814">
        <f t="shared" si="39"/>
        <v>1.4999999999999999E-2</v>
      </c>
      <c r="CO277" s="814"/>
      <c r="CP277" s="814"/>
      <c r="CQ277" s="814">
        <f t="shared" si="30"/>
        <v>1.4999999999999999E-2</v>
      </c>
      <c r="CR277" s="814">
        <f t="shared" si="31"/>
        <v>0</v>
      </c>
      <c r="CS277" s="814">
        <f t="shared" si="32"/>
        <v>0</v>
      </c>
      <c r="CT277" s="814">
        <f t="shared" si="33"/>
        <v>1.4999999999999999E-2</v>
      </c>
      <c r="CU277" s="814">
        <f t="shared" si="34"/>
        <v>0</v>
      </c>
      <c r="CV277" s="814">
        <f t="shared" si="35"/>
        <v>0</v>
      </c>
      <c r="CW277" s="814">
        <f t="shared" si="36"/>
        <v>1.4999999999999999E-2</v>
      </c>
      <c r="CX277" s="814"/>
      <c r="FA277" s="763">
        <f>'MODEL Product Introduction'!D202</f>
        <v>7217.7404985610847</v>
      </c>
      <c r="FB277" s="763">
        <f>'MODEL Product Introduction'!E202</f>
        <v>9279.9520695785395</v>
      </c>
      <c r="FC277" s="763">
        <f>'MODEL Product Introduction'!F202</f>
        <v>146648.03287928182</v>
      </c>
      <c r="FF277" s="763">
        <f>'MODEL Product Introduction'!I202</f>
        <v>100.2</v>
      </c>
      <c r="FG277" s="763">
        <f>'MODEL Product Introduction'!J202</f>
        <v>15837340.316646688</v>
      </c>
      <c r="FH277" s="763">
        <f>'MODEL Product Introduction'!K202</f>
        <v>16314572.544742143</v>
      </c>
      <c r="FI277" s="763">
        <f>'MODEL Product Introduction'!L202</f>
        <v>-477232.2280954551</v>
      </c>
      <c r="FJ277" s="763">
        <f>'MODEL Product Introduction'!M202</f>
        <v>1735999.7388105958</v>
      </c>
      <c r="FK277" s="763">
        <f>'MODEL Product Introduction'!N202</f>
        <v>-2213231.9669060512</v>
      </c>
      <c r="FL277" s="763">
        <f>'MODEL Product Introduction'!O202</f>
        <v>-123262937.95786257</v>
      </c>
      <c r="FO277" s="5">
        <f>'MODEL Product Introduction'!$C201*(1-'MODEL Product Introduction'!$E$92)</f>
        <v>7217.7404985610847</v>
      </c>
      <c r="FP277" s="5">
        <f>'MODEL Product Introduction'!$D201*(1-'MODEL Product Introduction'!$F$92)</f>
        <v>6431.6499492128478</v>
      </c>
      <c r="FQ277" s="5">
        <f>('MODEL Product Introduction'!$E201+'MODEL Product Introduction'!$F201)*(1-'MODEL Product Introduction'!$G$92)</f>
        <v>146648.03287928182</v>
      </c>
      <c r="FR277" s="605"/>
      <c r="FS277" s="606"/>
      <c r="FT277" s="12">
        <f>'MODEL Product Introduction'!$G202*(1+'MODEL Product Introduction'!$H202)</f>
        <v>120</v>
      </c>
      <c r="FU277" s="12">
        <f>SUMPRODUCT('MODEL Product Introduction'!$C202:$F202,'MODEL Product Introduction'!$D$90:$G$90)</f>
        <v>22418163.74347318</v>
      </c>
      <c r="FV277" s="12">
        <f>SUMPRODUCT('MODEL Product Introduction'!$C202:$F202,'MODEL Product Introduction'!$D$91:$G$91)</f>
        <v>17355989.388105959</v>
      </c>
      <c r="FW277" s="12">
        <f>'MODEL Product Introduction'!$J202-'MODEL Product Introduction'!$K202</f>
        <v>-477232.2280954551</v>
      </c>
      <c r="FX277" s="12">
        <f>SUM('MODEL Product Introduction'!$C202:$F202)*10+'MODEL Product Introduction'!$I202*'MODEL Product Introduction'!$C202</f>
        <v>2779098.6158611374</v>
      </c>
      <c r="FY277" s="12">
        <f t="shared" si="41"/>
        <v>-3256330.8439565925</v>
      </c>
      <c r="FZ277" s="12">
        <f>'MODEL Product Introduction'!$N202+'MODEL Product Introduction'!$O201</f>
        <v>-123262937.95786257</v>
      </c>
    </row>
    <row r="278" spans="90:182" ht="13.5" thickBot="1">
      <c r="CL278" s="814">
        <f t="shared" si="40"/>
        <v>1.4999999999999999E-2</v>
      </c>
      <c r="CM278" s="814">
        <f t="shared" si="38"/>
        <v>0</v>
      </c>
      <c r="CN278" s="814">
        <f t="shared" si="39"/>
        <v>1.4999999999999999E-2</v>
      </c>
      <c r="CO278" s="814"/>
      <c r="CP278" s="814"/>
      <c r="CQ278" s="814">
        <f t="shared" si="30"/>
        <v>1.4999999999999999E-2</v>
      </c>
      <c r="CR278" s="814">
        <f t="shared" si="31"/>
        <v>0</v>
      </c>
      <c r="CS278" s="814">
        <f t="shared" si="32"/>
        <v>0</v>
      </c>
      <c r="CT278" s="814">
        <f t="shared" si="33"/>
        <v>1.4999999999999999E-2</v>
      </c>
      <c r="CU278" s="814">
        <f t="shared" si="34"/>
        <v>0</v>
      </c>
      <c r="CV278" s="814">
        <f t="shared" si="35"/>
        <v>0</v>
      </c>
      <c r="CW278" s="814">
        <f t="shared" si="36"/>
        <v>1.4999999999999999E-2</v>
      </c>
      <c r="CX278" s="814"/>
      <c r="FA278" s="763">
        <f>'MODEL Product Introduction'!D203</f>
        <v>7289.9179035466968</v>
      </c>
      <c r="FB278" s="763">
        <f>'MODEL Product Introduction'!E203</f>
        <v>9372.7515902743253</v>
      </c>
      <c r="FC278" s="763">
        <f>'MODEL Product Introduction'!F203</f>
        <v>148131.58570141735</v>
      </c>
      <c r="FF278" s="763">
        <f>'MODEL Product Introduction'!I203</f>
        <v>110.2</v>
      </c>
      <c r="FG278" s="763">
        <f>'MODEL Product Introduction'!J203</f>
        <v>15997271.584830677</v>
      </c>
      <c r="FH278" s="763">
        <f>'MODEL Product Introduction'!K203</f>
        <v>16479425.519523837</v>
      </c>
      <c r="FI278" s="763">
        <f>'MODEL Product Introduction'!L203</f>
        <v>-482153.93469315954</v>
      </c>
      <c r="FJ278" s="763">
        <f>'MODEL Product Introduction'!M203</f>
        <v>1753566.453132129</v>
      </c>
      <c r="FK278" s="763">
        <f>'MODEL Product Introduction'!N203</f>
        <v>-2235720.3878252888</v>
      </c>
      <c r="FL278" s="763">
        <f>'MODEL Product Introduction'!O203</f>
        <v>-125498658.34568787</v>
      </c>
      <c r="FO278" s="5">
        <f>'MODEL Product Introduction'!$C202*(1-'MODEL Product Introduction'!$E$92)</f>
        <v>7289.9179035466968</v>
      </c>
      <c r="FP278" s="5">
        <f>'MODEL Product Introduction'!$D202*(1-'MODEL Product Introduction'!$F$92)</f>
        <v>6495.9664487049768</v>
      </c>
      <c r="FQ278" s="5">
        <f>('MODEL Product Introduction'!$E202+'MODEL Product Introduction'!$F202)*(1-'MODEL Product Introduction'!$G$92)</f>
        <v>148131.58570141735</v>
      </c>
      <c r="FR278" s="605"/>
      <c r="FS278" s="606"/>
      <c r="FT278" s="12">
        <f>'MODEL Product Introduction'!$G203*(1+'MODEL Product Introduction'!$H203)</f>
        <v>132</v>
      </c>
      <c r="FU278" s="12">
        <f>SUMPRODUCT('MODEL Product Introduction'!$C203:$F203,'MODEL Product Introduction'!$D$90:$G$90)</f>
        <v>22644735.529975891</v>
      </c>
      <c r="FV278" s="12">
        <f>SUMPRODUCT('MODEL Product Introduction'!$C203:$F203,'MODEL Product Introduction'!$D$91:$G$91)</f>
        <v>17531256.531321287</v>
      </c>
      <c r="FW278" s="12">
        <f>'MODEL Product Introduction'!$J203-'MODEL Product Introduction'!$K203</f>
        <v>-482153.93469315954</v>
      </c>
      <c r="FX278" s="12">
        <f>SUM('MODEL Product Introduction'!$C203:$F203)*10+'MODEL Product Introduction'!$I203*'MODEL Product Introduction'!$C203</f>
        <v>2912243.4281329215</v>
      </c>
      <c r="FY278" s="12">
        <f t="shared" si="41"/>
        <v>-3394397.362826081</v>
      </c>
      <c r="FZ278" s="12">
        <f>'MODEL Product Introduction'!$N203+'MODEL Product Introduction'!$O202</f>
        <v>-125498658.34568787</v>
      </c>
    </row>
    <row r="279" spans="90:182" ht="13.5" thickBot="1">
      <c r="CL279" s="814">
        <f t="shared" si="40"/>
        <v>1.4999999999999999E-2</v>
      </c>
      <c r="CM279" s="814">
        <f t="shared" si="38"/>
        <v>0</v>
      </c>
      <c r="CN279" s="814">
        <f t="shared" si="39"/>
        <v>1.4999999999999999E-2</v>
      </c>
      <c r="CO279" s="814"/>
      <c r="CP279" s="814"/>
      <c r="CQ279" s="814">
        <f t="shared" si="30"/>
        <v>1.4999999999999999E-2</v>
      </c>
      <c r="CR279" s="814">
        <f t="shared" si="31"/>
        <v>0</v>
      </c>
      <c r="CS279" s="814">
        <f t="shared" si="32"/>
        <v>0</v>
      </c>
      <c r="CT279" s="814">
        <f t="shared" si="33"/>
        <v>1.4999999999999999E-2</v>
      </c>
      <c r="CU279" s="814">
        <f t="shared" si="34"/>
        <v>0</v>
      </c>
      <c r="CV279" s="814">
        <f t="shared" si="35"/>
        <v>0</v>
      </c>
      <c r="CW279" s="814">
        <f t="shared" si="36"/>
        <v>1.4999999999999999E-2</v>
      </c>
      <c r="CX279" s="814"/>
      <c r="FA279" s="763">
        <f>'MODEL Product Introduction'!D204</f>
        <v>7362.8170825821644</v>
      </c>
      <c r="FB279" s="763">
        <f>'MODEL Product Introduction'!E204</f>
        <v>9466.4791061770684</v>
      </c>
      <c r="FC279" s="763">
        <f>'MODEL Product Introduction'!F204</f>
        <v>149629.12042710709</v>
      </c>
      <c r="FF279" s="763">
        <f>'MODEL Product Introduction'!I204</f>
        <v>110.2</v>
      </c>
      <c r="FG279" s="763">
        <f>'MODEL Product Introduction'!J204</f>
        <v>16158724.27244563</v>
      </c>
      <c r="FH279" s="763">
        <f>'MODEL Product Introduction'!K204</f>
        <v>16645841.661586633</v>
      </c>
      <c r="FI279" s="763">
        <f>'MODEL Product Introduction'!L204</f>
        <v>-487117.38914100267</v>
      </c>
      <c r="FJ279" s="763">
        <f>'MODEL Product Introduction'!M204</f>
        <v>1771259.898350206</v>
      </c>
      <c r="FK279" s="763">
        <f>'MODEL Product Introduction'!N204</f>
        <v>-2258377.2874912089</v>
      </c>
      <c r="FL279" s="763">
        <f>'MODEL Product Introduction'!O204</f>
        <v>-127757035.63317907</v>
      </c>
      <c r="FO279" s="5">
        <f>'MODEL Product Introduction'!$C203*(1-'MODEL Product Introduction'!$E$92)</f>
        <v>7362.8170825821644</v>
      </c>
      <c r="FP279" s="5">
        <f>'MODEL Product Introduction'!$D203*(1-'MODEL Product Introduction'!$F$92)</f>
        <v>6560.9261131920275</v>
      </c>
      <c r="FQ279" s="5">
        <f>('MODEL Product Introduction'!$E203+'MODEL Product Introduction'!$F203)*(1-'MODEL Product Introduction'!$G$92)</f>
        <v>149629.12042710709</v>
      </c>
      <c r="FR279" s="605"/>
      <c r="FS279" s="606"/>
      <c r="FT279" s="12">
        <f>'MODEL Product Introduction'!$G204*(1+'MODEL Product Introduction'!$H204)</f>
        <v>132</v>
      </c>
      <c r="FU279" s="12">
        <f>SUMPRODUCT('MODEL Product Introduction'!$C204:$F204,'MODEL Product Introduction'!$D$90:$G$90)</f>
        <v>22873453.526890229</v>
      </c>
      <c r="FV279" s="12">
        <f>SUMPRODUCT('MODEL Product Introduction'!$C204:$F204,'MODEL Product Introduction'!$D$91:$G$91)</f>
        <v>17708190.98350206</v>
      </c>
      <c r="FW279" s="12">
        <f>'MODEL Product Introduction'!$J204-'MODEL Product Introduction'!$K204</f>
        <v>-487117.38914100267</v>
      </c>
      <c r="FX279" s="12">
        <f>SUM('MODEL Product Introduction'!$C204:$F204)*10+'MODEL Product Introduction'!$I204*'MODEL Product Introduction'!$C204</f>
        <v>2941528.0511010061</v>
      </c>
      <c r="FY279" s="12">
        <f t="shared" si="41"/>
        <v>-3428645.4402420088</v>
      </c>
      <c r="FZ279" s="12">
        <f>'MODEL Product Introduction'!$N204+'MODEL Product Introduction'!$O203</f>
        <v>-127757035.63317907</v>
      </c>
    </row>
    <row r="280" spans="90:182" ht="13.5" thickBot="1">
      <c r="CL280" s="814">
        <f t="shared" si="40"/>
        <v>1.4999999999999999E-2</v>
      </c>
      <c r="CM280" s="814">
        <f t="shared" si="38"/>
        <v>0</v>
      </c>
      <c r="CN280" s="814">
        <f t="shared" si="39"/>
        <v>1.4999999999999999E-2</v>
      </c>
      <c r="CO280" s="814"/>
      <c r="CP280" s="814"/>
      <c r="CQ280" s="814">
        <f t="shared" si="30"/>
        <v>1.4999999999999999E-2</v>
      </c>
      <c r="CR280" s="814">
        <f t="shared" si="31"/>
        <v>0</v>
      </c>
      <c r="CS280" s="814">
        <f t="shared" si="32"/>
        <v>0</v>
      </c>
      <c r="CT280" s="814">
        <f t="shared" si="33"/>
        <v>1.4999999999999999E-2</v>
      </c>
      <c r="CU280" s="814">
        <f t="shared" si="34"/>
        <v>0</v>
      </c>
      <c r="CV280" s="814">
        <f t="shared" si="35"/>
        <v>0</v>
      </c>
      <c r="CW280" s="814">
        <f t="shared" si="36"/>
        <v>1.4999999999999999E-2</v>
      </c>
      <c r="CX280" s="814"/>
      <c r="FA280" s="763">
        <f>'MODEL Product Introduction'!D205</f>
        <v>7436.4452534079865</v>
      </c>
      <c r="FB280" s="763">
        <f>'MODEL Product Introduction'!E205</f>
        <v>9561.1438972388405</v>
      </c>
      <c r="FC280" s="763">
        <f>'MODEL Product Introduction'!F205</f>
        <v>151140.81955661994</v>
      </c>
      <c r="FF280" s="763">
        <f>'MODEL Product Introduction'!I205</f>
        <v>150.19999999999999</v>
      </c>
      <c r="FG280" s="763">
        <f>'MODEL Product Introduction'!J205</f>
        <v>16321717.488348398</v>
      </c>
      <c r="FH280" s="763">
        <f>'MODEL Product Introduction'!K205</f>
        <v>16813840.870726675</v>
      </c>
      <c r="FI280" s="763">
        <f>'MODEL Product Introduction'!L205</f>
        <v>-492123.38237827644</v>
      </c>
      <c r="FJ280" s="763">
        <f>'MODEL Product Introduction'!M205</f>
        <v>1789282.1685861258</v>
      </c>
      <c r="FK280" s="763">
        <f>'MODEL Product Introduction'!N205</f>
        <v>-2281405.550964402</v>
      </c>
      <c r="FL280" s="763">
        <f>'MODEL Product Introduction'!O205</f>
        <v>-130038441.18414347</v>
      </c>
      <c r="FO280" s="5">
        <f>'MODEL Product Introduction'!$C204*(1-'MODEL Product Introduction'!$E$92)</f>
        <v>7436.4452534079865</v>
      </c>
      <c r="FP280" s="5">
        <f>'MODEL Product Introduction'!$D204*(1-'MODEL Product Introduction'!$F$92)</f>
        <v>6626.5353743239484</v>
      </c>
      <c r="FQ280" s="5">
        <f>('MODEL Product Introduction'!$E204+'MODEL Product Introduction'!$F204)*(1-'MODEL Product Introduction'!$G$92)</f>
        <v>151140.81955661994</v>
      </c>
      <c r="FR280" s="605"/>
      <c r="FS280" s="606"/>
      <c r="FT280" s="12">
        <f>'MODEL Product Introduction'!$G205*(1+'MODEL Product Introduction'!$H205)</f>
        <v>180</v>
      </c>
      <c r="FU280" s="12">
        <f>SUMPRODUCT('MODEL Product Introduction'!$C205:$F205,'MODEL Product Introduction'!$D$90:$G$90)</f>
        <v>23104345.171692982</v>
      </c>
      <c r="FV280" s="12">
        <f>SUMPRODUCT('MODEL Product Introduction'!$C205:$F205,'MODEL Product Introduction'!$D$91:$G$91)</f>
        <v>17886813.685861256</v>
      </c>
      <c r="FW280" s="12">
        <f>'MODEL Product Introduction'!$J205-'MODEL Product Introduction'!$K205</f>
        <v>-492123.38237827644</v>
      </c>
      <c r="FX280" s="12">
        <f>SUM('MODEL Product Introduction'!$C205:$F205)*10+'MODEL Product Introduction'!$I205*'MODEL Product Introduction'!$C205</f>
        <v>3400286.5369182662</v>
      </c>
      <c r="FY280" s="12">
        <f t="shared" si="41"/>
        <v>-3892409.9192965426</v>
      </c>
      <c r="FZ280" s="12">
        <f>'MODEL Product Introduction'!$N205+'MODEL Product Introduction'!$O204</f>
        <v>-130038441.18414347</v>
      </c>
    </row>
    <row r="281" spans="90:182" ht="13.5" thickBot="1">
      <c r="CL281" s="814">
        <f t="shared" si="40"/>
        <v>1.4999999999999999E-2</v>
      </c>
      <c r="CM281" s="814">
        <f t="shared" si="38"/>
        <v>0</v>
      </c>
      <c r="CN281" s="814">
        <f t="shared" si="39"/>
        <v>1.4999999999999999E-2</v>
      </c>
      <c r="CO281" s="814"/>
      <c r="CP281" s="814"/>
      <c r="CQ281" s="814">
        <f t="shared" si="30"/>
        <v>1.4999999999999999E-2</v>
      </c>
      <c r="CR281" s="814">
        <f t="shared" si="31"/>
        <v>0</v>
      </c>
      <c r="CS281" s="814">
        <f t="shared" si="32"/>
        <v>0</v>
      </c>
      <c r="CT281" s="814">
        <f t="shared" si="33"/>
        <v>1.4999999999999999E-2</v>
      </c>
      <c r="CU281" s="814">
        <f t="shared" si="34"/>
        <v>0</v>
      </c>
      <c r="CV281" s="814">
        <f t="shared" si="35"/>
        <v>0</v>
      </c>
      <c r="CW281" s="814">
        <f t="shared" si="36"/>
        <v>1.4999999999999999E-2</v>
      </c>
      <c r="CX281" s="814"/>
      <c r="FA281" s="763">
        <f>'MODEL Product Introduction'!D206</f>
        <v>7510.8097059420661</v>
      </c>
      <c r="FB281" s="763">
        <f>'MODEL Product Introduction'!E206</f>
        <v>9656.7553362112285</v>
      </c>
      <c r="FC281" s="763">
        <f>'MODEL Product Introduction'!F206</f>
        <v>152666.86528116584</v>
      </c>
      <c r="FF281" s="763">
        <f>'MODEL Product Introduction'!I206</f>
        <v>100.2</v>
      </c>
      <c r="FG281" s="763">
        <f>'MODEL Product Introduction'!J206</f>
        <v>16486270.337751279</v>
      </c>
      <c r="FH281" s="763">
        <f>'MODEL Product Introduction'!K206</f>
        <v>16983443.032331914</v>
      </c>
      <c r="FI281" s="763">
        <f>'MODEL Product Introduction'!L206</f>
        <v>-497172.69458063506</v>
      </c>
      <c r="FJ281" s="763">
        <f>'MODEL Product Introduction'!M206</f>
        <v>1807115.3575617841</v>
      </c>
      <c r="FK281" s="763">
        <f>'MODEL Product Introduction'!N206</f>
        <v>-2304288.0521424189</v>
      </c>
      <c r="FL281" s="763">
        <f>'MODEL Product Introduction'!O206</f>
        <v>-132342729.2362859</v>
      </c>
      <c r="FO281" s="5">
        <f>'MODEL Product Introduction'!$C205*(1-'MODEL Product Introduction'!$E$92)</f>
        <v>7510.8097059420661</v>
      </c>
      <c r="FP281" s="5">
        <f>'MODEL Product Introduction'!$D205*(1-'MODEL Product Introduction'!$F$92)</f>
        <v>6692.8007280671882</v>
      </c>
      <c r="FQ281" s="5">
        <f>('MODEL Product Introduction'!$E205+'MODEL Product Introduction'!$F205)*(1-'MODEL Product Introduction'!$G$92)</f>
        <v>152666.86528116584</v>
      </c>
      <c r="FR281" s="605"/>
      <c r="FS281" s="606"/>
      <c r="FT281" s="12">
        <f>'MODEL Product Introduction'!$G206*(1+'MODEL Product Introduction'!$H206)</f>
        <v>120</v>
      </c>
      <c r="FU281" s="12">
        <f>SUMPRODUCT('MODEL Product Introduction'!$C206:$F206,'MODEL Product Introduction'!$D$90:$G$90)</f>
        <v>23337437.87746707</v>
      </c>
      <c r="FV281" s="12">
        <f>SUMPRODUCT('MODEL Product Introduction'!$C206:$F206,'MODEL Product Introduction'!$D$91:$G$91)</f>
        <v>18067145.575617839</v>
      </c>
      <c r="FW281" s="12">
        <f>'MODEL Product Introduction'!$J206-'MODEL Product Introduction'!$K206</f>
        <v>-497172.69458063506</v>
      </c>
      <c r="FX281" s="12">
        <f>SUM('MODEL Product Introduction'!$C206:$F206)*10+'MODEL Product Introduction'!$I206*'MODEL Product Introduction'!$C206</f>
        <v>2892584.5059342827</v>
      </c>
      <c r="FY281" s="12">
        <f t="shared" si="41"/>
        <v>-3389757.2005149177</v>
      </c>
      <c r="FZ281" s="12">
        <f>'MODEL Product Introduction'!$N206+'MODEL Product Introduction'!$O205</f>
        <v>-132342729.2362859</v>
      </c>
    </row>
    <row r="282" spans="90:182" ht="13.5" thickBot="1">
      <c r="CL282" s="814">
        <f t="shared" si="40"/>
        <v>1.4999999999999999E-2</v>
      </c>
      <c r="CM282" s="814">
        <f t="shared" si="38"/>
        <v>0</v>
      </c>
      <c r="CN282" s="814">
        <f t="shared" si="39"/>
        <v>1.4999999999999999E-2</v>
      </c>
      <c r="CO282" s="814"/>
      <c r="CP282" s="814"/>
      <c r="CQ282" s="814">
        <f t="shared" si="30"/>
        <v>1.4999999999999999E-2</v>
      </c>
      <c r="CR282" s="814">
        <f t="shared" si="31"/>
        <v>0</v>
      </c>
      <c r="CS282" s="814">
        <f t="shared" si="32"/>
        <v>0</v>
      </c>
      <c r="CT282" s="814">
        <f t="shared" si="33"/>
        <v>1.4999999999999999E-2</v>
      </c>
      <c r="CU282" s="814">
        <f t="shared" si="34"/>
        <v>0</v>
      </c>
      <c r="CV282" s="814">
        <f t="shared" si="35"/>
        <v>0</v>
      </c>
      <c r="CW282" s="814">
        <f t="shared" si="36"/>
        <v>1.4999999999999999E-2</v>
      </c>
      <c r="CX282" s="814"/>
      <c r="FA282" s="763">
        <f>'MODEL Product Introduction'!D207</f>
        <v>7585.9178030014864</v>
      </c>
      <c r="FB282" s="763">
        <f>'MODEL Product Introduction'!E207</f>
        <v>9753.3228895733409</v>
      </c>
      <c r="FC282" s="763">
        <f>'MODEL Product Introduction'!F207</f>
        <v>154207.4395865082</v>
      </c>
      <c r="FF282" s="763">
        <f>'MODEL Product Introduction'!I207</f>
        <v>100.2</v>
      </c>
      <c r="FG282" s="763">
        <f>'MODEL Product Introduction'!J207</f>
        <v>16652401.93192222</v>
      </c>
      <c r="FH282" s="763">
        <f>'MODEL Product Introduction'!K207</f>
        <v>17154668.027908303</v>
      </c>
      <c r="FI282" s="763">
        <f>'MODEL Product Introduction'!L207</f>
        <v>-502266.09598608315</v>
      </c>
      <c r="FJ282" s="763">
        <f>'MODEL Product Introduction'!M207</f>
        <v>1825321.559662709</v>
      </c>
      <c r="FK282" s="763">
        <f>'MODEL Product Introduction'!N207</f>
        <v>-2327587.6556487922</v>
      </c>
      <c r="FL282" s="763">
        <f>'MODEL Product Introduction'!O207</f>
        <v>-134670316.89193469</v>
      </c>
      <c r="FO282" s="5">
        <f>'MODEL Product Introduction'!$C206*(1-'MODEL Product Introduction'!$E$92)</f>
        <v>7585.9178030014864</v>
      </c>
      <c r="FP282" s="5">
        <f>'MODEL Product Introduction'!$D206*(1-'MODEL Product Introduction'!$F$92)</f>
        <v>6759.7287353478596</v>
      </c>
      <c r="FQ282" s="5">
        <f>('MODEL Product Introduction'!$E206+'MODEL Product Introduction'!$F206)*(1-'MODEL Product Introduction'!$G$92)</f>
        <v>154207.4395865082</v>
      </c>
      <c r="FR282" s="605"/>
      <c r="FS282" s="606"/>
      <c r="FT282" s="12">
        <f>'MODEL Product Introduction'!$G207*(1+'MODEL Product Introduction'!$H207)</f>
        <v>120</v>
      </c>
      <c r="FU282" s="12">
        <f>SUMPRODUCT('MODEL Product Introduction'!$C207:$F207,'MODEL Product Introduction'!$D$90:$G$90)</f>
        <v>23572759.047596037</v>
      </c>
      <c r="FV282" s="12">
        <f>SUMPRODUCT('MODEL Product Introduction'!$C207:$F207,'MODEL Product Introduction'!$D$91:$G$91)</f>
        <v>18249207.59662709</v>
      </c>
      <c r="FW282" s="12">
        <f>'MODEL Product Introduction'!$J207-'MODEL Product Introduction'!$K207</f>
        <v>-502266.09598608315</v>
      </c>
      <c r="FX282" s="12">
        <f>SUM('MODEL Product Introduction'!$C207:$F207)*10+'MODEL Product Introduction'!$I207*'MODEL Product Introduction'!$C207</f>
        <v>2921649.4075189326</v>
      </c>
      <c r="FY282" s="12">
        <f t="shared" si="41"/>
        <v>-3423915.5035050157</v>
      </c>
      <c r="FZ282" s="12">
        <f>'MODEL Product Introduction'!$N207+'MODEL Product Introduction'!$O206</f>
        <v>-134670316.89193469</v>
      </c>
    </row>
    <row r="283" spans="90:182" ht="13.5" thickBot="1">
      <c r="CL283" s="814">
        <f t="shared" si="40"/>
        <v>1.4999999999999999E-2</v>
      </c>
      <c r="CM283" s="814">
        <f t="shared" si="38"/>
        <v>0</v>
      </c>
      <c r="CN283" s="814">
        <f t="shared" si="39"/>
        <v>1.4999999999999999E-2</v>
      </c>
      <c r="CO283" s="814"/>
      <c r="CP283" s="814"/>
      <c r="CQ283" s="814">
        <f t="shared" si="30"/>
        <v>1.4999999999999999E-2</v>
      </c>
      <c r="CR283" s="814">
        <f t="shared" si="31"/>
        <v>0</v>
      </c>
      <c r="CS283" s="814">
        <f t="shared" si="32"/>
        <v>0</v>
      </c>
      <c r="CT283" s="814">
        <f t="shared" si="33"/>
        <v>1.4999999999999999E-2</v>
      </c>
      <c r="CU283" s="814">
        <f t="shared" si="34"/>
        <v>0</v>
      </c>
      <c r="CV283" s="814">
        <f t="shared" si="35"/>
        <v>0</v>
      </c>
      <c r="CW283" s="814">
        <f t="shared" si="36"/>
        <v>1.4999999999999999E-2</v>
      </c>
      <c r="CX283" s="814"/>
      <c r="FA283" s="763">
        <f>'MODEL Product Introduction'!D208</f>
        <v>7661.7769810315012</v>
      </c>
      <c r="FB283" s="763">
        <f>'MODEL Product Introduction'!E208</f>
        <v>9850.8561184690734</v>
      </c>
      <c r="FC283" s="763">
        <f>'MODEL Product Introduction'!F208</f>
        <v>155762.72435227747</v>
      </c>
      <c r="FF283" s="763">
        <f>'MODEL Product Introduction'!I208</f>
        <v>100.2</v>
      </c>
      <c r="FG283" s="763">
        <f>'MODEL Product Introduction'!J208</f>
        <v>16820131.397495199</v>
      </c>
      <c r="FH283" s="763">
        <f>'MODEL Product Introduction'!K208</f>
        <v>17327535.745177805</v>
      </c>
      <c r="FI283" s="763">
        <f>'MODEL Product Introduction'!L208</f>
        <v>-507404.34768260643</v>
      </c>
      <c r="FJ283" s="763">
        <f>'MODEL Product Introduction'!M208</f>
        <v>1843702.8709583778</v>
      </c>
      <c r="FK283" s="763">
        <f>'MODEL Product Introduction'!N208</f>
        <v>-2351107.218640984</v>
      </c>
      <c r="FL283" s="763">
        <f>'MODEL Product Introduction'!O208</f>
        <v>-137021424.11057568</v>
      </c>
      <c r="FO283" s="5">
        <f>'MODEL Product Introduction'!$C207*(1-'MODEL Product Introduction'!$E$92)</f>
        <v>7661.7769810315012</v>
      </c>
      <c r="FP283" s="5">
        <f>'MODEL Product Introduction'!$D207*(1-'MODEL Product Introduction'!$F$92)</f>
        <v>6827.3260227013379</v>
      </c>
      <c r="FQ283" s="5">
        <f>('MODEL Product Introduction'!$E207+'MODEL Product Introduction'!$F207)*(1-'MODEL Product Introduction'!$G$92)</f>
        <v>155762.72435227747</v>
      </c>
      <c r="FR283" s="605"/>
      <c r="FS283" s="606"/>
      <c r="FT283" s="12">
        <f>'MODEL Product Introduction'!$G208*(1+'MODEL Product Introduction'!$H208)</f>
        <v>120</v>
      </c>
      <c r="FU283" s="12">
        <f>SUMPRODUCT('MODEL Product Introduction'!$C208:$F208,'MODEL Product Introduction'!$D$90:$G$90)</f>
        <v>23810336.089858584</v>
      </c>
      <c r="FV283" s="12">
        <f>SUMPRODUCT('MODEL Product Introduction'!$C208:$F208,'MODEL Product Introduction'!$D$91:$G$91)</f>
        <v>18433020.709583778</v>
      </c>
      <c r="FW283" s="12">
        <f>'MODEL Product Introduction'!$J208-'MODEL Product Introduction'!$K208</f>
        <v>-507404.34768260643</v>
      </c>
      <c r="FX283" s="12">
        <f>SUM('MODEL Product Introduction'!$C208:$F208)*10+'MODEL Product Introduction'!$I208*'MODEL Product Introduction'!$C208</f>
        <v>2950998.0052931635</v>
      </c>
      <c r="FY283" s="12">
        <f t="shared" si="41"/>
        <v>-3458402.3529757699</v>
      </c>
      <c r="FZ283" s="12">
        <f>'MODEL Product Introduction'!$N208+'MODEL Product Introduction'!$O207</f>
        <v>-137021424.11057568</v>
      </c>
    </row>
    <row r="284" spans="90:182" ht="13.5" thickBot="1">
      <c r="CL284" s="814">
        <f t="shared" si="40"/>
        <v>1.4999999999999999E-2</v>
      </c>
      <c r="CM284" s="814">
        <f t="shared" si="38"/>
        <v>0</v>
      </c>
      <c r="CN284" s="814">
        <f t="shared" si="39"/>
        <v>1.4999999999999999E-2</v>
      </c>
      <c r="CO284" s="814"/>
      <c r="CP284" s="814"/>
      <c r="CQ284" s="814">
        <f t="shared" si="30"/>
        <v>1.4999999999999999E-2</v>
      </c>
      <c r="CR284" s="814">
        <f t="shared" si="31"/>
        <v>0</v>
      </c>
      <c r="CS284" s="814">
        <f t="shared" si="32"/>
        <v>0</v>
      </c>
      <c r="CT284" s="814">
        <f t="shared" si="33"/>
        <v>1.4999999999999999E-2</v>
      </c>
      <c r="CU284" s="814">
        <f t="shared" si="34"/>
        <v>0</v>
      </c>
      <c r="CV284" s="814">
        <f t="shared" si="35"/>
        <v>0</v>
      </c>
      <c r="CW284" s="814">
        <f t="shared" si="36"/>
        <v>1.4999999999999999E-2</v>
      </c>
      <c r="CX284" s="814"/>
      <c r="FA284" s="763">
        <f>'MODEL Product Introduction'!D209</f>
        <v>7738.3947508418169</v>
      </c>
      <c r="FB284" s="763">
        <f>'MODEL Product Introduction'!E209</f>
        <v>9949.3646796537651</v>
      </c>
      <c r="FC284" s="763">
        <f>'MODEL Product Introduction'!F209</f>
        <v>157332.90144720918</v>
      </c>
      <c r="FF284" s="763">
        <f>'MODEL Product Introduction'!I209</f>
        <v>100.2</v>
      </c>
      <c r="FG284" s="763">
        <f>'MODEL Product Introduction'!J209</f>
        <v>16989477.885411214</v>
      </c>
      <c r="FH284" s="763">
        <f>'MODEL Product Introduction'!K209</f>
        <v>17502066.087770477</v>
      </c>
      <c r="FI284" s="763">
        <f>'MODEL Product Introduction'!L209</f>
        <v>-512588.20235926285</v>
      </c>
      <c r="FJ284" s="763">
        <f>'MODEL Product Introduction'!M209</f>
        <v>1862261.3901820511</v>
      </c>
      <c r="FK284" s="763">
        <f>'MODEL Product Introduction'!N209</f>
        <v>-2374849.5925413137</v>
      </c>
      <c r="FL284" s="763">
        <f>'MODEL Product Introduction'!O209</f>
        <v>-139396273.70311698</v>
      </c>
      <c r="FO284" s="5">
        <f>'MODEL Product Introduction'!$C208*(1-'MODEL Product Introduction'!$E$92)</f>
        <v>7738.3947508418169</v>
      </c>
      <c r="FP284" s="5">
        <f>'MODEL Product Introduction'!$D208*(1-'MODEL Product Introduction'!$F$92)</f>
        <v>6895.5992829283514</v>
      </c>
      <c r="FQ284" s="5">
        <f>('MODEL Product Introduction'!$E208+'MODEL Product Introduction'!$F208)*(1-'MODEL Product Introduction'!$G$92)</f>
        <v>157332.90144720918</v>
      </c>
      <c r="FR284" s="605"/>
      <c r="FS284" s="606"/>
      <c r="FT284" s="12">
        <f>'MODEL Product Introduction'!$G209*(1+'MODEL Product Introduction'!$H209)</f>
        <v>120</v>
      </c>
      <c r="FU284" s="12">
        <f>SUMPRODUCT('MODEL Product Introduction'!$C209:$F209,'MODEL Product Introduction'!$D$90:$G$90)</f>
        <v>24050196.429954421</v>
      </c>
      <c r="FV284" s="12">
        <f>SUMPRODUCT('MODEL Product Introduction'!$C209:$F209,'MODEL Product Introduction'!$D$91:$G$91)</f>
        <v>18618605.901820511</v>
      </c>
      <c r="FW284" s="12">
        <f>'MODEL Product Introduction'!$J209-'MODEL Product Introduction'!$K209</f>
        <v>-512588.20235926285</v>
      </c>
      <c r="FX284" s="12">
        <f>SUM('MODEL Product Introduction'!$C209:$F209)*10+'MODEL Product Introduction'!$I209*'MODEL Product Introduction'!$C209</f>
        <v>2980633.4838601844</v>
      </c>
      <c r="FY284" s="12">
        <f t="shared" si="41"/>
        <v>-3493221.6862194473</v>
      </c>
      <c r="FZ284" s="12">
        <f>'MODEL Product Introduction'!$N209+'MODEL Product Introduction'!$O208</f>
        <v>-139396273.70311698</v>
      </c>
    </row>
    <row r="285" spans="90:182" ht="13.5" thickBot="1">
      <c r="CL285" s="814">
        <f t="shared" si="40"/>
        <v>1.4999999999999999E-2</v>
      </c>
      <c r="CM285" s="814">
        <f t="shared" si="38"/>
        <v>0</v>
      </c>
      <c r="CN285" s="814">
        <f t="shared" si="39"/>
        <v>1.4999999999999999E-2</v>
      </c>
      <c r="CO285" s="814"/>
      <c r="CP285" s="814"/>
      <c r="CQ285" s="814">
        <f t="shared" si="30"/>
        <v>1.4999999999999999E-2</v>
      </c>
      <c r="CR285" s="814">
        <f t="shared" si="31"/>
        <v>0</v>
      </c>
      <c r="CS285" s="814">
        <f t="shared" si="32"/>
        <v>0</v>
      </c>
      <c r="CT285" s="814">
        <f t="shared" si="33"/>
        <v>1.4999999999999999E-2</v>
      </c>
      <c r="CU285" s="814">
        <f t="shared" si="34"/>
        <v>0</v>
      </c>
      <c r="CV285" s="814">
        <f t="shared" si="35"/>
        <v>0</v>
      </c>
      <c r="CW285" s="814">
        <f t="shared" si="36"/>
        <v>1.4999999999999999E-2</v>
      </c>
      <c r="CX285" s="814"/>
      <c r="FA285" s="763">
        <f>'MODEL Product Introduction'!D210</f>
        <v>7815.7786983502347</v>
      </c>
      <c r="FB285" s="763">
        <f>'MODEL Product Introduction'!E210</f>
        <v>10048.858326450303</v>
      </c>
      <c r="FC285" s="763">
        <f>'MODEL Product Introduction'!F210</f>
        <v>158918.15282051981</v>
      </c>
      <c r="FF285" s="763">
        <f>'MODEL Product Introduction'!I210</f>
        <v>100.2</v>
      </c>
      <c r="FG285" s="763">
        <f>'MODEL Product Introduction'!J210</f>
        <v>17160460.579509344</v>
      </c>
      <c r="FH285" s="763">
        <f>'MODEL Product Introduction'!K210</f>
        <v>17678278.984532032</v>
      </c>
      <c r="FI285" s="763">
        <f>'MODEL Product Introduction'!L210</f>
        <v>-517818.40502268821</v>
      </c>
      <c r="FJ285" s="763">
        <f>'MODEL Product Introduction'!M210</f>
        <v>1880999.2196722568</v>
      </c>
      <c r="FK285" s="763">
        <f>'MODEL Product Introduction'!N210</f>
        <v>-2398817.6246949453</v>
      </c>
      <c r="FL285" s="763">
        <f>'MODEL Product Introduction'!O210</f>
        <v>-141795091.32781193</v>
      </c>
      <c r="FO285" s="5">
        <f>'MODEL Product Introduction'!$C209*(1-'MODEL Product Introduction'!$E$92)</f>
        <v>7815.7786983502347</v>
      </c>
      <c r="FP285" s="5">
        <f>'MODEL Product Introduction'!$D209*(1-'MODEL Product Introduction'!$F$92)</f>
        <v>6964.5552757576352</v>
      </c>
      <c r="FQ285" s="5">
        <f>('MODEL Product Introduction'!$E209+'MODEL Product Introduction'!$F209)*(1-'MODEL Product Introduction'!$G$92)</f>
        <v>158918.15282051981</v>
      </c>
      <c r="FR285" s="605"/>
      <c r="FS285" s="606"/>
      <c r="FT285" s="12">
        <f>'MODEL Product Introduction'!$G210*(1+'MODEL Product Introduction'!$H210)</f>
        <v>120</v>
      </c>
      <c r="FU285" s="12">
        <f>SUMPRODUCT('MODEL Product Introduction'!$C210:$F210,'MODEL Product Introduction'!$D$90:$G$90)</f>
        <v>24292367.524491359</v>
      </c>
      <c r="FV285" s="12">
        <f>SUMPRODUCT('MODEL Product Introduction'!$C210:$F210,'MODEL Product Introduction'!$D$91:$G$91)</f>
        <v>18805984.196722567</v>
      </c>
      <c r="FW285" s="12">
        <f>'MODEL Product Introduction'!$J210-'MODEL Product Introduction'!$K210</f>
        <v>-517818.40502268821</v>
      </c>
      <c r="FX285" s="12">
        <f>SUM('MODEL Product Introduction'!$C210:$F210)*10+'MODEL Product Introduction'!$I210*'MODEL Product Introduction'!$C210</f>
        <v>3010559.0422871718</v>
      </c>
      <c r="FY285" s="12">
        <f t="shared" si="41"/>
        <v>-3528377.44730986</v>
      </c>
      <c r="FZ285" s="12">
        <f>'MODEL Product Introduction'!$N210+'MODEL Product Introduction'!$O209</f>
        <v>-141795091.32781193</v>
      </c>
    </row>
    <row r="286" spans="90:182" ht="13.5" thickBot="1">
      <c r="CL286" s="814">
        <f t="shared" si="40"/>
        <v>1.4999999999999999E-2</v>
      </c>
      <c r="CM286" s="814">
        <f t="shared" si="38"/>
        <v>0</v>
      </c>
      <c r="CN286" s="814">
        <f t="shared" si="39"/>
        <v>1.4999999999999999E-2</v>
      </c>
      <c r="CO286" s="814"/>
      <c r="CP286" s="814"/>
      <c r="CQ286" s="814">
        <f t="shared" si="30"/>
        <v>1.4999999999999999E-2</v>
      </c>
      <c r="CR286" s="814">
        <f t="shared" si="31"/>
        <v>0</v>
      </c>
      <c r="CS286" s="814">
        <f t="shared" si="32"/>
        <v>0</v>
      </c>
      <c r="CT286" s="814">
        <f t="shared" si="33"/>
        <v>1.4999999999999999E-2</v>
      </c>
      <c r="CU286" s="814">
        <f t="shared" si="34"/>
        <v>0</v>
      </c>
      <c r="CV286" s="814">
        <f t="shared" si="35"/>
        <v>0</v>
      </c>
      <c r="CW286" s="814">
        <f t="shared" si="36"/>
        <v>1.4999999999999999E-2</v>
      </c>
      <c r="CX286" s="814"/>
      <c r="FA286" s="763">
        <f>'MODEL Product Introduction'!D211</f>
        <v>7893.9364853337365</v>
      </c>
      <c r="FB286" s="763">
        <f>'MODEL Product Introduction'!E211</f>
        <v>10149.346909714804</v>
      </c>
      <c r="FC286" s="763">
        <f>'MODEL Product Introduction'!F211</f>
        <v>160518.66058962161</v>
      </c>
      <c r="FF286" s="763">
        <f>'MODEL Product Introduction'!I211</f>
        <v>100.2</v>
      </c>
      <c r="FG286" s="763">
        <f>'MODEL Product Introduction'!J211</f>
        <v>17333098.704786252</v>
      </c>
      <c r="FH286" s="763">
        <f>'MODEL Product Introduction'!K211</f>
        <v>17856194.398467015</v>
      </c>
      <c r="FI286" s="763">
        <f>'MODEL Product Introduction'!L211</f>
        <v>-523095.69368076324</v>
      </c>
      <c r="FJ286" s="763">
        <f>'MODEL Product Introduction'!M211</f>
        <v>1899918.4662779456</v>
      </c>
      <c r="FK286" s="763">
        <f>'MODEL Product Introduction'!N211</f>
        <v>-2423014.159958709</v>
      </c>
      <c r="FL286" s="763">
        <f>'MODEL Product Introduction'!O211</f>
        <v>-144218105.48777065</v>
      </c>
      <c r="FO286" s="5">
        <f>'MODEL Product Introduction'!$C210*(1-'MODEL Product Introduction'!$E$92)</f>
        <v>7893.9364853337365</v>
      </c>
      <c r="FP286" s="5">
        <f>'MODEL Product Introduction'!$D210*(1-'MODEL Product Introduction'!$F$92)</f>
        <v>7034.2008285152115</v>
      </c>
      <c r="FQ286" s="5">
        <f>('MODEL Product Introduction'!$E210+'MODEL Product Introduction'!$F210)*(1-'MODEL Product Introduction'!$G$92)</f>
        <v>160518.66058962161</v>
      </c>
      <c r="FR286" s="605"/>
      <c r="FS286" s="606"/>
      <c r="FT286" s="12">
        <f>'MODEL Product Introduction'!$G211*(1+'MODEL Product Introduction'!$H211)</f>
        <v>120</v>
      </c>
      <c r="FU286" s="12">
        <f>SUMPRODUCT('MODEL Product Introduction'!$C211:$F211,'MODEL Product Introduction'!$D$90:$G$90)</f>
        <v>24536876.873461798</v>
      </c>
      <c r="FV286" s="12">
        <f>SUMPRODUCT('MODEL Product Introduction'!$C211:$F211,'MODEL Product Introduction'!$D$91:$G$91)</f>
        <v>18995176.662779454</v>
      </c>
      <c r="FW286" s="12">
        <f>'MODEL Product Introduction'!$J211-'MODEL Product Introduction'!$K211</f>
        <v>-523095.69368076324</v>
      </c>
      <c r="FX286" s="12">
        <f>SUM('MODEL Product Introduction'!$C211:$F211)*10+'MODEL Product Introduction'!$I211*'MODEL Product Introduction'!$C211</f>
        <v>3040777.8951190095</v>
      </c>
      <c r="FY286" s="12">
        <f t="shared" si="41"/>
        <v>-3563873.5887997728</v>
      </c>
      <c r="FZ286" s="12">
        <f>'MODEL Product Introduction'!$N211+'MODEL Product Introduction'!$O210</f>
        <v>-144218105.48777065</v>
      </c>
    </row>
    <row r="287" spans="90:182" ht="13.5" thickBot="1">
      <c r="CL287" s="814">
        <f t="shared" si="40"/>
        <v>1.4999999999999999E-2</v>
      </c>
      <c r="CM287" s="814">
        <f t="shared" si="38"/>
        <v>0</v>
      </c>
      <c r="CN287" s="814">
        <f t="shared" si="39"/>
        <v>1.4999999999999999E-2</v>
      </c>
      <c r="CO287" s="814"/>
      <c r="CP287" s="814"/>
      <c r="CQ287" s="814">
        <f t="shared" si="30"/>
        <v>1.4999999999999999E-2</v>
      </c>
      <c r="CR287" s="814">
        <f t="shared" si="31"/>
        <v>0</v>
      </c>
      <c r="CS287" s="814">
        <f t="shared" si="32"/>
        <v>0</v>
      </c>
      <c r="CT287" s="814">
        <f t="shared" si="33"/>
        <v>1.4999999999999999E-2</v>
      </c>
      <c r="CU287" s="814">
        <f t="shared" si="34"/>
        <v>0</v>
      </c>
      <c r="CV287" s="814">
        <f t="shared" si="35"/>
        <v>0</v>
      </c>
      <c r="CW287" s="814">
        <f t="shared" si="36"/>
        <v>1.4999999999999999E-2</v>
      </c>
      <c r="CX287" s="814"/>
      <c r="FA287" s="763">
        <f>'MODEL Product Introduction'!D212</f>
        <v>7972.8758501870743</v>
      </c>
      <c r="FB287" s="763">
        <f>'MODEL Product Introduction'!E212</f>
        <v>10250.840378811954</v>
      </c>
      <c r="FC287" s="763">
        <f>'MODEL Product Introduction'!F212</f>
        <v>162134.60712436959</v>
      </c>
      <c r="FF287" s="763">
        <f>'MODEL Product Introduction'!I212</f>
        <v>100.2</v>
      </c>
      <c r="FG287" s="763">
        <f>'MODEL Product Introduction'!J212</f>
        <v>17507411.53534184</v>
      </c>
      <c r="FH287" s="763">
        <f>'MODEL Product Introduction'!K212</f>
        <v>18035832.33533686</v>
      </c>
      <c r="FI287" s="763">
        <f>'MODEL Product Introduction'!L212</f>
        <v>-528420.79999502003</v>
      </c>
      <c r="FJ287" s="763">
        <f>'MODEL Product Introduction'!M212</f>
        <v>1919021.2422292426</v>
      </c>
      <c r="FK287" s="763">
        <f>'MODEL Product Introduction'!N212</f>
        <v>-2447442.0422242628</v>
      </c>
      <c r="FL287" s="763">
        <f>'MODEL Product Introduction'!O212</f>
        <v>-146665547.5299949</v>
      </c>
      <c r="FO287" s="5">
        <f>'MODEL Product Introduction'!$C211*(1-'MODEL Product Introduction'!$E$92)</f>
        <v>7972.8758501870743</v>
      </c>
      <c r="FP287" s="5">
        <f>'MODEL Product Introduction'!$D211*(1-'MODEL Product Introduction'!$F$92)</f>
        <v>7104.5428368003631</v>
      </c>
      <c r="FQ287" s="5">
        <f>('MODEL Product Introduction'!$E211+'MODEL Product Introduction'!$F211)*(1-'MODEL Product Introduction'!$G$92)</f>
        <v>162134.60712436959</v>
      </c>
      <c r="FR287" s="605"/>
      <c r="FS287" s="606"/>
      <c r="FT287" s="12">
        <f>'MODEL Product Introduction'!$G212*(1+'MODEL Product Introduction'!$H212)</f>
        <v>120</v>
      </c>
      <c r="FU287" s="12">
        <f>SUMPRODUCT('MODEL Product Introduction'!$C212:$F212,'MODEL Product Introduction'!$D$90:$G$90)</f>
        <v>24783752.032235663</v>
      </c>
      <c r="FV287" s="12">
        <f>SUMPRODUCT('MODEL Product Introduction'!$C212:$F212,'MODEL Product Introduction'!$D$91:$G$91)</f>
        <v>19186204.422292426</v>
      </c>
      <c r="FW287" s="12">
        <f>'MODEL Product Introduction'!$J212-'MODEL Product Introduction'!$K212</f>
        <v>-528420.79999502003</v>
      </c>
      <c r="FX287" s="12">
        <f>SUM('MODEL Product Introduction'!$C212:$F212)*10+'MODEL Product Introduction'!$I212*'MODEL Product Introduction'!$C212</f>
        <v>3071293.2733587176</v>
      </c>
      <c r="FY287" s="12">
        <f t="shared" si="41"/>
        <v>-3599714.0733537376</v>
      </c>
      <c r="FZ287" s="12">
        <f>'MODEL Product Introduction'!$N212+'MODEL Product Introduction'!$O211</f>
        <v>-146665547.5299949</v>
      </c>
    </row>
    <row r="288" spans="90:182" ht="13.5" thickBot="1">
      <c r="CL288" s="814">
        <f t="shared" si="40"/>
        <v>1.4999999999999999E-2</v>
      </c>
      <c r="CM288" s="814">
        <f t="shared" si="38"/>
        <v>0</v>
      </c>
      <c r="CN288" s="814">
        <f t="shared" si="39"/>
        <v>1.4999999999999999E-2</v>
      </c>
      <c r="CO288" s="814"/>
      <c r="CP288" s="814"/>
      <c r="CQ288" s="814">
        <f t="shared" si="30"/>
        <v>1.4999999999999999E-2</v>
      </c>
      <c r="CR288" s="814">
        <f t="shared" si="31"/>
        <v>0</v>
      </c>
      <c r="CS288" s="814">
        <f t="shared" si="32"/>
        <v>0</v>
      </c>
      <c r="CT288" s="814">
        <f t="shared" si="33"/>
        <v>1.4999999999999999E-2</v>
      </c>
      <c r="CU288" s="814">
        <f t="shared" si="34"/>
        <v>0</v>
      </c>
      <c r="CV288" s="814">
        <f t="shared" si="35"/>
        <v>0</v>
      </c>
      <c r="CW288" s="814">
        <f t="shared" si="36"/>
        <v>1.4999999999999999E-2</v>
      </c>
      <c r="CX288" s="814"/>
      <c r="FA288" s="763">
        <f>'MODEL Product Introduction'!D213</f>
        <v>8052.6046086889446</v>
      </c>
      <c r="FB288" s="763">
        <f>'MODEL Product Introduction'!E213</f>
        <v>10353.348782600073</v>
      </c>
      <c r="FC288" s="763">
        <f>'MODEL Product Introduction'!F213</f>
        <v>163766.17512802247</v>
      </c>
      <c r="FF288" s="763">
        <f>'MODEL Product Introduction'!I213</f>
        <v>100.2</v>
      </c>
      <c r="FG288" s="763">
        <f>'MODEL Product Introduction'!J213</f>
        <v>17683418.402027596</v>
      </c>
      <c r="FH288" s="763">
        <f>'MODEL Product Introduction'!K213</f>
        <v>18217212.851931147</v>
      </c>
      <c r="FI288" s="763">
        <f>'MODEL Product Introduction'!L213</f>
        <v>-533794.44990355149</v>
      </c>
      <c r="FJ288" s="763">
        <f>'MODEL Product Introduction'!M213</f>
        <v>1938309.665975627</v>
      </c>
      <c r="FK288" s="763">
        <f>'MODEL Product Introduction'!N213</f>
        <v>-2472104.1158791785</v>
      </c>
      <c r="FL288" s="763">
        <f>'MODEL Product Introduction'!O213</f>
        <v>-149137651.64587408</v>
      </c>
      <c r="FO288" s="5">
        <f>'MODEL Product Introduction'!$C212*(1-'MODEL Product Introduction'!$E$92)</f>
        <v>8052.6046086889446</v>
      </c>
      <c r="FP288" s="5">
        <f>'MODEL Product Introduction'!$D212*(1-'MODEL Product Introduction'!$F$92)</f>
        <v>7175.5882651683669</v>
      </c>
      <c r="FQ288" s="5">
        <f>('MODEL Product Introduction'!$E212+'MODEL Product Introduction'!$F212)*(1-'MODEL Product Introduction'!$G$92)</f>
        <v>163766.17512802247</v>
      </c>
      <c r="FR288" s="605"/>
      <c r="FS288" s="606"/>
      <c r="FT288" s="12">
        <f>'MODEL Product Introduction'!$G213*(1+'MODEL Product Introduction'!$H213)</f>
        <v>120</v>
      </c>
      <c r="FU288" s="12">
        <f>SUMPRODUCT('MODEL Product Introduction'!$C213:$F213,'MODEL Product Introduction'!$D$90:$G$90)</f>
        <v>25033020.623095304</v>
      </c>
      <c r="FV288" s="12">
        <f>SUMPRODUCT('MODEL Product Introduction'!$C213:$F213,'MODEL Product Introduction'!$D$91:$G$91)</f>
        <v>19379088.659756269</v>
      </c>
      <c r="FW288" s="12">
        <f>'MODEL Product Introduction'!$J213-'MODEL Product Introduction'!$K213</f>
        <v>-533794.44990355149</v>
      </c>
      <c r="FX288" s="12">
        <f>SUM('MODEL Product Introduction'!$C213:$F213)*10+'MODEL Product Introduction'!$I213*'MODEL Product Introduction'!$C213</f>
        <v>3102108.4254163965</v>
      </c>
      <c r="FY288" s="12">
        <f t="shared" si="41"/>
        <v>-3635902.875319948</v>
      </c>
      <c r="FZ288" s="12">
        <f>'MODEL Product Introduction'!$N213+'MODEL Product Introduction'!$O212</f>
        <v>-149137651.64587408</v>
      </c>
    </row>
    <row r="289" spans="90:182" ht="13.5" thickBot="1">
      <c r="CL289" s="814">
        <f t="shared" si="40"/>
        <v>1.4999999999999999E-2</v>
      </c>
      <c r="CM289" s="814">
        <f t="shared" si="38"/>
        <v>0</v>
      </c>
      <c r="CN289" s="814">
        <f t="shared" si="39"/>
        <v>1.4999999999999999E-2</v>
      </c>
      <c r="CO289" s="814"/>
      <c r="CP289" s="814"/>
      <c r="CQ289" s="814">
        <f t="shared" si="30"/>
        <v>1.4999999999999999E-2</v>
      </c>
      <c r="CR289" s="814">
        <f t="shared" si="31"/>
        <v>0</v>
      </c>
      <c r="CS289" s="814">
        <f t="shared" si="32"/>
        <v>0</v>
      </c>
      <c r="CT289" s="814">
        <f t="shared" si="33"/>
        <v>1.4999999999999999E-2</v>
      </c>
      <c r="CU289" s="814">
        <f t="shared" si="34"/>
        <v>0</v>
      </c>
      <c r="CV289" s="814">
        <f t="shared" si="35"/>
        <v>0</v>
      </c>
      <c r="CW289" s="814">
        <f t="shared" si="36"/>
        <v>1.4999999999999999E-2</v>
      </c>
      <c r="CX289" s="814"/>
      <c r="FA289" s="763">
        <f>'MODEL Product Introduction'!D214</f>
        <v>8133.130654775834</v>
      </c>
      <c r="FB289" s="763">
        <f>'MODEL Product Introduction'!E214</f>
        <v>10456.882270426073</v>
      </c>
      <c r="FC289" s="763">
        <f>'MODEL Product Introduction'!F214</f>
        <v>165413.54771509141</v>
      </c>
      <c r="FF289" s="763">
        <f>'MODEL Product Introduction'!I214</f>
        <v>100.2</v>
      </c>
      <c r="FG289" s="763">
        <f>'MODEL Product Introduction'!J214</f>
        <v>17861138.699813589</v>
      </c>
      <c r="FH289" s="763">
        <f>'MODEL Product Introduction'!K214</f>
        <v>18400356.064029332</v>
      </c>
      <c r="FI289" s="763">
        <f>'MODEL Product Introduction'!L214</f>
        <v>-539217.3642157428</v>
      </c>
      <c r="FJ289" s="763">
        <f>'MODEL Product Introduction'!M214</f>
        <v>1957785.8629932702</v>
      </c>
      <c r="FK289" s="763">
        <f>'MODEL Product Introduction'!N214</f>
        <v>-2497003.227209013</v>
      </c>
      <c r="FL289" s="763">
        <f>'MODEL Product Introduction'!O214</f>
        <v>-151634654.87308308</v>
      </c>
      <c r="FO289" s="5">
        <f>'MODEL Product Introduction'!$C213*(1-'MODEL Product Introduction'!$E$92)</f>
        <v>8133.130654775834</v>
      </c>
      <c r="FP289" s="5">
        <f>'MODEL Product Introduction'!$D213*(1-'MODEL Product Introduction'!$F$92)</f>
        <v>7247.3441478200502</v>
      </c>
      <c r="FQ289" s="5">
        <f>('MODEL Product Introduction'!$E213+'MODEL Product Introduction'!$F213)*(1-'MODEL Product Introduction'!$G$92)</f>
        <v>165413.54771509141</v>
      </c>
      <c r="FR289" s="605"/>
      <c r="FS289" s="606"/>
      <c r="FT289" s="12">
        <f>'MODEL Product Introduction'!$G214*(1+'MODEL Product Introduction'!$H214)</f>
        <v>120</v>
      </c>
      <c r="FU289" s="12">
        <f>SUMPRODUCT('MODEL Product Introduction'!$C214:$F214,'MODEL Product Introduction'!$D$90:$G$90)</f>
        <v>25284710.346336678</v>
      </c>
      <c r="FV289" s="12">
        <f>SUMPRODUCT('MODEL Product Introduction'!$C214:$F214,'MODEL Product Introduction'!$D$91:$G$91)</f>
        <v>19573850.629932702</v>
      </c>
      <c r="FW289" s="12">
        <f>'MODEL Product Introduction'!$J214-'MODEL Product Introduction'!$K214</f>
        <v>-539217.3642157428</v>
      </c>
      <c r="FX289" s="12">
        <f>SUM('MODEL Product Introduction'!$C214:$F214)*10+'MODEL Product Introduction'!$I214*'MODEL Product Introduction'!$C214</f>
        <v>3133226.618028447</v>
      </c>
      <c r="FY289" s="12">
        <f t="shared" si="41"/>
        <v>-3672443.9822441898</v>
      </c>
      <c r="FZ289" s="12">
        <f>'MODEL Product Introduction'!$N214+'MODEL Product Introduction'!$O213</f>
        <v>-151634654.87308308</v>
      </c>
    </row>
    <row r="290" spans="90:182" ht="13.5" thickBot="1">
      <c r="CL290" s="814">
        <f t="shared" si="40"/>
        <v>1.4999999999999999E-2</v>
      </c>
      <c r="CM290" s="814">
        <f t="shared" si="38"/>
        <v>0</v>
      </c>
      <c r="CN290" s="814">
        <f t="shared" si="39"/>
        <v>1.4999999999999999E-2</v>
      </c>
      <c r="CO290" s="814"/>
      <c r="CP290" s="814"/>
      <c r="CQ290" s="814">
        <f t="shared" si="30"/>
        <v>1.4999999999999999E-2</v>
      </c>
      <c r="CR290" s="814">
        <f t="shared" si="31"/>
        <v>0</v>
      </c>
      <c r="CS290" s="814">
        <f t="shared" si="32"/>
        <v>0</v>
      </c>
      <c r="CT290" s="814">
        <f t="shared" si="33"/>
        <v>1.4999999999999999E-2</v>
      </c>
      <c r="CU290" s="814">
        <f t="shared" si="34"/>
        <v>0</v>
      </c>
      <c r="CV290" s="814">
        <f t="shared" si="35"/>
        <v>0</v>
      </c>
      <c r="CW290" s="814">
        <f t="shared" si="36"/>
        <v>1.4999999999999999E-2</v>
      </c>
      <c r="CX290" s="814"/>
      <c r="FA290" s="763">
        <f>'MODEL Product Introduction'!D215</f>
        <v>8214.4619613235936</v>
      </c>
      <c r="FB290" s="763">
        <f>'MODEL Product Introduction'!E215</f>
        <v>10561.451093130334</v>
      </c>
      <c r="FC290" s="763">
        <f>'MODEL Product Introduction'!F215</f>
        <v>167076.90848624162</v>
      </c>
      <c r="FF290" s="763">
        <f>'MODEL Product Introduction'!I215</f>
        <v>110.2</v>
      </c>
      <c r="FG290" s="763">
        <f>'MODEL Product Introduction'!J215</f>
        <v>18040591.894889161</v>
      </c>
      <c r="FH290" s="763">
        <f>'MODEL Product Introduction'!K215</f>
        <v>18585282.154069554</v>
      </c>
      <c r="FI290" s="763">
        <f>'MODEL Product Introduction'!L215</f>
        <v>-544690.25918039307</v>
      </c>
      <c r="FJ290" s="763">
        <f>'MODEL Product Introduction'!M215</f>
        <v>1977491.9665631959</v>
      </c>
      <c r="FK290" s="763">
        <f>'MODEL Product Introduction'!N215</f>
        <v>-2522182.225743589</v>
      </c>
      <c r="FL290" s="763">
        <f>'MODEL Product Introduction'!O215</f>
        <v>-154156837.09882668</v>
      </c>
      <c r="FO290" s="5">
        <f>'MODEL Product Introduction'!$C214*(1-'MODEL Product Introduction'!$E$92)</f>
        <v>8214.4619613235936</v>
      </c>
      <c r="FP290" s="5">
        <f>'MODEL Product Introduction'!$D214*(1-'MODEL Product Introduction'!$F$92)</f>
        <v>7319.8175892982508</v>
      </c>
      <c r="FQ290" s="5">
        <f>('MODEL Product Introduction'!$E214+'MODEL Product Introduction'!$F214)*(1-'MODEL Product Introduction'!$G$92)</f>
        <v>167076.90848624162</v>
      </c>
      <c r="FR290" s="605"/>
      <c r="FS290" s="606"/>
      <c r="FT290" s="12">
        <f>'MODEL Product Introduction'!$G215*(1+'MODEL Product Introduction'!$H215)</f>
        <v>132</v>
      </c>
      <c r="FU290" s="12">
        <f>SUMPRODUCT('MODEL Product Introduction'!$C215:$F215,'MODEL Product Introduction'!$D$90:$G$90)</f>
        <v>25538848.990959946</v>
      </c>
      <c r="FV290" s="12">
        <f>SUMPRODUCT('MODEL Product Introduction'!$C215:$F215,'MODEL Product Introduction'!$D$91:$G$91)</f>
        <v>19770511.665631957</v>
      </c>
      <c r="FW290" s="12">
        <f>'MODEL Product Introduction'!$J215-'MODEL Product Introduction'!$K215</f>
        <v>-544690.25918039307</v>
      </c>
      <c r="FX290" s="12">
        <f>SUM('MODEL Product Introduction'!$C215:$F215)*10+'MODEL Product Introduction'!$I215*'MODEL Product Introduction'!$C215</f>
        <v>3283174.0883049653</v>
      </c>
      <c r="FY290" s="12">
        <f t="shared" si="41"/>
        <v>-3827864.3474853584</v>
      </c>
      <c r="FZ290" s="12">
        <f>'MODEL Product Introduction'!$N215+'MODEL Product Introduction'!$O214</f>
        <v>-154156837.09882668</v>
      </c>
    </row>
    <row r="291" spans="90:182" ht="13.5" thickBot="1">
      <c r="CL291" s="814">
        <f t="shared" si="40"/>
        <v>1.4999999999999999E-2</v>
      </c>
      <c r="CM291" s="814">
        <f t="shared" si="38"/>
        <v>0</v>
      </c>
      <c r="CN291" s="814">
        <f t="shared" si="39"/>
        <v>1.4999999999999999E-2</v>
      </c>
      <c r="CO291" s="814"/>
      <c r="CP291" s="814"/>
      <c r="CQ291" s="814">
        <f t="shared" si="30"/>
        <v>1.4999999999999999E-2</v>
      </c>
      <c r="CR291" s="814">
        <f t="shared" si="31"/>
        <v>0</v>
      </c>
      <c r="CS291" s="814">
        <f t="shared" si="32"/>
        <v>0</v>
      </c>
      <c r="CT291" s="814">
        <f t="shared" si="33"/>
        <v>1.4999999999999999E-2</v>
      </c>
      <c r="CU291" s="814">
        <f t="shared" si="34"/>
        <v>0</v>
      </c>
      <c r="CV291" s="814">
        <f t="shared" si="35"/>
        <v>0</v>
      </c>
      <c r="CW291" s="814">
        <f t="shared" si="36"/>
        <v>1.4999999999999999E-2</v>
      </c>
      <c r="CX291" s="814"/>
      <c r="FA291" s="763">
        <f>'MODEL Product Introduction'!D216</f>
        <v>8296.6065809368283</v>
      </c>
      <c r="FB291" s="763">
        <f>'MODEL Product Introduction'!E216</f>
        <v>10667.065604061638</v>
      </c>
      <c r="FC291" s="763">
        <f>'MODEL Product Introduction'!F216</f>
        <v>168756.44160040334</v>
      </c>
      <c r="FF291" s="763">
        <f>'MODEL Product Introduction'!I216</f>
        <v>110.2</v>
      </c>
      <c r="FG291" s="763">
        <f>'MODEL Product Introduction'!J216</f>
        <v>18221797.531511616</v>
      </c>
      <c r="FH291" s="763">
        <f>'MODEL Product Introduction'!K216</f>
        <v>18772011.378540181</v>
      </c>
      <c r="FI291" s="763">
        <f>'MODEL Product Introduction'!L216</f>
        <v>-550213.84702856466</v>
      </c>
      <c r="FJ291" s="763">
        <f>'MODEL Product Introduction'!M216</f>
        <v>1997350.118521821</v>
      </c>
      <c r="FK291" s="763">
        <f>'MODEL Product Introduction'!N216</f>
        <v>-2547563.9655503854</v>
      </c>
      <c r="FL291" s="763">
        <f>'MODEL Product Introduction'!O216</f>
        <v>-156704401.06437707</v>
      </c>
      <c r="FO291" s="5">
        <f>'MODEL Product Introduction'!$C215*(1-'MODEL Product Introduction'!$E$92)</f>
        <v>8296.6065809368283</v>
      </c>
      <c r="FP291" s="5">
        <f>'MODEL Product Introduction'!$D215*(1-'MODEL Product Introduction'!$F$92)</f>
        <v>7393.0157651912341</v>
      </c>
      <c r="FQ291" s="5">
        <f>('MODEL Product Introduction'!$E215+'MODEL Product Introduction'!$F215)*(1-'MODEL Product Introduction'!$G$92)</f>
        <v>168756.44160040334</v>
      </c>
      <c r="FR291" s="605"/>
      <c r="FS291" s="606"/>
      <c r="FT291" s="12">
        <f>'MODEL Product Introduction'!$G216*(1+'MODEL Product Introduction'!$H216)</f>
        <v>132</v>
      </c>
      <c r="FU291" s="12">
        <f>SUMPRODUCT('MODEL Product Introduction'!$C216:$F216,'MODEL Product Introduction'!$D$90:$G$90)</f>
        <v>25795464.44497145</v>
      </c>
      <c r="FV291" s="12">
        <f>SUMPRODUCT('MODEL Product Introduction'!$C216:$F216,'MODEL Product Introduction'!$D$91:$G$91)</f>
        <v>19969093.185218208</v>
      </c>
      <c r="FW291" s="12">
        <f>'MODEL Product Introduction'!$J216-'MODEL Product Introduction'!$K216</f>
        <v>-550213.84702856466</v>
      </c>
      <c r="FX291" s="12">
        <f>SUM('MODEL Product Introduction'!$C216:$F216)*10+'MODEL Product Introduction'!$I216*'MODEL Product Introduction'!$C216</f>
        <v>3316093.4694810081</v>
      </c>
      <c r="FY291" s="12">
        <f t="shared" si="41"/>
        <v>-3866307.3165095728</v>
      </c>
      <c r="FZ291" s="12">
        <f>'MODEL Product Introduction'!$N216+'MODEL Product Introduction'!$O215</f>
        <v>-156704401.06437707</v>
      </c>
    </row>
    <row r="292" spans="90:182" ht="13.5" thickBot="1">
      <c r="CL292" s="814">
        <f t="shared" si="40"/>
        <v>1.4999999999999999E-2</v>
      </c>
      <c r="CM292" s="814">
        <f t="shared" si="38"/>
        <v>0</v>
      </c>
      <c r="CN292" s="814">
        <f t="shared" si="39"/>
        <v>1.4999999999999999E-2</v>
      </c>
      <c r="CO292" s="814"/>
      <c r="CP292" s="814"/>
      <c r="CQ292" s="814">
        <f t="shared" si="30"/>
        <v>1.4999999999999999E-2</v>
      </c>
      <c r="CR292" s="814">
        <f t="shared" si="31"/>
        <v>0</v>
      </c>
      <c r="CS292" s="814">
        <f t="shared" si="32"/>
        <v>0</v>
      </c>
      <c r="CT292" s="814">
        <f t="shared" si="33"/>
        <v>1.4999999999999999E-2</v>
      </c>
      <c r="CU292" s="814">
        <f t="shared" si="34"/>
        <v>0</v>
      </c>
      <c r="CV292" s="814">
        <f t="shared" si="35"/>
        <v>0</v>
      </c>
      <c r="CW292" s="814">
        <f t="shared" si="36"/>
        <v>1.4999999999999999E-2</v>
      </c>
      <c r="CX292" s="814"/>
      <c r="FA292" s="763">
        <f>'MODEL Product Introduction'!D217</f>
        <v>8379.5726467461973</v>
      </c>
      <c r="FB292" s="763">
        <f>'MODEL Product Introduction'!E217</f>
        <v>10773.736260102254</v>
      </c>
      <c r="FC292" s="763">
        <f>'MODEL Product Introduction'!F217</f>
        <v>170452.33184424174</v>
      </c>
      <c r="FF292" s="763">
        <f>'MODEL Product Introduction'!I217</f>
        <v>150.19999999999999</v>
      </c>
      <c r="FG292" s="763">
        <f>'MODEL Product Introduction'!J217</f>
        <v>18404775.238616616</v>
      </c>
      <c r="FH292" s="763">
        <f>'MODEL Product Introduction'!K217</f>
        <v>18960564.07510902</v>
      </c>
      <c r="FI292" s="763">
        <f>'MODEL Product Introduction'!L217</f>
        <v>-555788.83649240434</v>
      </c>
      <c r="FJ292" s="763">
        <f>'MODEL Product Introduction'!M217</f>
        <v>2017562.4699853829</v>
      </c>
      <c r="FK292" s="763">
        <f>'MODEL Product Introduction'!N217</f>
        <v>-2573351.306477787</v>
      </c>
      <c r="FL292" s="763">
        <f>'MODEL Product Introduction'!O217</f>
        <v>-159277752.37085485</v>
      </c>
      <c r="FO292" s="5">
        <f>'MODEL Product Introduction'!$C216*(1-'MODEL Product Introduction'!$E$92)</f>
        <v>8379.5726467461973</v>
      </c>
      <c r="FP292" s="5">
        <f>'MODEL Product Introduction'!$D216*(1-'MODEL Product Introduction'!$F$92)</f>
        <v>7466.945922843146</v>
      </c>
      <c r="FQ292" s="5">
        <f>('MODEL Product Introduction'!$E216+'MODEL Product Introduction'!$F216)*(1-'MODEL Product Introduction'!$G$92)</f>
        <v>170452.33184424174</v>
      </c>
      <c r="FR292" s="605"/>
      <c r="FS292" s="606"/>
      <c r="FT292" s="12">
        <f>'MODEL Product Introduction'!$G217*(1+'MODEL Product Introduction'!$H217)</f>
        <v>180</v>
      </c>
      <c r="FU292" s="12">
        <f>SUMPRODUCT('MODEL Product Introduction'!$C217:$F217,'MODEL Product Introduction'!$D$90:$G$90)</f>
        <v>26054584.705317974</v>
      </c>
      <c r="FV292" s="12">
        <f>SUMPRODUCT('MODEL Product Introduction'!$C217:$F217,'MODEL Product Introduction'!$D$91:$G$91)</f>
        <v>20169616.699853826</v>
      </c>
      <c r="FW292" s="12">
        <f>'MODEL Product Introduction'!$J217-'MODEL Product Introduction'!$K217</f>
        <v>-555788.83649240434</v>
      </c>
      <c r="FX292" s="12">
        <f>SUM('MODEL Product Introduction'!$C217:$F217)*10+'MODEL Product Introduction'!$I217*'MODEL Product Introduction'!$C217</f>
        <v>3832958.7123520849</v>
      </c>
      <c r="FY292" s="12">
        <f t="shared" si="41"/>
        <v>-4388747.5488444893</v>
      </c>
      <c r="FZ292" s="12">
        <f>'MODEL Product Introduction'!$N217+'MODEL Product Introduction'!$O216</f>
        <v>-159277752.37085485</v>
      </c>
    </row>
  </sheetData>
  <conditionalFormatting sqref="CI146:CK146">
    <cfRule type="expression" dxfId="1" priority="2">
      <formula>AND(Graded,CI146&lt;&gt;"",FS185=0)</formula>
    </cfRule>
  </conditionalFormatting>
  <conditionalFormatting sqref="CK51">
    <cfRule type="expression" dxfId="0" priority="1">
      <formula>AND(Graded,$E$51=0)</formula>
    </cfRule>
  </conditionalFormatting>
  <dataValidations disablePrompts="1" count="1">
    <dataValidation type="list" allowBlank="1" showInputMessage="1" showErrorMessage="1" sqref="P77" xr:uid="{10B945C3-BDE8-444C-B3BC-486C9BA97355}">
      <formula1>$O$9:$O$16</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ENTER SFAM ID</vt:lpstr>
      <vt:lpstr>INTRO Modeling</vt:lpstr>
      <vt:lpstr>EXHIBIT Model Relationships</vt:lpstr>
      <vt:lpstr>INTRO Multiperiod Models</vt:lpstr>
      <vt:lpstr>EXCEL Financial Functions</vt:lpstr>
      <vt:lpstr>DATA TABLES</vt:lpstr>
      <vt:lpstr>MODEL Simple Company</vt:lpstr>
      <vt:lpstr>MODEL Marketing Stratagy</vt:lpstr>
      <vt:lpstr>MODEL Make-Buy Decision</vt:lpstr>
      <vt:lpstr>MODEL Manufacturing Strategy</vt:lpstr>
      <vt:lpstr>MODEL Revise Budget &amp; Staffing</vt:lpstr>
      <vt:lpstr>DATA ANALYSIS Subscription Biz</vt:lpstr>
      <vt:lpstr>DATA Subscription Biz</vt:lpstr>
      <vt:lpstr>MODEL Product Introduction</vt:lpstr>
      <vt:lpstr>SUMMARY</vt:lpstr>
      <vt:lpstr>X</vt:lpstr>
      <vt:lpstr>Column</vt:lpstr>
      <vt:lpstr>Workbook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Horwitz</dc:creator>
  <cp:lastModifiedBy>CHRISTOPHER GUZMAN SILVA</cp:lastModifiedBy>
  <cp:lastPrinted>2019-09-18T12:27:29Z</cp:lastPrinted>
  <dcterms:created xsi:type="dcterms:W3CDTF">2019-08-10T11:13:27Z</dcterms:created>
  <dcterms:modified xsi:type="dcterms:W3CDTF">2023-11-29T01:16:41Z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1855b2-0a05-4494-a903-f3f23f3f98e0_Enabled">
    <vt:lpwstr>true</vt:lpwstr>
  </property>
  <property fmtid="{D5CDD505-2E9C-101B-9397-08002B2CF9AE}" pid="3" name="MSIP_Label_fa1855b2-0a05-4494-a903-f3f23f3f98e0_SetDate">
    <vt:lpwstr>2022-10-15T11:16:59Z</vt:lpwstr>
  </property>
  <property fmtid="{D5CDD505-2E9C-101B-9397-08002B2CF9AE}" pid="4" name="MSIP_Label_fa1855b2-0a05-4494-a903-f3f23f3f98e0_Method">
    <vt:lpwstr>Standard</vt:lpwstr>
  </property>
  <property fmtid="{D5CDD505-2E9C-101B-9397-08002B2CF9AE}" pid="5" name="MSIP_Label_fa1855b2-0a05-4494-a903-f3f23f3f98e0_Name">
    <vt:lpwstr>defa4170-0d19-0005-0004-bc88714345d2</vt:lpwstr>
  </property>
  <property fmtid="{D5CDD505-2E9C-101B-9397-08002B2CF9AE}" pid="6" name="MSIP_Label_fa1855b2-0a05-4494-a903-f3f23f3f98e0_SiteId">
    <vt:lpwstr>6f60f0b3-5f06-4e09-9715-989dba8cc7d8</vt:lpwstr>
  </property>
  <property fmtid="{D5CDD505-2E9C-101B-9397-08002B2CF9AE}" pid="7" name="MSIP_Label_fa1855b2-0a05-4494-a903-f3f23f3f98e0_ActionId">
    <vt:lpwstr>74a1a950-efb5-4376-96ac-9570208eb5a1</vt:lpwstr>
  </property>
  <property fmtid="{D5CDD505-2E9C-101B-9397-08002B2CF9AE}" pid="8" name="MSIP_Label_fa1855b2-0a05-4494-a903-f3f23f3f98e0_ContentBits">
    <vt:lpwstr>0</vt:lpwstr>
  </property>
</Properties>
</file>