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ddf5b7bcef28c/Desktop/Excel class/CASE 4/"/>
    </mc:Choice>
  </mc:AlternateContent>
  <xr:revisionPtr revIDLastSave="832" documentId="8_{57D7F139-08BC-7D4A-BDB9-D25B1DD65FA0}" xr6:coauthVersionLast="47" xr6:coauthVersionMax="47" xr10:uidLastSave="{BC7CC067-560B-49BF-8865-CF3ED4F1BA7F}"/>
  <workbookProtection workbookAlgorithmName="SHA-512" workbookHashValue="kXgDrrrVQzjMemJJWginav9RI1GGjqSU29+4InVAHMJO7cCWeeIzj4cZNDykzIrGcNEbAQ80CGTjANBI6yb2sw==" workbookSaltValue="L7jNGmn5XKfelQMUDtdkPw==" workbookSpinCount="100000" lockStructure="1"/>
  <bookViews>
    <workbookView xWindow="25800" yWindow="0" windowWidth="25800" windowHeight="20385" tabRatio="824" xr2:uid="{00000000-000D-0000-FFFF-FFFF00000000}"/>
  </bookViews>
  <sheets>
    <sheet name="ENTER SFAM ID" sheetId="82" r:id="rId1"/>
    <sheet name="Develop Model" sheetId="4" r:id="rId2"/>
    <sheet name="MODEL Income Statement" sheetId="6" r:id="rId3"/>
    <sheet name="MODEL Balance Sheet" sheetId="105" r:id="rId4"/>
    <sheet name="MODEL Cash Flow Statement" sheetId="104" r:id="rId5"/>
    <sheet name="MODEL Template" sheetId="108" r:id="rId6"/>
    <sheet name="Analyze Using Model" sheetId="7" r:id="rId7"/>
    <sheet name="Scratch Sheet" sheetId="106" state="hidden" r:id="rId8"/>
    <sheet name="X" sheetId="81" state="hidden" r:id="rId9"/>
  </sheets>
  <externalReferences>
    <externalReference r:id="rId10"/>
  </externalReferences>
  <definedNames>
    <definedName name="Column">X!$DD$1:$EC$2</definedName>
    <definedName name="_xlnm.Print_Area" localSheetId="6">'Analyze Using Model'!$A$1:$K$5</definedName>
    <definedName name="_xlnm.Print_Area" localSheetId="1">'Develop Model'!$A$1:$I$74</definedName>
    <definedName name="_xlnm.Print_Area" localSheetId="2">'MODEL Income Statement'!$A$1:$K$36</definedName>
    <definedName name="SpreadsheetBuilder_1" localSheetId="8" hidden="1">#REF!</definedName>
    <definedName name="SpreadsheetBuilder_1" hidden="1">#REF!</definedName>
    <definedName name="SpreadsheetBuilder_10" hidden="1">#REF!</definedName>
    <definedName name="SpreadsheetBuilder_11" hidden="1">'[1]Ticker info'!#REF!</definedName>
    <definedName name="SpreadsheetBuilder_12" hidden="1">#REF!</definedName>
    <definedName name="SpreadsheetBuilder_2" localSheetId="8" hidden="1">#REF!</definedName>
    <definedName name="SpreadsheetBuilder_2" hidden="1">#REF!</definedName>
    <definedName name="SpreadsheetBuilder_3" localSheetId="8" hidden="1">#REF!</definedName>
    <definedName name="SpreadsheetBuilder_3" hidden="1">#REF!</definedName>
    <definedName name="SpreadsheetBuilder_4" localSheetId="8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  <definedName name="SpreadsheetBuilder_9" hidden="1">#REF!</definedName>
    <definedName name="Workbook">X!$CX$1:$CX$20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6" l="1"/>
  <c r="D69" i="4"/>
  <c r="A26" i="106"/>
  <c r="D47" i="81"/>
  <c r="D48" i="81"/>
  <c r="D49" i="81"/>
  <c r="D50" i="81"/>
  <c r="K31" i="4"/>
  <c r="F58" i="4" s="1" a="1"/>
  <c r="F58" i="4" s="1"/>
  <c r="E31" i="108" s="1"/>
  <c r="D69" i="81"/>
  <c r="AM30" i="106"/>
  <c r="AL46" i="106"/>
  <c r="AM46" i="106"/>
  <c r="AN46" i="106"/>
  <c r="AO46" i="106"/>
  <c r="B20" i="81"/>
  <c r="CC17" i="81"/>
  <c r="B18" i="81"/>
  <c r="AG30" i="106"/>
  <c r="AA30" i="106"/>
  <c r="U30" i="106"/>
  <c r="O30" i="106"/>
  <c r="I30" i="106"/>
  <c r="C30" i="106"/>
  <c r="A7" i="108"/>
  <c r="A44" i="4"/>
  <c r="D64" i="81"/>
  <c r="D65" i="81"/>
  <c r="A4" i="108"/>
  <c r="D63" i="81"/>
  <c r="D66" i="81"/>
  <c r="D67" i="81"/>
  <c r="D68" i="81"/>
  <c r="D62" i="81"/>
  <c r="D57" i="81"/>
  <c r="D58" i="81"/>
  <c r="D59" i="81"/>
  <c r="D60" i="81"/>
  <c r="D61" i="81"/>
  <c r="D56" i="81"/>
  <c r="D51" i="81"/>
  <c r="D52" i="81"/>
  <c r="D53" i="81"/>
  <c r="D54" i="81"/>
  <c r="D55" i="81"/>
  <c r="D46" i="81"/>
  <c r="D45" i="81"/>
  <c r="D44" i="81"/>
  <c r="D43" i="81"/>
  <c r="D38" i="81"/>
  <c r="D39" i="81"/>
  <c r="D40" i="81"/>
  <c r="D41" i="81"/>
  <c r="D42" i="81"/>
  <c r="D37" i="81"/>
  <c r="A52" i="7"/>
  <c r="D30" i="81"/>
  <c r="I62" i="106"/>
  <c r="E62" i="106"/>
  <c r="F62" i="106"/>
  <c r="G62" i="106"/>
  <c r="H62" i="106"/>
  <c r="D62" i="106"/>
  <c r="Z46" i="106"/>
  <c r="AA46" i="106"/>
  <c r="AB46" i="106"/>
  <c r="AC46" i="106"/>
  <c r="N46" i="106"/>
  <c r="O46" i="106"/>
  <c r="P46" i="106"/>
  <c r="Q46" i="106"/>
  <c r="T46" i="106"/>
  <c r="U46" i="106"/>
  <c r="V46" i="106"/>
  <c r="W46" i="106"/>
  <c r="H46" i="106"/>
  <c r="I46" i="106"/>
  <c r="J46" i="106"/>
  <c r="K46" i="106"/>
  <c r="D36" i="81"/>
  <c r="D27" i="81"/>
  <c r="A4" i="104"/>
  <c r="A4" i="105"/>
  <c r="D35" i="81"/>
  <c r="D34" i="81"/>
  <c r="D33" i="81"/>
  <c r="D32" i="81"/>
  <c r="D31" i="81"/>
  <c r="D29" i="81"/>
  <c r="D28" i="81"/>
  <c r="D26" i="81"/>
  <c r="D25" i="81"/>
  <c r="D24" i="81"/>
  <c r="D23" i="81"/>
  <c r="J31" i="4"/>
  <c r="A71" i="4" s="1"/>
  <c r="A4" i="7"/>
  <c r="A4" i="6"/>
  <c r="A4" i="4"/>
  <c r="A4" i="82"/>
  <c r="CC1" i="81"/>
  <c r="CB1" i="81"/>
  <c r="CB3" i="81" s="1"/>
  <c r="B15" i="81"/>
  <c r="B13" i="81"/>
  <c r="CB7" i="81"/>
  <c r="CB11" i="81"/>
  <c r="CB4" i="81"/>
  <c r="CB12" i="81"/>
  <c r="CB5" i="81"/>
  <c r="CB13" i="81"/>
  <c r="CB6" i="81"/>
  <c r="CB14" i="81"/>
  <c r="CD27" i="81"/>
  <c r="CD23" i="81"/>
  <c r="CD31" i="81"/>
  <c r="CD28" i="81"/>
  <c r="CD35" i="81"/>
  <c r="AA38" i="6"/>
  <c r="AA39" i="6"/>
  <c r="B39" i="6"/>
  <c r="AA47" i="6"/>
  <c r="B47" i="6"/>
  <c r="AA46" i="6"/>
  <c r="B41" i="6"/>
  <c r="AA41" i="6"/>
  <c r="B43" i="6"/>
  <c r="AA43" i="6"/>
  <c r="AA44" i="6"/>
  <c r="B44" i="6"/>
  <c r="AA40" i="6"/>
  <c r="B40" i="6"/>
  <c r="B46" i="6"/>
  <c r="AA42" i="6"/>
  <c r="AA45" i="6"/>
  <c r="B45" i="6"/>
  <c r="B42" i="6"/>
  <c r="CD30" i="81"/>
  <c r="CD24" i="81"/>
  <c r="CD25" i="81"/>
  <c r="CD29" i="81"/>
  <c r="CD26" i="81"/>
  <c r="J71" i="106"/>
  <c r="CE38" i="81" s="1"/>
  <c r="CK45" i="81" a="1"/>
  <c r="CK45" i="81" s="1"/>
  <c r="CD45" i="81"/>
  <c r="J73" i="106"/>
  <c r="CE40" i="81" s="1"/>
  <c r="CK44" i="81" a="1"/>
  <c r="CK44" i="81" s="1"/>
  <c r="CD44" i="81"/>
  <c r="J75" i="106"/>
  <c r="CE42" i="81" s="1"/>
  <c r="J74" i="106"/>
  <c r="CE41" i="81" s="1"/>
  <c r="CK43" i="81" a="1"/>
  <c r="CK43" i="81" s="1"/>
  <c r="CD43" i="81"/>
  <c r="CD32" i="81"/>
  <c r="J72" i="106"/>
  <c r="CE39" i="81" s="1"/>
  <c r="CD33" i="81"/>
  <c r="CD34" i="81"/>
  <c r="CD36" i="81"/>
  <c r="G45" i="81" l="1"/>
  <c r="B45" i="81" s="1"/>
  <c r="G43" i="81"/>
  <c r="B43" i="81" s="1"/>
  <c r="G44" i="81"/>
  <c r="B44" i="81" s="1"/>
  <c r="C31" i="108"/>
  <c r="D31" i="108"/>
  <c r="B31" i="108"/>
  <c r="B46" i="106"/>
  <c r="F68" i="4" a="1"/>
  <c r="F68" i="4" s="1"/>
  <c r="F57" i="4" a="1"/>
  <c r="F57" i="4" s="1"/>
  <c r="B30" i="108" s="1"/>
  <c r="F55" i="4" a="1"/>
  <c r="F55" i="4" s="1"/>
  <c r="CB8" i="81"/>
  <c r="CB15" i="81"/>
  <c r="CB10" i="81"/>
  <c r="CB2" i="81"/>
  <c r="CC2" i="81" s="1"/>
  <c r="CB9" i="81"/>
  <c r="A123" i="4"/>
  <c r="A109" i="4"/>
  <c r="U28" i="106"/>
  <c r="V28" i="106" s="1"/>
  <c r="W28" i="106" s="1"/>
  <c r="A55" i="7"/>
  <c r="A126" i="4"/>
  <c r="A108" i="4"/>
  <c r="I28" i="106"/>
  <c r="J28" i="106" s="1"/>
  <c r="K28" i="106" s="1"/>
  <c r="Z28" i="106"/>
  <c r="A40" i="4"/>
  <c r="A105" i="4"/>
  <c r="A84" i="4"/>
  <c r="A39" i="4"/>
  <c r="C28" i="106"/>
  <c r="C12" i="108" s="1"/>
  <c r="AF28" i="106"/>
  <c r="B57" i="7"/>
  <c r="A99" i="4"/>
  <c r="A79" i="4"/>
  <c r="A114" i="4"/>
  <c r="A96" i="4"/>
  <c r="N28" i="106"/>
  <c r="A32" i="4"/>
  <c r="A90" i="4"/>
  <c r="O28" i="106"/>
  <c r="P28" i="106" s="1"/>
  <c r="Q28" i="106" s="1"/>
  <c r="A61" i="4"/>
  <c r="A87" i="4"/>
  <c r="A93" i="4"/>
  <c r="B28" i="106"/>
  <c r="B12" i="108" s="1"/>
  <c r="T28" i="106"/>
  <c r="AG28" i="106"/>
  <c r="AH28" i="106" s="1"/>
  <c r="AI28" i="106" s="1"/>
  <c r="A53" i="4"/>
  <c r="A129" i="4"/>
  <c r="A102" i="4"/>
  <c r="A110" i="4"/>
  <c r="H28" i="106"/>
  <c r="A42" i="4"/>
  <c r="AL28" i="106"/>
  <c r="A117" i="4"/>
  <c r="A41" i="4"/>
  <c r="A120" i="4"/>
  <c r="AA28" i="106"/>
  <c r="AB28" i="106" s="1"/>
  <c r="AC28" i="106" s="1"/>
  <c r="A53" i="7"/>
  <c r="AM28" i="106"/>
  <c r="AN28" i="106" s="1"/>
  <c r="AO28" i="106" s="1"/>
  <c r="A43" i="4"/>
  <c r="A31" i="4"/>
  <c r="B28" i="108" l="1"/>
  <c r="B43" i="106"/>
  <c r="B45" i="106"/>
  <c r="C91" i="81"/>
  <c r="C46" i="106"/>
  <c r="D28" i="106"/>
  <c r="E28" i="106" s="1"/>
  <c r="E12" i="108" s="1"/>
  <c r="CC3" i="81"/>
  <c r="D46" i="106" l="1"/>
  <c r="D91" i="81"/>
  <c r="Z45" i="106"/>
  <c r="T45" i="106"/>
  <c r="C90" i="81"/>
  <c r="AL45" i="106"/>
  <c r="AF45" i="106"/>
  <c r="H45" i="106"/>
  <c r="N45" i="106"/>
  <c r="N43" i="106"/>
  <c r="AL43" i="106"/>
  <c r="Z43" i="106"/>
  <c r="H43" i="106"/>
  <c r="T43" i="106"/>
  <c r="C88" i="81"/>
  <c r="AF43" i="106"/>
  <c r="D12" i="108"/>
  <c r="CD3" i="81"/>
  <c r="CC4" i="81"/>
  <c r="CD2" i="81"/>
  <c r="E91" i="81" l="1"/>
  <c r="E60" i="81" s="1"/>
  <c r="B60" i="81" s="1"/>
  <c r="E46" i="106"/>
  <c r="F91" i="81" s="1"/>
  <c r="CC5" i="81"/>
  <c r="CF2" i="81" s="1"/>
  <c r="CE2" i="81"/>
  <c r="CE3" i="81"/>
  <c r="CE4" i="81"/>
  <c r="L74" i="4" l="1"/>
  <c r="I74" i="4"/>
  <c r="H74" i="4"/>
  <c r="F74" i="4" s="1" a="1"/>
  <c r="F74" i="4" s="1"/>
  <c r="J74" i="4"/>
  <c r="M74" i="4"/>
  <c r="K74" i="4"/>
  <c r="CF4" i="81"/>
  <c r="CG5" i="81"/>
  <c r="CF5" i="81"/>
  <c r="CF3" i="81"/>
  <c r="CC6" i="81"/>
  <c r="CG2" i="81" l="1"/>
  <c r="CH6" i="81"/>
  <c r="CG6" i="81"/>
  <c r="CI6" i="81"/>
  <c r="CG3" i="81"/>
  <c r="CH2" i="81"/>
  <c r="CC8" i="81"/>
  <c r="CG4" i="81"/>
  <c r="CC7" i="81"/>
  <c r="CH3" i="81" s="1"/>
  <c r="CI5" i="81" l="1"/>
  <c r="CI8" i="81"/>
  <c r="CC9" i="81"/>
  <c r="CH4" i="81"/>
  <c r="CH5" i="81"/>
  <c r="CJ3" i="81"/>
  <c r="CI3" i="81"/>
  <c r="CH7" i="81"/>
  <c r="CI7" i="81"/>
  <c r="CI4" i="81"/>
  <c r="CI2" i="81"/>
  <c r="CJ5" i="81" l="1"/>
  <c r="CJ8" i="81"/>
  <c r="CJ6" i="81"/>
  <c r="CJ7" i="81"/>
  <c r="CJ9" i="81"/>
  <c r="CJ4" i="81"/>
  <c r="CC10" i="81"/>
  <c r="CJ2" i="81"/>
  <c r="CK9" i="81" l="1"/>
  <c r="CK7" i="81"/>
  <c r="CK3" i="81"/>
  <c r="CK4" i="81"/>
  <c r="CK8" i="81"/>
  <c r="CK10" i="81"/>
  <c r="CC11" i="81"/>
  <c r="CK2" i="81"/>
  <c r="CK5" i="81"/>
  <c r="CK6" i="81"/>
  <c r="CL6" i="81" l="1"/>
  <c r="CL5" i="81"/>
  <c r="CL4" i="81"/>
  <c r="CL7" i="81"/>
  <c r="CL11" i="81"/>
  <c r="CM11" i="81"/>
  <c r="CL2" i="81"/>
  <c r="CC12" i="81"/>
  <c r="CM7" i="81"/>
  <c r="CM5" i="81"/>
  <c r="CL3" i="81"/>
  <c r="CL8" i="81"/>
  <c r="CL10" i="81"/>
  <c r="CL9" i="81"/>
  <c r="CM4" i="81" l="1"/>
  <c r="CM12" i="81"/>
  <c r="CC13" i="81"/>
  <c r="CN8" i="81" s="1"/>
  <c r="CM2" i="81"/>
  <c r="CM3" i="81"/>
  <c r="CN7" i="81"/>
  <c r="CM10" i="81"/>
  <c r="CM6" i="81"/>
  <c r="CM8" i="81"/>
  <c r="CM9" i="81"/>
  <c r="CN11" i="81" l="1"/>
  <c r="CN13" i="81"/>
  <c r="CC14" i="81"/>
  <c r="CN2" i="81"/>
  <c r="CN3" i="81"/>
  <c r="CN4" i="81"/>
  <c r="CN5" i="81"/>
  <c r="CN9" i="81"/>
  <c r="CN10" i="81"/>
  <c r="CN6" i="81"/>
  <c r="CN12" i="81"/>
  <c r="CO11" i="81" l="1"/>
  <c r="CO13" i="81"/>
  <c r="CO9" i="81"/>
  <c r="CO10" i="81"/>
  <c r="CO14" i="81"/>
  <c r="CC15" i="81"/>
  <c r="CP10" i="81" s="1"/>
  <c r="CO2" i="81"/>
  <c r="CO5" i="81"/>
  <c r="CO3" i="81"/>
  <c r="CO4" i="81"/>
  <c r="CO6" i="81"/>
  <c r="CO7" i="81"/>
  <c r="CO8" i="81"/>
  <c r="CO12" i="81"/>
  <c r="J63" i="4" l="1"/>
  <c r="I63" i="4"/>
  <c r="H63" i="4"/>
  <c r="K63" i="4"/>
  <c r="M63" i="4"/>
  <c r="L63" i="4"/>
  <c r="CP13" i="81"/>
  <c r="CP12" i="81"/>
  <c r="CP14" i="81"/>
  <c r="CP15" i="81"/>
  <c r="CP5" i="81"/>
  <c r="L58" i="4" s="1"/>
  <c r="AF46" i="106" s="1"/>
  <c r="AG46" i="106" s="1"/>
  <c r="AH46" i="106" s="1"/>
  <c r="AI46" i="106" s="1"/>
  <c r="CP2" i="81"/>
  <c r="CP3" i="81"/>
  <c r="CP7" i="81"/>
  <c r="CP4" i="81"/>
  <c r="CP9" i="81"/>
  <c r="CP6" i="81"/>
  <c r="CP8" i="81"/>
  <c r="CP11" i="81"/>
  <c r="M65" i="4" l="1"/>
  <c r="H65" i="4"/>
  <c r="F65" i="4" s="1" a="1"/>
  <c r="F65" i="4" s="1"/>
  <c r="J65" i="4"/>
  <c r="K65" i="4"/>
  <c r="I65" i="4"/>
  <c r="L65" i="4"/>
  <c r="H56" i="4"/>
  <c r="K56" i="4"/>
  <c r="Z44" i="106" s="1"/>
  <c r="L56" i="4"/>
  <c r="AF44" i="106" s="1"/>
  <c r="M56" i="4"/>
  <c r="J56" i="4"/>
  <c r="T44" i="106" s="1"/>
  <c r="I56" i="4"/>
  <c r="Z30" i="106"/>
  <c r="AB30" i="106"/>
  <c r="M59" i="4"/>
  <c r="H59" i="4"/>
  <c r="J59" i="4"/>
  <c r="T47" i="106" s="1"/>
  <c r="L59" i="4"/>
  <c r="AF47" i="106" s="1"/>
  <c r="K59" i="4"/>
  <c r="Z47" i="106" s="1"/>
  <c r="I59" i="4"/>
  <c r="M54" i="4"/>
  <c r="K54" i="4"/>
  <c r="Z42" i="106" s="1"/>
  <c r="I54" i="4"/>
  <c r="J54" i="4"/>
  <c r="T42" i="106" s="1"/>
  <c r="L54" i="4"/>
  <c r="AF42" i="106" s="1"/>
  <c r="H54" i="4"/>
  <c r="J69" i="4"/>
  <c r="U55" i="106" s="1"/>
  <c r="L69" i="4"/>
  <c r="AG55" i="106" s="1"/>
  <c r="M69" i="4"/>
  <c r="I69" i="4"/>
  <c r="K69" i="4"/>
  <c r="AA55" i="106" s="1"/>
  <c r="H69" i="4"/>
  <c r="F63" i="4" a="1"/>
  <c r="F63" i="4" s="1"/>
  <c r="J30" i="106"/>
  <c r="H30" i="106"/>
  <c r="K64" i="4"/>
  <c r="H64" i="4"/>
  <c r="J64" i="4"/>
  <c r="M64" i="4"/>
  <c r="I64" i="4"/>
  <c r="L64" i="4"/>
  <c r="J66" i="4"/>
  <c r="L66" i="4"/>
  <c r="I66" i="4"/>
  <c r="H66" i="4"/>
  <c r="F66" i="4" s="1" a="1"/>
  <c r="F66" i="4" s="1"/>
  <c r="M66" i="4"/>
  <c r="K66" i="4"/>
  <c r="AF30" i="106"/>
  <c r="AH30" i="106"/>
  <c r="K73" i="4"/>
  <c r="I73" i="4"/>
  <c r="J73" i="4"/>
  <c r="M73" i="4"/>
  <c r="L73" i="4"/>
  <c r="H73" i="4"/>
  <c r="F73" i="4" s="1" a="1"/>
  <c r="F73" i="4" s="1"/>
  <c r="AN30" i="106"/>
  <c r="N30" i="106"/>
  <c r="P30" i="106"/>
  <c r="AL30" i="106"/>
  <c r="M67" i="4"/>
  <c r="J67" i="4"/>
  <c r="H67" i="4"/>
  <c r="F67" i="4" s="1" a="1"/>
  <c r="F67" i="4" s="1"/>
  <c r="I67" i="4"/>
  <c r="K67" i="4"/>
  <c r="L67" i="4"/>
  <c r="V30" i="106"/>
  <c r="T30" i="106"/>
  <c r="D15" i="108" l="1"/>
  <c r="C28" i="108"/>
  <c r="C19" i="108"/>
  <c r="C18" i="108"/>
  <c r="AA51" i="106"/>
  <c r="AA44" i="106" s="1"/>
  <c r="AH33" i="106"/>
  <c r="AG33" i="106"/>
  <c r="N42" i="106"/>
  <c r="AL42" i="106"/>
  <c r="I34" i="106"/>
  <c r="C34" i="106"/>
  <c r="K34" i="106"/>
  <c r="J34" i="106"/>
  <c r="F64" i="4" a="1"/>
  <c r="F64" i="4" s="1"/>
  <c r="C16" i="108" s="1"/>
  <c r="J35" i="106"/>
  <c r="I35" i="106"/>
  <c r="AA43" i="106"/>
  <c r="AM33" i="106"/>
  <c r="AN33" i="106"/>
  <c r="O33" i="106"/>
  <c r="P33" i="106"/>
  <c r="U36" i="106"/>
  <c r="AB55" i="106"/>
  <c r="AC30" i="106"/>
  <c r="AC35" i="106" s="1"/>
  <c r="Q34" i="106"/>
  <c r="P34" i="106"/>
  <c r="AN34" i="106"/>
  <c r="AM34" i="106"/>
  <c r="O34" i="106"/>
  <c r="AA32" i="106"/>
  <c r="AA31" i="106" s="1"/>
  <c r="AF32" i="106"/>
  <c r="AF31" i="106" s="1"/>
  <c r="AA35" i="106"/>
  <c r="Z32" i="106"/>
  <c r="Z31" i="106" s="1"/>
  <c r="AB32" i="106"/>
  <c r="AB31" i="106" s="1"/>
  <c r="AB35" i="106"/>
  <c r="N47" i="106"/>
  <c r="AL47" i="106"/>
  <c r="AL44" i="106"/>
  <c r="N44" i="106"/>
  <c r="AA33" i="106"/>
  <c r="AB33" i="106"/>
  <c r="AO30" i="106"/>
  <c r="AN55" i="106"/>
  <c r="AM35" i="106"/>
  <c r="AN35" i="106"/>
  <c r="P35" i="106"/>
  <c r="Q35" i="106"/>
  <c r="O32" i="106"/>
  <c r="O31" i="106" s="1"/>
  <c r="P32" i="106"/>
  <c r="P31" i="106" s="1"/>
  <c r="AO35" i="106"/>
  <c r="N32" i="106"/>
  <c r="N31" i="106" s="1"/>
  <c r="O35" i="106"/>
  <c r="T32" i="106"/>
  <c r="T31" i="106" s="1"/>
  <c r="U35" i="106"/>
  <c r="V32" i="106"/>
  <c r="V31" i="106" s="1"/>
  <c r="U32" i="106"/>
  <c r="U31" i="106" s="1"/>
  <c r="V35" i="106"/>
  <c r="AM55" i="106"/>
  <c r="O55" i="106"/>
  <c r="U43" i="106"/>
  <c r="AM43" i="106"/>
  <c r="AG34" i="106"/>
  <c r="AH34" i="106"/>
  <c r="I43" i="106"/>
  <c r="U51" i="106"/>
  <c r="U44" i="106"/>
  <c r="U33" i="106"/>
  <c r="V33" i="106"/>
  <c r="AG43" i="106"/>
  <c r="F59" i="4" a="1"/>
  <c r="F59" i="4" s="1"/>
  <c r="H47" i="106"/>
  <c r="AB34" i="106"/>
  <c r="AA34" i="106"/>
  <c r="AA36" i="106"/>
  <c r="W30" i="106"/>
  <c r="W32" i="106" s="1"/>
  <c r="V55" i="106"/>
  <c r="Q30" i="106"/>
  <c r="Q33" i="106" s="1"/>
  <c r="P55" i="106"/>
  <c r="V34" i="106"/>
  <c r="U34" i="106"/>
  <c r="J55" i="106"/>
  <c r="K30" i="106"/>
  <c r="K35" i="106" s="1"/>
  <c r="F54" i="4" a="1"/>
  <c r="F54" i="4" s="1"/>
  <c r="H42" i="106"/>
  <c r="K33" i="106"/>
  <c r="J33" i="106"/>
  <c r="C33" i="106"/>
  <c r="I33" i="106"/>
  <c r="I55" i="106"/>
  <c r="F69" i="4" a="1"/>
  <c r="F69" i="4" s="1"/>
  <c r="H44" i="106"/>
  <c r="F56" i="4" a="1"/>
  <c r="F56" i="4" s="1"/>
  <c r="B29" i="108" s="1"/>
  <c r="C36" i="108" s="1"/>
  <c r="O43" i="106"/>
  <c r="AH55" i="106"/>
  <c r="AI30" i="106"/>
  <c r="AH31" i="106"/>
  <c r="AI32" i="106"/>
  <c r="AG35" i="106"/>
  <c r="AH32" i="106"/>
  <c r="AH35" i="106"/>
  <c r="AG32" i="106"/>
  <c r="AG31" i="106" s="1"/>
  <c r="B15" i="108"/>
  <c r="C45" i="106"/>
  <c r="B30" i="106"/>
  <c r="D30" i="106"/>
  <c r="D34" i="106" s="1"/>
  <c r="C43" i="106"/>
  <c r="AG36" i="106"/>
  <c r="AG51" i="106"/>
  <c r="AG44" i="106"/>
  <c r="C21" i="108" l="1"/>
  <c r="B27" i="108"/>
  <c r="C55" i="106"/>
  <c r="C40" i="108"/>
  <c r="D28" i="108"/>
  <c r="C38" i="108"/>
  <c r="D19" i="108"/>
  <c r="E79" i="81" s="1"/>
  <c r="D40" i="108"/>
  <c r="E15" i="108"/>
  <c r="J70" i="106" s="1"/>
  <c r="CE37" i="81" s="1"/>
  <c r="D18" i="108"/>
  <c r="C29" i="108"/>
  <c r="D16" i="108"/>
  <c r="CK31" i="81"/>
  <c r="E31" i="81" s="1"/>
  <c r="B31" i="81" s="1"/>
  <c r="D79" i="81"/>
  <c r="D17" i="108"/>
  <c r="D78" i="81"/>
  <c r="B47" i="106"/>
  <c r="B32" i="108"/>
  <c r="C17" i="108"/>
  <c r="C20" i="108" s="1"/>
  <c r="AC32" i="106"/>
  <c r="W34" i="106"/>
  <c r="AC34" i="106"/>
  <c r="W33" i="106"/>
  <c r="AB51" i="106"/>
  <c r="AB44" i="106" s="1"/>
  <c r="AM37" i="106"/>
  <c r="AM38" i="106" s="1"/>
  <c r="B16" i="108"/>
  <c r="C30" i="108" s="1"/>
  <c r="C39" i="108" s="1"/>
  <c r="D45" i="106"/>
  <c r="C54" i="106"/>
  <c r="AL32" i="106"/>
  <c r="AL31" i="106" s="1"/>
  <c r="D35" i="106"/>
  <c r="AM32" i="106"/>
  <c r="AM31" i="106" s="1"/>
  <c r="D32" i="106"/>
  <c r="AN32" i="106"/>
  <c r="AN31" i="106" s="1"/>
  <c r="K32" i="106"/>
  <c r="K31" i="106" s="1"/>
  <c r="H32" i="106"/>
  <c r="H31" i="106" s="1"/>
  <c r="J32" i="106"/>
  <c r="J31" i="106" s="1"/>
  <c r="B32" i="106"/>
  <c r="B31" i="106" s="1"/>
  <c r="C35" i="106"/>
  <c r="CK23" i="81"/>
  <c r="C32" i="106"/>
  <c r="I32" i="106"/>
  <c r="I31" i="106" s="1"/>
  <c r="AO32" i="106"/>
  <c r="AO31" i="106" s="1"/>
  <c r="AM36" i="106"/>
  <c r="H63" i="106"/>
  <c r="H70" i="106" s="1"/>
  <c r="AI31" i="106"/>
  <c r="AI55" i="106"/>
  <c r="AI34" i="106"/>
  <c r="AC55" i="106"/>
  <c r="AC31" i="106"/>
  <c r="G63" i="106"/>
  <c r="G70" i="106" s="1"/>
  <c r="O36" i="106"/>
  <c r="AG45" i="106"/>
  <c r="D63" i="106"/>
  <c r="D70" i="106" s="1"/>
  <c r="K55" i="106"/>
  <c r="Q55" i="106"/>
  <c r="E63" i="106"/>
  <c r="E70" i="106" s="1"/>
  <c r="V51" i="106"/>
  <c r="V44" i="106" s="1"/>
  <c r="U45" i="106"/>
  <c r="AO55" i="106"/>
  <c r="I63" i="106"/>
  <c r="I70" i="106" s="1"/>
  <c r="AA45" i="106"/>
  <c r="AO33" i="106"/>
  <c r="AI33" i="106"/>
  <c r="E30" i="106"/>
  <c r="E32" i="106" s="1"/>
  <c r="D55" i="106"/>
  <c r="E75" i="81"/>
  <c r="E46" i="81" s="1"/>
  <c r="I51" i="106"/>
  <c r="I44" i="106" s="1"/>
  <c r="I36" i="106"/>
  <c r="AM51" i="106"/>
  <c r="AM44" i="106"/>
  <c r="B42" i="106"/>
  <c r="O53" i="106"/>
  <c r="P43" i="106"/>
  <c r="AM53" i="106"/>
  <c r="AN43" i="106"/>
  <c r="O45" i="106"/>
  <c r="AG37" i="106"/>
  <c r="AG38" i="106" s="1"/>
  <c r="AG39" i="106" s="1"/>
  <c r="AG53" i="106"/>
  <c r="AH43" i="106"/>
  <c r="AH51" i="106"/>
  <c r="AH44" i="106" s="1"/>
  <c r="O51" i="106"/>
  <c r="O44" i="106"/>
  <c r="U37" i="106"/>
  <c r="U38" i="106" s="1"/>
  <c r="U39" i="106" s="1"/>
  <c r="O37" i="106"/>
  <c r="O38" i="106" s="1"/>
  <c r="O39" i="106" s="1"/>
  <c r="V43" i="106"/>
  <c r="U53" i="106"/>
  <c r="C53" i="106"/>
  <c r="D43" i="106"/>
  <c r="CK27" i="81"/>
  <c r="E27" i="81" s="1"/>
  <c r="B27" i="81" s="1"/>
  <c r="D88" i="81"/>
  <c r="AI35" i="106"/>
  <c r="CK28" i="81"/>
  <c r="E28" i="81" s="1"/>
  <c r="B28" i="81" s="1"/>
  <c r="B44" i="106"/>
  <c r="D33" i="106"/>
  <c r="W31" i="106"/>
  <c r="W55" i="106"/>
  <c r="F63" i="106"/>
  <c r="F70" i="106" s="1"/>
  <c r="I53" i="106"/>
  <c r="J43" i="106"/>
  <c r="W35" i="106"/>
  <c r="Q32" i="106"/>
  <c r="Q31" i="106" s="1"/>
  <c r="AC33" i="106"/>
  <c r="AO34" i="106"/>
  <c r="AA53" i="106"/>
  <c r="AB43" i="106"/>
  <c r="AA37" i="106"/>
  <c r="AA38" i="106" s="1"/>
  <c r="AA39" i="106" s="1"/>
  <c r="I37" i="106"/>
  <c r="I38" i="106" s="1"/>
  <c r="I39" i="106"/>
  <c r="D29" i="108" l="1"/>
  <c r="E36" i="108" s="1"/>
  <c r="D36" i="108"/>
  <c r="D38" i="108"/>
  <c r="E28" i="108"/>
  <c r="E38" i="108" s="1"/>
  <c r="D100" i="81"/>
  <c r="E17" i="108"/>
  <c r="F77" i="81" s="1"/>
  <c r="E40" i="108"/>
  <c r="E100" i="81"/>
  <c r="E18" i="108"/>
  <c r="E16" i="108"/>
  <c r="E19" i="108"/>
  <c r="E78" i="81"/>
  <c r="E49" i="81" s="1"/>
  <c r="B49" i="81" s="1"/>
  <c r="C22" i="108"/>
  <c r="C23" i="108" s="1"/>
  <c r="C24" i="108" s="1"/>
  <c r="C41" i="108" s="1"/>
  <c r="D90" i="81"/>
  <c r="C37" i="108"/>
  <c r="D30" i="108"/>
  <c r="D39" i="108" s="1"/>
  <c r="D20" i="108"/>
  <c r="E50" i="81"/>
  <c r="B50" i="81" s="1"/>
  <c r="E77" i="81"/>
  <c r="C92" i="81"/>
  <c r="I45" i="106"/>
  <c r="J45" i="106" s="1"/>
  <c r="AM45" i="106"/>
  <c r="AM54" i="106" s="1"/>
  <c r="AM52" i="106" s="1"/>
  <c r="D31" i="106"/>
  <c r="E76" i="81" s="1"/>
  <c r="AM39" i="106"/>
  <c r="AM56" i="106" s="1"/>
  <c r="AM47" i="106" s="1"/>
  <c r="AA50" i="106"/>
  <c r="AA59" i="106"/>
  <c r="AA47" i="106"/>
  <c r="AM50" i="106"/>
  <c r="AM59" i="106"/>
  <c r="W51" i="106"/>
  <c r="W44" i="106" s="1"/>
  <c r="U59" i="106"/>
  <c r="U50" i="106"/>
  <c r="U47" i="106"/>
  <c r="J51" i="106"/>
  <c r="J44" i="106"/>
  <c r="O59" i="106"/>
  <c r="O50" i="106"/>
  <c r="O47" i="106"/>
  <c r="AI51" i="106"/>
  <c r="AI44" i="106"/>
  <c r="AC51" i="106"/>
  <c r="AC44" i="106" s="1"/>
  <c r="D54" i="106"/>
  <c r="E45" i="106"/>
  <c r="P51" i="106"/>
  <c r="P44" i="106" s="1"/>
  <c r="C87" i="81"/>
  <c r="C36" i="106"/>
  <c r="D81" i="81" s="1"/>
  <c r="B46" i="81"/>
  <c r="D80" i="81"/>
  <c r="AA54" i="106"/>
  <c r="AA52" i="106" s="1"/>
  <c r="AB45" i="106"/>
  <c r="P45" i="106"/>
  <c r="O54" i="106"/>
  <c r="O52" i="106" s="1"/>
  <c r="AN51" i="106"/>
  <c r="AN44" i="106" s="1"/>
  <c r="C31" i="106"/>
  <c r="D76" i="81" s="1"/>
  <c r="D77" i="81"/>
  <c r="AN53" i="106"/>
  <c r="AO43" i="106"/>
  <c r="AO53" i="106" s="1"/>
  <c r="E55" i="106"/>
  <c r="F75" i="81"/>
  <c r="E31" i="106"/>
  <c r="E34" i="106"/>
  <c r="E33" i="106"/>
  <c r="I50" i="106"/>
  <c r="I59" i="106"/>
  <c r="D53" i="106"/>
  <c r="E43" i="106"/>
  <c r="Q43" i="106"/>
  <c r="Q53" i="106" s="1"/>
  <c r="P53" i="106"/>
  <c r="E23" i="81"/>
  <c r="B23" i="81" s="1"/>
  <c r="CK24" i="81"/>
  <c r="E24" i="81" s="1"/>
  <c r="B24" i="81" s="1"/>
  <c r="C89" i="81"/>
  <c r="C51" i="106"/>
  <c r="D96" i="81" s="1"/>
  <c r="K43" i="106"/>
  <c r="K53" i="106" s="1"/>
  <c r="J53" i="106"/>
  <c r="V53" i="106"/>
  <c r="W43" i="106"/>
  <c r="W53" i="106" s="1"/>
  <c r="AI43" i="106"/>
  <c r="AI53" i="106" s="1"/>
  <c r="AH53" i="106"/>
  <c r="V45" i="106"/>
  <c r="U54" i="106"/>
  <c r="U52" i="106" s="1"/>
  <c r="CD37" i="81"/>
  <c r="G37" i="81" s="1"/>
  <c r="I47" i="106"/>
  <c r="AG54" i="106"/>
  <c r="AG52" i="106" s="1"/>
  <c r="AH45" i="106"/>
  <c r="E35" i="106"/>
  <c r="AG50" i="106"/>
  <c r="AG59" i="106"/>
  <c r="AG47" i="106"/>
  <c r="D98" i="81"/>
  <c r="C52" i="106"/>
  <c r="AB53" i="106"/>
  <c r="AC43" i="106"/>
  <c r="AC53" i="106" s="1"/>
  <c r="E29" i="108" l="1"/>
  <c r="E80" i="81"/>
  <c r="E66" i="81"/>
  <c r="B66" i="81" s="1"/>
  <c r="D37" i="108"/>
  <c r="F100" i="81"/>
  <c r="E99" i="81"/>
  <c r="E20" i="108"/>
  <c r="F78" i="81"/>
  <c r="F76" i="81"/>
  <c r="E30" i="108"/>
  <c r="F79" i="81"/>
  <c r="C35" i="108"/>
  <c r="C32" i="108" s="1"/>
  <c r="E90" i="81"/>
  <c r="E59" i="81" s="1"/>
  <c r="B59" i="81" s="1"/>
  <c r="D99" i="81"/>
  <c r="E48" i="81"/>
  <c r="B48" i="81" s="1"/>
  <c r="I54" i="106"/>
  <c r="I52" i="106" s="1"/>
  <c r="I57" i="106" s="1"/>
  <c r="I42" i="106" s="1"/>
  <c r="E47" i="81"/>
  <c r="B47" i="81" s="1"/>
  <c r="C37" i="106"/>
  <c r="C38" i="106" s="1"/>
  <c r="D83" i="81" s="1"/>
  <c r="AN45" i="106"/>
  <c r="AN54" i="106" s="1"/>
  <c r="AN52" i="106" s="1"/>
  <c r="Q51" i="106"/>
  <c r="Q44" i="106" s="1"/>
  <c r="AO51" i="106"/>
  <c r="AO44" i="106"/>
  <c r="E98" i="81"/>
  <c r="E64" i="81" s="1"/>
  <c r="B64" i="81" s="1"/>
  <c r="D52" i="106"/>
  <c r="O57" i="106"/>
  <c r="O42" i="106" s="1"/>
  <c r="AC45" i="106"/>
  <c r="AC54" i="106" s="1"/>
  <c r="AC52" i="106" s="1"/>
  <c r="AB54" i="106"/>
  <c r="AB52" i="106" s="1"/>
  <c r="K51" i="106"/>
  <c r="K44" i="106" s="1"/>
  <c r="B37" i="81"/>
  <c r="AI45" i="106"/>
  <c r="AI54" i="106" s="1"/>
  <c r="AI52" i="106" s="1"/>
  <c r="AH54" i="106"/>
  <c r="AH52" i="106" s="1"/>
  <c r="AM57" i="106"/>
  <c r="AM42" i="106" s="1"/>
  <c r="AG57" i="106"/>
  <c r="AG42" i="106" s="1"/>
  <c r="Q45" i="106"/>
  <c r="Q54" i="106" s="1"/>
  <c r="Q52" i="106" s="1"/>
  <c r="P54" i="106"/>
  <c r="P52" i="106" s="1"/>
  <c r="W45" i="106"/>
  <c r="W54" i="106" s="1"/>
  <c r="W52" i="106" s="1"/>
  <c r="V54" i="106"/>
  <c r="V52" i="106" s="1"/>
  <c r="U57" i="106"/>
  <c r="U42" i="106" s="1"/>
  <c r="E53" i="106"/>
  <c r="E51" i="81"/>
  <c r="K45" i="106"/>
  <c r="K54" i="106" s="1"/>
  <c r="K52" i="106" s="1"/>
  <c r="J54" i="106"/>
  <c r="J52" i="106" s="1"/>
  <c r="C44" i="106"/>
  <c r="E54" i="106"/>
  <c r="AA57" i="106"/>
  <c r="AA42" i="106" s="1"/>
  <c r="E39" i="108" l="1"/>
  <c r="E37" i="108" s="1"/>
  <c r="F80" i="81"/>
  <c r="E65" i="81"/>
  <c r="B65" i="81" s="1"/>
  <c r="F99" i="81"/>
  <c r="F90" i="81"/>
  <c r="C44" i="108"/>
  <c r="AO45" i="106"/>
  <c r="AO54" i="106" s="1"/>
  <c r="AO52" i="106" s="1"/>
  <c r="D82" i="81"/>
  <c r="P36" i="106"/>
  <c r="C39" i="106"/>
  <c r="J36" i="106"/>
  <c r="AB36" i="106"/>
  <c r="V36" i="106"/>
  <c r="B51" i="81"/>
  <c r="AH36" i="106"/>
  <c r="E52" i="106"/>
  <c r="F98" i="81"/>
  <c r="AN36" i="106"/>
  <c r="D51" i="106"/>
  <c r="E96" i="81" s="1"/>
  <c r="E63" i="81" s="1"/>
  <c r="B63" i="81" s="1"/>
  <c r="D89" i="81"/>
  <c r="C42" i="108" l="1"/>
  <c r="C27" i="108" s="1"/>
  <c r="C50" i="106"/>
  <c r="D84" i="81"/>
  <c r="C59" i="106"/>
  <c r="AN37" i="106"/>
  <c r="AN38" i="106" s="1"/>
  <c r="AN39" i="106" s="1"/>
  <c r="V37" i="106"/>
  <c r="V38" i="106" s="1"/>
  <c r="V39" i="106" s="1"/>
  <c r="P37" i="106"/>
  <c r="P38" i="106" s="1"/>
  <c r="P39" i="106" s="1"/>
  <c r="AH37" i="106"/>
  <c r="AH38" i="106" s="1"/>
  <c r="AH39" i="106" s="1"/>
  <c r="J37" i="106"/>
  <c r="J38" i="106" s="1"/>
  <c r="J39" i="106" s="1"/>
  <c r="D44" i="106"/>
  <c r="AB37" i="106"/>
  <c r="AB38" i="106" s="1"/>
  <c r="AB39" i="106" s="1"/>
  <c r="D21" i="108" l="1"/>
  <c r="D22" i="108" s="1"/>
  <c r="P50" i="106"/>
  <c r="P57" i="106" s="1"/>
  <c r="P42" i="106" s="1"/>
  <c r="P59" i="106"/>
  <c r="P47" i="106"/>
  <c r="J50" i="106"/>
  <c r="J57" i="106" s="1"/>
  <c r="J42" i="106" s="1"/>
  <c r="J59" i="106"/>
  <c r="J47" i="106"/>
  <c r="AH50" i="106"/>
  <c r="AH57" i="106" s="1"/>
  <c r="AH42" i="106" s="1"/>
  <c r="AH59" i="106"/>
  <c r="AH47" i="106"/>
  <c r="CK35" i="81"/>
  <c r="E35" i="81" s="1"/>
  <c r="B35" i="81" s="1"/>
  <c r="E51" i="106"/>
  <c r="F96" i="81" s="1"/>
  <c r="E89" i="81"/>
  <c r="E58" i="81" s="1"/>
  <c r="B58" i="81" s="1"/>
  <c r="D104" i="81"/>
  <c r="CK30" i="81"/>
  <c r="E30" i="81" s="1"/>
  <c r="B30" i="81" s="1"/>
  <c r="AN50" i="106"/>
  <c r="AN56" i="106"/>
  <c r="AN47" i="106" s="1"/>
  <c r="AN59" i="106"/>
  <c r="V50" i="106"/>
  <c r="V57" i="106" s="1"/>
  <c r="V42" i="106" s="1"/>
  <c r="V59" i="106"/>
  <c r="V47" i="106"/>
  <c r="AB50" i="106"/>
  <c r="AB57" i="106" s="1"/>
  <c r="AB42" i="106" s="1"/>
  <c r="AB59" i="106"/>
  <c r="AB47" i="106"/>
  <c r="D95" i="81"/>
  <c r="C56" i="106"/>
  <c r="D23" i="108" l="1"/>
  <c r="D24" i="108" s="1"/>
  <c r="AN57" i="106"/>
  <c r="AN42" i="106" s="1"/>
  <c r="AO36" i="106" s="1"/>
  <c r="E44" i="106"/>
  <c r="F89" i="81" s="1"/>
  <c r="AI36" i="106"/>
  <c r="D101" i="81"/>
  <c r="C47" i="106"/>
  <c r="K36" i="106"/>
  <c r="C57" i="106"/>
  <c r="AC36" i="106"/>
  <c r="W36" i="106"/>
  <c r="Q36" i="106"/>
  <c r="D41" i="108" l="1"/>
  <c r="D32" i="108" s="1"/>
  <c r="D35" i="108"/>
  <c r="D44" i="108" s="1"/>
  <c r="AC37" i="106"/>
  <c r="AC38" i="106" s="1"/>
  <c r="AC39" i="106" s="1"/>
  <c r="K37" i="106"/>
  <c r="K38" i="106" s="1"/>
  <c r="K39" i="106" s="1"/>
  <c r="Q37" i="106"/>
  <c r="Q38" i="106" s="1"/>
  <c r="Q39" i="106" s="1"/>
  <c r="CK29" i="81"/>
  <c r="E29" i="81" s="1"/>
  <c r="B29" i="81" s="1"/>
  <c r="D92" i="81"/>
  <c r="CK25" i="81"/>
  <c r="D102" i="81"/>
  <c r="C42" i="106"/>
  <c r="W37" i="106"/>
  <c r="W38" i="106" s="1"/>
  <c r="W39" i="106" s="1"/>
  <c r="AI37" i="106"/>
  <c r="AI38" i="106" s="1"/>
  <c r="AI39" i="106" s="1"/>
  <c r="AO37" i="106"/>
  <c r="AO38" i="106" s="1"/>
  <c r="AO39" i="106" s="1"/>
  <c r="D42" i="108" l="1"/>
  <c r="D27" i="108" s="1"/>
  <c r="E21" i="108" s="1"/>
  <c r="E22" i="108" s="1"/>
  <c r="AO50" i="106"/>
  <c r="AO56" i="106"/>
  <c r="AO47" i="106" s="1"/>
  <c r="I66" i="106" s="1"/>
  <c r="I73" i="106" s="1"/>
  <c r="AO59" i="106"/>
  <c r="I68" i="106" s="1"/>
  <c r="I75" i="106" s="1"/>
  <c r="I64" i="106"/>
  <c r="I71" i="106" s="1"/>
  <c r="AI50" i="106"/>
  <c r="AI57" i="106" s="1"/>
  <c r="AI59" i="106"/>
  <c r="H68" i="106" s="1"/>
  <c r="H75" i="106" s="1"/>
  <c r="H64" i="106"/>
  <c r="H71" i="106" s="1"/>
  <c r="AI47" i="106"/>
  <c r="H66" i="106" s="1"/>
  <c r="H73" i="106" s="1"/>
  <c r="Q50" i="106"/>
  <c r="Q57" i="106" s="1"/>
  <c r="E64" i="106"/>
  <c r="E71" i="106" s="1"/>
  <c r="Q59" i="106"/>
  <c r="E68" i="106" s="1"/>
  <c r="E75" i="106" s="1"/>
  <c r="Q47" i="106"/>
  <c r="E66" i="106" s="1"/>
  <c r="E73" i="106" s="1"/>
  <c r="K50" i="106"/>
  <c r="K57" i="106" s="1"/>
  <c r="K59" i="106"/>
  <c r="D68" i="106" s="1"/>
  <c r="D75" i="106" s="1"/>
  <c r="D64" i="106"/>
  <c r="D71" i="106" s="1"/>
  <c r="K47" i="106"/>
  <c r="D66" i="106" s="1"/>
  <c r="D73" i="106" s="1"/>
  <c r="AC50" i="106"/>
  <c r="AC57" i="106" s="1"/>
  <c r="AC59" i="106"/>
  <c r="G68" i="106" s="1"/>
  <c r="G75" i="106" s="1"/>
  <c r="G64" i="106"/>
  <c r="G71" i="106" s="1"/>
  <c r="AC47" i="106"/>
  <c r="G66" i="106" s="1"/>
  <c r="G73" i="106" s="1"/>
  <c r="W50" i="106"/>
  <c r="W57" i="106" s="1"/>
  <c r="F64" i="106"/>
  <c r="F71" i="106" s="1"/>
  <c r="W59" i="106"/>
  <c r="F68" i="106" s="1"/>
  <c r="F75" i="106" s="1"/>
  <c r="W47" i="106"/>
  <c r="F66" i="106" s="1"/>
  <c r="F73" i="106" s="1"/>
  <c r="E25" i="81"/>
  <c r="B25" i="81" s="1"/>
  <c r="CK26" i="81"/>
  <c r="D87" i="81"/>
  <c r="D36" i="106"/>
  <c r="E23" i="108" l="1"/>
  <c r="E24" i="108" s="1"/>
  <c r="CD38" i="81"/>
  <c r="G38" i="81" s="1"/>
  <c r="B38" i="81" s="1"/>
  <c r="F67" i="106"/>
  <c r="F74" i="106" s="1"/>
  <c r="W42" i="106"/>
  <c r="F65" i="106" s="1"/>
  <c r="F72" i="106" s="1"/>
  <c r="D67" i="106"/>
  <c r="D74" i="106" s="1"/>
  <c r="K42" i="106"/>
  <c r="D65" i="106" s="1"/>
  <c r="D72" i="106" s="1"/>
  <c r="H67" i="106"/>
  <c r="H74" i="106" s="1"/>
  <c r="AI42" i="106"/>
  <c r="H65" i="106" s="1"/>
  <c r="H72" i="106" s="1"/>
  <c r="E81" i="81"/>
  <c r="E52" i="81" s="1"/>
  <c r="D37" i="106"/>
  <c r="CD42" i="81"/>
  <c r="G42" i="81" s="1"/>
  <c r="B42" i="81" s="1"/>
  <c r="E26" i="81"/>
  <c r="B26" i="81" s="1"/>
  <c r="CK32" i="81"/>
  <c r="E32" i="81" s="1"/>
  <c r="B32" i="81" s="1"/>
  <c r="G67" i="106"/>
  <c r="G74" i="106" s="1"/>
  <c r="AC42" i="106"/>
  <c r="G65" i="106" s="1"/>
  <c r="G72" i="106" s="1"/>
  <c r="E67" i="106"/>
  <c r="E74" i="106" s="1"/>
  <c r="Q42" i="106"/>
  <c r="E65" i="106" s="1"/>
  <c r="E72" i="106" s="1"/>
  <c r="CD40" i="81"/>
  <c r="G40" i="81" s="1"/>
  <c r="B40" i="81" s="1"/>
  <c r="AO57" i="106"/>
  <c r="E41" i="108" l="1"/>
  <c r="E32" i="108" s="1"/>
  <c r="E35" i="108"/>
  <c r="G76" i="106"/>
  <c r="F76" i="106"/>
  <c r="H76" i="106"/>
  <c r="E76" i="106"/>
  <c r="D38" i="106"/>
  <c r="E82" i="81"/>
  <c r="E53" i="81" s="1"/>
  <c r="B53" i="81" s="1"/>
  <c r="B52" i="81"/>
  <c r="I67" i="106"/>
  <c r="I74" i="106" s="1"/>
  <c r="CD41" i="81" s="1"/>
  <c r="G41" i="81" s="1"/>
  <c r="B41" i="81" s="1"/>
  <c r="AO42" i="106"/>
  <c r="I65" i="106" s="1"/>
  <c r="I72" i="106" s="1"/>
  <c r="E42" i="108" l="1"/>
  <c r="E44" i="108"/>
  <c r="I76" i="106"/>
  <c r="E83" i="81"/>
  <c r="E54" i="81" s="1"/>
  <c r="D39" i="106"/>
  <c r="CD39" i="81"/>
  <c r="G39" i="81" s="1"/>
  <c r="E27" i="108" l="1"/>
  <c r="B39" i="81"/>
  <c r="B19" i="81"/>
  <c r="D50" i="106"/>
  <c r="E84" i="81"/>
  <c r="E55" i="81" s="1"/>
  <c r="B55" i="81" s="1"/>
  <c r="D59" i="106"/>
  <c r="E104" i="81" s="1"/>
  <c r="E69" i="81" s="1"/>
  <c r="B69" i="81" s="1"/>
  <c r="B54" i="81"/>
  <c r="D56" i="106" l="1"/>
  <c r="D57" i="106" s="1"/>
  <c r="E95" i="81"/>
  <c r="E62" i="81" s="1"/>
  <c r="B62" i="81" s="1"/>
  <c r="CK33" i="81" l="1"/>
  <c r="E33" i="81" s="1"/>
  <c r="B33" i="81" s="1"/>
  <c r="E102" i="81"/>
  <c r="E68" i="81" s="1"/>
  <c r="D42" i="106"/>
  <c r="E101" i="81"/>
  <c r="E67" i="81" s="1"/>
  <c r="B67" i="81" s="1"/>
  <c r="D47" i="106"/>
  <c r="E36" i="106" l="1"/>
  <c r="CK34" i="81"/>
  <c r="E34" i="81" s="1"/>
  <c r="B34" i="81" s="1"/>
  <c r="E87" i="81"/>
  <c r="E56" i="81" s="1"/>
  <c r="B56" i="81" s="1"/>
  <c r="B68" i="81"/>
  <c r="E92" i="81"/>
  <c r="E61" i="81" s="1"/>
  <c r="B61" i="81" s="1"/>
  <c r="CK36" i="81"/>
  <c r="E36" i="81" s="1"/>
  <c r="B36" i="81" s="1"/>
  <c r="F81" i="81" l="1"/>
  <c r="E37" i="106"/>
  <c r="E38" i="106" l="1"/>
  <c r="F82" i="81"/>
  <c r="F83" i="81" l="1"/>
  <c r="E39" i="106"/>
  <c r="E50" i="106" l="1"/>
  <c r="F84" i="81"/>
  <c r="E59" i="106"/>
  <c r="F104" i="81" s="1"/>
  <c r="E56" i="106" l="1"/>
  <c r="E57" i="106" s="1"/>
  <c r="F95" i="81"/>
  <c r="F102" i="81" l="1"/>
  <c r="E42" i="106"/>
  <c r="F87" i="81" s="1"/>
  <c r="F101" i="81"/>
  <c r="E47" i="106"/>
  <c r="F92" i="81" s="1"/>
  <c r="E88" i="81"/>
  <c r="E57" i="81" s="1"/>
  <c r="F88" i="81"/>
  <c r="B17" i="81" l="1"/>
  <c r="B57" i="8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<sst xmlns="http://schemas.openxmlformats.org/spreadsheetml/2006/main" count="584" uniqueCount="246">
  <si>
    <t>© All rights reserved, 2019, Marianne Wolk &amp; Richard Horwitz</t>
  </si>
  <si>
    <t>Tax Rate</t>
  </si>
  <si>
    <t>Net Income</t>
  </si>
  <si>
    <t>Depreciation</t>
  </si>
  <si>
    <t>Balance Sheet</t>
  </si>
  <si>
    <t>Accounts Receivable</t>
  </si>
  <si>
    <t>Accounts Payable</t>
  </si>
  <si>
    <t>Debt</t>
  </si>
  <si>
    <t>Equity</t>
  </si>
  <si>
    <t>Cash</t>
  </si>
  <si>
    <t>Cash Flow Statement</t>
  </si>
  <si>
    <t>F</t>
  </si>
  <si>
    <t>A</t>
  </si>
  <si>
    <t>D</t>
  </si>
  <si>
    <t>K</t>
  </si>
  <si>
    <t>M</t>
  </si>
  <si>
    <t>T</t>
  </si>
  <si>
    <t>V</t>
  </si>
  <si>
    <t>Match</t>
  </si>
  <si>
    <t>Workbook #</t>
  </si>
  <si>
    <t>Required Homework Questions</t>
  </si>
  <si>
    <t>X</t>
  </si>
  <si>
    <t>Version</t>
  </si>
  <si>
    <t>Financial Statement Analysis (Workbook 3)</t>
  </si>
  <si>
    <t>Cash Flow Statement (Workbook 6)</t>
  </si>
  <si>
    <t>Balance Sheet (Workbook 5)</t>
  </si>
  <si>
    <t>Income Statement (Workbook 4)</t>
  </si>
  <si>
    <t>Financial Statement Analysis (Section III, Workbooks 3-6)</t>
  </si>
  <si>
    <t>Modeling &amp; Forecasting (Section IV, Workbooks 7-10)</t>
  </si>
  <si>
    <t>Developing a Model (Workbook 7)</t>
  </si>
  <si>
    <t>Strategic Forecasting (Workbook 9)</t>
  </si>
  <si>
    <t>Forecasting Disruptions (Workbook 10)</t>
  </si>
  <si>
    <t>Data Analysis (Workbook 2)</t>
  </si>
  <si>
    <t>Required Score</t>
  </si>
  <si>
    <t>Required Potential</t>
  </si>
  <si>
    <t>Challenge Score</t>
  </si>
  <si>
    <t>Challenge Potential</t>
  </si>
  <si>
    <t>SFAM ID</t>
  </si>
  <si>
    <t>B</t>
  </si>
  <si>
    <t>C</t>
  </si>
  <si>
    <t>G</t>
  </si>
  <si>
    <t>H</t>
  </si>
  <si>
    <t>I</t>
  </si>
  <si>
    <t>J</t>
  </si>
  <si>
    <t>L</t>
  </si>
  <si>
    <t>N</t>
  </si>
  <si>
    <t>O</t>
  </si>
  <si>
    <t>P</t>
  </si>
  <si>
    <t>Q</t>
  </si>
  <si>
    <t>R</t>
  </si>
  <si>
    <t>S</t>
  </si>
  <si>
    <t>U</t>
  </si>
  <si>
    <t>W</t>
  </si>
  <si>
    <t>Y</t>
  </si>
  <si>
    <t>Z</t>
  </si>
  <si>
    <t>Enter your SFAM ID (For CUNY enter your Employee Code)</t>
  </si>
  <si>
    <t>Warning:</t>
  </si>
  <si>
    <t>If you change your SFAM ID after you have begun working on the Workbook you will alter the randomization.</t>
  </si>
  <si>
    <t>Student Save Time</t>
  </si>
  <si>
    <t>Processing Time</t>
  </si>
  <si>
    <t>E</t>
  </si>
  <si>
    <t>Part I Review (Workbook 1)</t>
  </si>
  <si>
    <t>Forecasting (Workbook 8)</t>
  </si>
  <si>
    <t>Equity Valuation (Workbook 11)</t>
  </si>
  <si>
    <t>Mergers &amp; Acquisitions (Workbook 12)</t>
  </si>
  <si>
    <t>Fixed Income Valuation (Workbook 13)</t>
  </si>
  <si>
    <t>Risk Management (Workbook 14)</t>
  </si>
  <si>
    <t>Portfolio Construction (Workbook 15)</t>
  </si>
  <si>
    <t>Valuation &amp; Risk (Section V/VI, Workbooks 11-15)</t>
  </si>
  <si>
    <t>As a result your answers will be wrong.</t>
  </si>
  <si>
    <t>Financial Modeling</t>
  </si>
  <si>
    <t>Section: Modeling with Excel</t>
  </si>
  <si>
    <t>Ratio</t>
  </si>
  <si>
    <t>Gross Margin</t>
  </si>
  <si>
    <t>Driver</t>
  </si>
  <si>
    <t>Net Cash (Cash - Debt)</t>
  </si>
  <si>
    <t>R&amp;D %</t>
  </si>
  <si>
    <t>Pretax Income</t>
  </si>
  <si>
    <t>Depreciation Rate</t>
  </si>
  <si>
    <t>PP&amp;E</t>
  </si>
  <si>
    <t>Revenues</t>
  </si>
  <si>
    <t>Values</t>
  </si>
  <si>
    <t>Capital Expenditures</t>
  </si>
  <si>
    <t>Income Statement</t>
  </si>
  <si>
    <t>SG&amp;A % Including Depreciation</t>
  </si>
  <si>
    <t>Leverage</t>
  </si>
  <si>
    <t>Develop a Model</t>
  </si>
  <si>
    <t>Interest Rate</t>
  </si>
  <si>
    <t>If any cell turns red you have an error in your model.</t>
  </si>
  <si>
    <t>The model should include:</t>
  </si>
  <si>
    <t>Write formulas in the yellow cells that link to your model rather than entering values below (if you enter values they will be marked as wrong).</t>
  </si>
  <si>
    <t>Develop a model of the company's financials on the MODEL Sheets:</t>
  </si>
  <si>
    <t>MODEL Income Statement</t>
  </si>
  <si>
    <t>MODEL Balance Sheet</t>
  </si>
  <si>
    <t>MODEL Cash Flow Statement</t>
  </si>
  <si>
    <t>Develop the Income Statement on this sheet.</t>
  </si>
  <si>
    <t>Develop the Balance Sheet on this sheet.</t>
  </si>
  <si>
    <t>Develop the Cash Flow Statement on this sheet.</t>
  </si>
  <si>
    <t>Assume:</t>
  </si>
  <si>
    <t>EBIT</t>
  </si>
  <si>
    <t>Tax</t>
  </si>
  <si>
    <t>New Income</t>
  </si>
  <si>
    <t>Pretax</t>
  </si>
  <si>
    <t>CAPEX</t>
  </si>
  <si>
    <t>Net Inc</t>
  </si>
  <si>
    <t>cash</t>
  </si>
  <si>
    <t>debt</t>
  </si>
  <si>
    <t>equity</t>
  </si>
  <si>
    <t>Chg CASH</t>
  </si>
  <si>
    <t>In this Workbook (on the next three sheets) you will construct a basic company financial model, including:</t>
  </si>
  <si>
    <t>Revenues Growth Rate</t>
  </si>
  <si>
    <t xml:space="preserve"> </t>
  </si>
  <si>
    <t>Net Interest Income</t>
  </si>
  <si>
    <t>Star</t>
  </si>
  <si>
    <t>Baseline</t>
  </si>
  <si>
    <t>Cash Cow</t>
  </si>
  <si>
    <t>ROE</t>
  </si>
  <si>
    <t>Dog</t>
  </si>
  <si>
    <t>h</t>
  </si>
  <si>
    <t>i</t>
  </si>
  <si>
    <t>j</t>
  </si>
  <si>
    <t>k</t>
  </si>
  <si>
    <t>l</t>
  </si>
  <si>
    <t>Dividends</t>
  </si>
  <si>
    <t>Cash Cow With Dividends</t>
  </si>
  <si>
    <t>Cash Generated</t>
  </si>
  <si>
    <t>Your model should link (by formulas) to the above data rather than copying them into another sheet.</t>
  </si>
  <si>
    <t>The growth share matrix below was created by Boston Consulting Group (BCG)'s founder Bruce Henderson in 1968.</t>
  </si>
  <si>
    <t xml:space="preserve">According to the firm, it was once used by half of the Fortune 500. </t>
  </si>
  <si>
    <t>Variants include matrices that evaluate Growth versus Size (a comparable measure to Market Share) or Growth versus Profitability.</t>
  </si>
  <si>
    <t>You are now going to use the Company Financial Model you developed to analyze a variety of strategic scenarios.</t>
  </si>
  <si>
    <t>The data you used in developing the model is the "Baseline" against which strategic alternatives will be compared.</t>
  </si>
  <si>
    <t>The Boston Consulting Group Growth Share Matrix will be used to construct three scenarios.</t>
  </si>
  <si>
    <t>Calculate the Return on Equity in each year as the Net Income in that year divided by the Equity at the end of the year.</t>
  </si>
  <si>
    <t>Apply the model you have developed to calculate the following metrics for each scenario.</t>
  </si>
  <si>
    <t>Cash Cow with Dividends</t>
  </si>
  <si>
    <t>In this scenario the company distributes all of the Net Income earned as dividends.</t>
  </si>
  <si>
    <t>You must add dividends to your model.</t>
  </si>
  <si>
    <t>The dividends represents an outflow of Cash that reduces Equity by an equivalent amount.</t>
  </si>
  <si>
    <t>Cash cows are mature companies with slow to negative growth.</t>
  </si>
  <si>
    <t>Companies generally reduce their spending on R&amp;D, SG&amp;A and Capital Expenditures during this phase of the life cycle.</t>
  </si>
  <si>
    <t>They are generally in low growth industries</t>
  </si>
  <si>
    <t>Levered companies use Debt in their capital structure to reduce the amount of Equity required.</t>
  </si>
  <si>
    <t>Analyze Using Model</t>
  </si>
  <si>
    <t>Which scenario resulted the most Cash Generated?</t>
  </si>
  <si>
    <t>Which scenario resulted in the lowest Net Income?</t>
  </si>
  <si>
    <t xml:space="preserve">Hint: If you do not Past Values the results will change when you analyze the next scenario and they will be marked as incorrect. </t>
  </si>
  <si>
    <t>That is because a successful mature company generally generates a lot of cash and has few opportunities to redeploy it.</t>
  </si>
  <si>
    <t>While a Cash Cow has limited reinvestment opportunities, they often generate attractive returns.</t>
  </si>
  <si>
    <t>Any errors will result in the cell turning red. If you do not 'Paste Values' the Conditional Formatting that turn the cells red will be lost.</t>
  </si>
  <si>
    <t xml:space="preserve">Stars often require high R&amp;D and SG&amp;A expenses to support the growth. </t>
  </si>
  <si>
    <t>Stars are early stage companies in a high growth environment.</t>
  </si>
  <si>
    <t>Companies generally must make significant Capital Expenditures to support the rapid growth.</t>
  </si>
  <si>
    <t>Which scenario resulted in the highest ROE?</t>
  </si>
  <si>
    <t>A dog by definition is a company which has low market share and therefore is competitively disadvantaged.</t>
  </si>
  <si>
    <t>You will have to create the logical plumbing (formulas) such that when the below changes the logic will work.</t>
  </si>
  <si>
    <t>Distributing the significant Cash Generated through dividends, permit the Cash to ultimately be deployed to an attractive alternative use.</t>
  </si>
  <si>
    <t>Dogs are companies that have relatively small market shares and therefore unfavorable competitive costs and small profits.</t>
  </si>
  <si>
    <t xml:space="preserve">Stars generally enjoy high market shares with commensurately favorable Gross Margins. </t>
  </si>
  <si>
    <t>In general, the surviving companies have high market shares with commensurately favorable Gross Margins.</t>
  </si>
  <si>
    <t>The leverage increases the risk as the company is committed to paying interest and returning the Debt at maturity.</t>
  </si>
  <si>
    <t>Blanks</t>
  </si>
  <si>
    <t>Pretax Profit</t>
  </si>
  <si>
    <t>Net Profit</t>
  </si>
  <si>
    <t>Change NTWC</t>
  </si>
  <si>
    <t>Change in Cash</t>
  </si>
  <si>
    <t>Return on Equity (ROE)</t>
  </si>
  <si>
    <t>Model Template</t>
  </si>
  <si>
    <t>n</t>
  </si>
  <si>
    <t>Write formulas that will perform the required calculations.</t>
  </si>
  <si>
    <t xml:space="preserve">If your formula is incorrect the cell will turn red. </t>
  </si>
  <si>
    <t>Actual</t>
  </si>
  <si>
    <t>Forecast</t>
  </si>
  <si>
    <t>You can use either the model you developed from scratch or the template.</t>
  </si>
  <si>
    <t>Chg AR</t>
  </si>
  <si>
    <t>Chg AP</t>
  </si>
  <si>
    <t>Remember that information from each statement flows to each of the other statements so that no statement can be complete until the other statements are complete.</t>
  </si>
  <si>
    <t>Net Profit from the Income Statement flows to both the Balance Sheet and the Cash Flow Statement</t>
  </si>
  <si>
    <t>Cash on the Balance Sheet flows to Net Interest Income on the Income Statement</t>
  </si>
  <si>
    <t>Net Trade Working Capital (Accounts Receivable and Payable) flows to Changes NTWC on the Cash Flow Statement</t>
  </si>
  <si>
    <t>Change in Cash on the Cash Flow Statement flows to Cash on the Balance Sheet</t>
  </si>
  <si>
    <t>All entries on the Cash Flow Statement are expressed as the Change in Cash</t>
  </si>
  <si>
    <t>Those entries that increase Cash are positive (e.g., Net Profit, Depreciation)</t>
  </si>
  <si>
    <t>This will really test your understanding of how they work together.</t>
  </si>
  <si>
    <t>Those entries that decrease Cash are negative (e.g., Increases in NTWC, Capital Expenditures, Dividends)</t>
  </si>
  <si>
    <r>
      <t xml:space="preserve">To avoid </t>
    </r>
    <r>
      <rPr>
        <b/>
        <sz val="10"/>
        <color theme="1"/>
        <rFont val="Calibri"/>
        <family val="2"/>
      </rPr>
      <t>Circular Logic</t>
    </r>
    <r>
      <rPr>
        <sz val="10"/>
        <color theme="1"/>
        <rFont val="Calibri"/>
        <family val="2"/>
      </rPr>
      <t>, Income Statement and Cash Flow Statement values should be based on Balance Sheet values at the end of the previous year.</t>
    </r>
  </si>
  <si>
    <t>Decr(Incr) in Accounts Receivable</t>
  </si>
  <si>
    <t>Incr(Decr) in Accounts Payable</t>
  </si>
  <si>
    <t>R&amp;D</t>
  </si>
  <si>
    <t>SG&amp;A</t>
  </si>
  <si>
    <t>Gross Profit / Revenues</t>
  </si>
  <si>
    <t>Research &amp; Development (R&amp;D) / Revenues</t>
  </si>
  <si>
    <t>Taxes / Pretax Profit</t>
  </si>
  <si>
    <t>Property, Plant &amp; Equipment</t>
  </si>
  <si>
    <t>Definition</t>
  </si>
  <si>
    <t>CapEx</t>
  </si>
  <si>
    <t>Depreciation / PP&amp;E</t>
  </si>
  <si>
    <t>Net Interest (Interest Earned - Interest Paid) / Net Cash (Cash - Debt)</t>
  </si>
  <si>
    <t>Template</t>
  </si>
  <si>
    <t>No Template</t>
  </si>
  <si>
    <t>CapEx %</t>
  </si>
  <si>
    <t>The 'Driver' in Column D is the metric you should apply to the 'Ratio' in Column B.</t>
  </si>
  <si>
    <t>If you have been unable to develop the financial statements on your own, below is a template that will guide you in doing so.</t>
  </si>
  <si>
    <t>Using the template the Revenues in 2022 are $200 (instead of $100 without the template).</t>
  </si>
  <si>
    <t>this is a complicated one</t>
  </si>
  <si>
    <t>The data and answers will be different if you use the template so please do not try to combine the approaches.</t>
  </si>
  <si>
    <t>If you decide to use the 'MODEL Template' the following will be removed.</t>
  </si>
  <si>
    <t>Gross Profit</t>
  </si>
  <si>
    <t>Selling, General &amp; Adminstrative (SG&amp;A) / Revenues</t>
  </si>
  <si>
    <t>Growing based on Revenues Growth Rate</t>
  </si>
  <si>
    <t>Revenenues multiplied by Gross Margin</t>
  </si>
  <si>
    <t>Research &amp; Development - - R&amp;D% multiplied by Revenues</t>
  </si>
  <si>
    <t>Seling, General &amp; Administrative - - SG&amp;A% multiplied by Revenues</t>
  </si>
  <si>
    <t>Earnings Before Interest &amp; Taxes - - Gross Profit minus R&amp;D minus SG&amp;A</t>
  </si>
  <si>
    <t>EBIT minus Net Interest Income</t>
  </si>
  <si>
    <t>Pretax Profit multiplied by Tax Rate</t>
  </si>
  <si>
    <t>Pretax Profit minus Taxes</t>
  </si>
  <si>
    <t>Taxes</t>
  </si>
  <si>
    <t>Current year Net Profit divided by prior year Equity</t>
  </si>
  <si>
    <t>Cost of Revenues</t>
  </si>
  <si>
    <t>Net Cash (Cash - Debt) prior year multiplied by Interest Rate</t>
  </si>
  <si>
    <t>Capital Expenditure - - Revenues multiplied by CapEx% - - this should be a negative value or zero</t>
  </si>
  <si>
    <t>Payout Ratio</t>
  </si>
  <si>
    <t>When developing the model utilize the "Baseline' scenario.</t>
  </si>
  <si>
    <t>Net Profit multiplied by Payout Ratio - - this should be a negative value or zero</t>
  </si>
  <si>
    <t>Revenues minus Gross Profit</t>
  </si>
  <si>
    <t>From Income Statement</t>
  </si>
  <si>
    <t>Prior Year Accounts Receivable minus Current Year Accounts Receivable</t>
  </si>
  <si>
    <t>Currnet Year Accounts Payable minus Prior Year Accounts Payable</t>
  </si>
  <si>
    <t>Prior Year PP&amp;E multiplied by Depreciation Rate</t>
  </si>
  <si>
    <t>Prior Year Equity plus Current Yer Net Profit minus Current Year Dividends</t>
  </si>
  <si>
    <t>Cash Cow w/ Dividends</t>
  </si>
  <si>
    <t>You can assume that:</t>
  </si>
  <si>
    <t>Accounts Receivable Turns remain constant (based on prior year balance sheet divided by current year Revenues).</t>
  </si>
  <si>
    <t>Accounts Payable Turns remain constant (based on prior year balance sheet divided by current year Cost of Revenues).</t>
  </si>
  <si>
    <t>Grow based on Revenues (constant Receivable Turns)</t>
  </si>
  <si>
    <t>Grow based on Cost of Revenues (constant Payables Turns)</t>
  </si>
  <si>
    <t>Enter here</t>
  </si>
  <si>
    <t>© All rights reserved, 2022, Richard Horwitz &amp; Mustapha Camara</t>
  </si>
  <si>
    <t>Workbook 4: Company Financial Model</t>
  </si>
  <si>
    <t>You need to develop the model logic by populating the template on the 'Model Template" Sheet.</t>
  </si>
  <si>
    <t>However, if you want to really streatch yourself, you can structure the model on the blank sheets provided:</t>
  </si>
  <si>
    <t>MODEL Cash Flow</t>
  </si>
  <si>
    <t>You will earn extra credit for having created the model without a template, so we encourage you to try.</t>
  </si>
  <si>
    <t>If you want to try to develop the model structure on your own change the selection below from 'Template' to 'No Template'.</t>
  </si>
  <si>
    <t>Sum of all of the above items (do not double count Change NTWC)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</si>
</sst>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[$-409]dd\-mmm\-yy;@"/>
    <numFmt numFmtId="167" formatCode="_(&quot;$&quot;* #,##0_);_(&quot;$&quot;* \(#,##0\);_(&quot;$&quot;* &quot;-&quot;??_);_(@_)"/>
    <numFmt numFmtId="168" formatCode="_(&quot;$&quot;* #,##0.0_);_(&quot;$&quot;* \(#,##0.0\);_(&quot;$&quot;* &quot;-&quot;?_);_(@_)"/>
    <numFmt numFmtId="169" formatCode="&quot;$&quot;#,##0.0"/>
    <numFmt numFmtId="170" formatCode="&quot;$&quot;#,##0"/>
    <numFmt numFmtId="171" formatCode="_(&quot;$&quot;* #,##0.0_);_(&quot;$&quot;* \(#,##0.0\);_(&quot;$&quot;* &quot;-&quot;??_);_(@_)"/>
    <numFmt numFmtId="172" formatCode="_(* #,##0.00000000000_);_(* \(#,##0.00000000000\);_(* &quot;-&quot;??_);_(@_)"/>
  </numFmts>
  <fonts count="56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 (Body)_x0000_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8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0"/>
      <color rgb="FFFF0000"/>
      <name val="Calibri"/>
      <family val="2"/>
    </font>
    <font>
      <sz val="12"/>
      <color indexed="8"/>
      <name val="Calibri"/>
      <family val="2"/>
    </font>
    <font>
      <u/>
      <sz val="12"/>
      <color indexed="30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sz val="10"/>
      <color rgb="FF222222"/>
      <name val="Calibri"/>
      <family val="2"/>
    </font>
    <font>
      <sz val="12"/>
      <color theme="1"/>
      <name val="Calibri"/>
      <family val="2"/>
    </font>
    <font>
      <sz val="10"/>
      <color theme="0"/>
      <name val="Calibri"/>
      <family val="2"/>
    </font>
    <font>
      <sz val="11"/>
      <color rgb="FF006100"/>
      <name val="Calibri"/>
      <family val="2"/>
      <scheme val="minor"/>
    </font>
    <font>
      <sz val="12"/>
      <color rgb="FFFF0000"/>
      <name val="Calibri"/>
      <family val="2"/>
    </font>
    <font>
      <sz val="10"/>
      <color rgb="FFFF0000"/>
      <name val="Calibri (Body)_x0000_"/>
    </font>
    <font>
      <sz val="10"/>
      <color theme="1"/>
      <name val="Arial"/>
      <family val="2"/>
    </font>
    <font>
      <b/>
      <sz val="10"/>
      <color rgb="FFFF0000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sz val="10"/>
      <color theme="1"/>
      <name val="Calibri (Body)"/>
    </font>
    <font>
      <sz val="8"/>
      <color theme="1"/>
      <name val="Calibri (Body)"/>
    </font>
    <font>
      <sz val="10"/>
      <color rgb="FF000000"/>
      <name val="Calibri"/>
      <family val="2"/>
      <scheme val="minor"/>
    </font>
    <font>
      <b/>
      <sz val="10"/>
      <color theme="0"/>
      <name val="Calibri (Body)"/>
    </font>
    <font>
      <b/>
      <sz val="10"/>
      <color theme="0"/>
      <name val="Calibri"/>
      <family val="2"/>
      <scheme val="minor"/>
    </font>
    <font>
      <sz val="10"/>
      <color theme="0" tint="-4.9989318521683403E-2"/>
      <name val="Calibri"/>
      <family val="2"/>
    </font>
    <font>
      <sz val="10"/>
      <color theme="0" tint="-4.9989318521683403E-2"/>
      <name val="Calibri (Body)_x0000_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FD7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FC6B"/>
        <bgColor rgb="FF000000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5">
    <xf numFmtId="0" fontId="0" fillId="0" borderId="0"/>
    <xf numFmtId="0" fontId="23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44" fontId="24" fillId="0" borderId="0" applyFont="0" applyFill="0" applyBorder="0" applyAlignment="0" applyProtection="0"/>
    <xf numFmtId="0" fontId="37" fillId="0" borderId="0"/>
    <xf numFmtId="0" fontId="23" fillId="0" borderId="0"/>
    <xf numFmtId="0" fontId="20" fillId="0" borderId="0"/>
    <xf numFmtId="43" fontId="23" fillId="0" borderId="0" applyFont="0" applyFill="0" applyBorder="0" applyAlignment="0" applyProtection="0"/>
    <xf numFmtId="0" fontId="19" fillId="0" borderId="0"/>
    <xf numFmtId="43" fontId="20" fillId="0" borderId="0" applyFont="0" applyFill="0" applyBorder="0" applyAlignment="0" applyProtection="0"/>
    <xf numFmtId="0" fontId="20" fillId="0" borderId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17" fillId="0" borderId="0"/>
    <xf numFmtId="0" fontId="28" fillId="0" borderId="0" applyNumberFormat="0" applyFill="0" applyBorder="0" applyAlignment="0" applyProtection="0"/>
    <xf numFmtId="0" fontId="16" fillId="0" borderId="0"/>
    <xf numFmtId="0" fontId="15" fillId="0" borderId="0"/>
    <xf numFmtId="43" fontId="35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42" fillId="4" borderId="0" applyNumberFormat="0" applyBorder="0" applyAlignment="0" applyProtection="0"/>
  </cellStyleXfs>
  <cellXfs count="201">
    <xf numFmtId="0" fontId="0" fillId="0" borderId="0" xfId="0"/>
    <xf numFmtId="166" fontId="29" fillId="7" borderId="1" xfId="0" applyNumberFormat="1" applyFont="1" applyFill="1" applyBorder="1" applyProtection="1">
      <protection locked="0"/>
    </xf>
    <xf numFmtId="0" fontId="20" fillId="0" borderId="0" xfId="0" applyFont="1" applyProtection="1">
      <protection hidden="1"/>
    </xf>
    <xf numFmtId="0" fontId="19" fillId="0" borderId="0" xfId="11"/>
    <xf numFmtId="0" fontId="30" fillId="0" borderId="0" xfId="0" applyFont="1"/>
    <xf numFmtId="0" fontId="30" fillId="0" borderId="0" xfId="9" applyFont="1"/>
    <xf numFmtId="0" fontId="33" fillId="0" borderId="0" xfId="16" applyFont="1" applyProtection="1">
      <protection hidden="1"/>
    </xf>
    <xf numFmtId="0" fontId="20" fillId="0" borderId="0" xfId="0" applyFont="1"/>
    <xf numFmtId="0" fontId="32" fillId="0" borderId="0" xfId="0" applyFont="1"/>
    <xf numFmtId="0" fontId="25" fillId="0" borderId="0" xfId="0" applyFont="1"/>
    <xf numFmtId="0" fontId="18" fillId="0" borderId="0" xfId="0" applyFont="1"/>
    <xf numFmtId="0" fontId="34" fillId="0" borderId="0" xfId="0" applyFont="1" applyAlignment="1">
      <alignment horizontal="left" indent="4"/>
    </xf>
    <xf numFmtId="0" fontId="38" fillId="0" borderId="0" xfId="0" applyFont="1"/>
    <xf numFmtId="0" fontId="34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 applyProtection="1">
      <protection hidden="1"/>
    </xf>
    <xf numFmtId="0" fontId="43" fillId="0" borderId="0" xfId="0" applyFont="1"/>
    <xf numFmtId="0" fontId="34" fillId="0" borderId="0" xfId="11" applyFont="1"/>
    <xf numFmtId="0" fontId="44" fillId="0" borderId="0" xfId="0" applyFont="1" applyProtection="1">
      <protection hidden="1"/>
    </xf>
    <xf numFmtId="0" fontId="44" fillId="0" borderId="0" xfId="11" applyFont="1" applyProtection="1">
      <protection hidden="1"/>
    </xf>
    <xf numFmtId="0" fontId="34" fillId="0" borderId="0" xfId="0" applyFont="1" applyProtection="1">
      <protection hidden="1"/>
    </xf>
    <xf numFmtId="0" fontId="43" fillId="0" borderId="0" xfId="0" applyFont="1" applyProtection="1">
      <protection hidden="1"/>
    </xf>
    <xf numFmtId="0" fontId="14" fillId="0" borderId="0" xfId="9" applyFont="1"/>
    <xf numFmtId="43" fontId="20" fillId="0" borderId="0" xfId="2" applyFont="1"/>
    <xf numFmtId="0" fontId="20" fillId="0" borderId="0" xfId="16" applyFont="1"/>
    <xf numFmtId="0" fontId="20" fillId="0" borderId="0" xfId="9"/>
    <xf numFmtId="0" fontId="14" fillId="0" borderId="0" xfId="13" applyFont="1"/>
    <xf numFmtId="0" fontId="45" fillId="0" borderId="0" xfId="7" applyFont="1"/>
    <xf numFmtId="0" fontId="45" fillId="0" borderId="0" xfId="7" applyFont="1" applyAlignment="1">
      <alignment horizontal="center"/>
    </xf>
    <xf numFmtId="0" fontId="14" fillId="0" borderId="0" xfId="0" applyFont="1"/>
    <xf numFmtId="0" fontId="26" fillId="0" borderId="0" xfId="0" applyFont="1" applyProtection="1"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4" fillId="0" borderId="0" xfId="0" applyFont="1" applyAlignment="1" applyProtection="1">
      <alignment horizontal="left"/>
      <protection hidden="1"/>
    </xf>
    <xf numFmtId="0" fontId="14" fillId="0" borderId="0" xfId="4" applyFont="1" applyAlignment="1" applyProtection="1">
      <alignment horizontal="left"/>
      <protection hidden="1"/>
    </xf>
    <xf numFmtId="0" fontId="14" fillId="0" borderId="0" xfId="4" applyFont="1" applyProtection="1">
      <protection hidden="1"/>
    </xf>
    <xf numFmtId="167" fontId="26" fillId="0" borderId="0" xfId="6" applyNumberFormat="1" applyFont="1" applyFill="1" applyBorder="1" applyProtection="1">
      <protection hidden="1"/>
    </xf>
    <xf numFmtId="9" fontId="26" fillId="0" borderId="0" xfId="3" applyFont="1" applyFill="1" applyBorder="1" applyProtection="1">
      <protection hidden="1"/>
    </xf>
    <xf numFmtId="0" fontId="20" fillId="0" borderId="0" xfId="9" applyAlignment="1">
      <alignment horizontal="center"/>
    </xf>
    <xf numFmtId="0" fontId="14" fillId="0" borderId="0" xfId="11" applyFont="1"/>
    <xf numFmtId="49" fontId="45" fillId="0" borderId="0" xfId="6" applyNumberFormat="1" applyFont="1" applyFill="1" applyBorder="1"/>
    <xf numFmtId="14" fontId="14" fillId="0" borderId="0" xfId="9" applyNumberFormat="1" applyFont="1"/>
    <xf numFmtId="14" fontId="14" fillId="0" borderId="0" xfId="0" applyNumberFormat="1" applyFont="1"/>
    <xf numFmtId="43" fontId="14" fillId="0" borderId="0" xfId="12" applyFont="1" applyFill="1"/>
    <xf numFmtId="165" fontId="14" fillId="0" borderId="0" xfId="12" applyNumberFormat="1" applyFont="1" applyFill="1"/>
    <xf numFmtId="44" fontId="20" fillId="0" borderId="0" xfId="9" applyNumberFormat="1" applyAlignment="1">
      <alignment horizontal="center"/>
    </xf>
    <xf numFmtId="9" fontId="20" fillId="0" borderId="0" xfId="9" applyNumberFormat="1" applyAlignment="1">
      <alignment horizontal="center"/>
    </xf>
    <xf numFmtId="0" fontId="37" fillId="0" borderId="0" xfId="7"/>
    <xf numFmtId="0" fontId="37" fillId="0" borderId="0" xfId="7" applyAlignment="1">
      <alignment horizontal="center"/>
    </xf>
    <xf numFmtId="43" fontId="20" fillId="0" borderId="0" xfId="12" applyFont="1"/>
    <xf numFmtId="0" fontId="13" fillId="0" borderId="0" xfId="13" applyFont="1"/>
    <xf numFmtId="0" fontId="13" fillId="0" borderId="0" xfId="9" applyFont="1"/>
    <xf numFmtId="49" fontId="14" fillId="0" borderId="0" xfId="9" applyNumberFormat="1" applyFont="1"/>
    <xf numFmtId="0" fontId="14" fillId="0" borderId="0" xfId="12" applyNumberFormat="1" applyFont="1" applyFill="1" applyBorder="1"/>
    <xf numFmtId="0" fontId="27" fillId="0" borderId="0" xfId="7" applyFont="1"/>
    <xf numFmtId="0" fontId="21" fillId="0" borderId="0" xfId="9" applyFont="1"/>
    <xf numFmtId="0" fontId="12" fillId="0" borderId="0" xfId="13" applyFont="1"/>
    <xf numFmtId="49" fontId="12" fillId="0" borderId="0" xfId="13" applyNumberFormat="1" applyFont="1" applyAlignment="1">
      <alignment horizontal="right"/>
    </xf>
    <xf numFmtId="0" fontId="12" fillId="0" borderId="0" xfId="13" applyFont="1" applyAlignment="1">
      <alignment horizontal="right"/>
    </xf>
    <xf numFmtId="0" fontId="11" fillId="0" borderId="0" xfId="11" applyFont="1"/>
    <xf numFmtId="0" fontId="11" fillId="0" borderId="0" xfId="0" applyFont="1"/>
    <xf numFmtId="0" fontId="10" fillId="0" borderId="0" xfId="16" applyFont="1"/>
    <xf numFmtId="0" fontId="10" fillId="0" borderId="0" xfId="0" applyFont="1"/>
    <xf numFmtId="167" fontId="20" fillId="0" borderId="0" xfId="6" applyNumberFormat="1" applyFont="1" applyFill="1" applyBorder="1" applyProtection="1">
      <protection hidden="1"/>
    </xf>
    <xf numFmtId="0" fontId="9" fillId="0" borderId="0" xfId="9" applyFont="1"/>
    <xf numFmtId="167" fontId="20" fillId="0" borderId="0" xfId="6" applyNumberFormat="1" applyFont="1" applyFill="1" applyProtection="1"/>
    <xf numFmtId="165" fontId="20" fillId="0" borderId="0" xfId="2" applyNumberFormat="1" applyFont="1" applyFill="1" applyBorder="1" applyProtection="1"/>
    <xf numFmtId="49" fontId="8" fillId="0" borderId="0" xfId="13" applyNumberFormat="1" applyFont="1" applyAlignment="1">
      <alignment horizontal="right"/>
    </xf>
    <xf numFmtId="0" fontId="7" fillId="0" borderId="0" xfId="0" applyFont="1"/>
    <xf numFmtId="167" fontId="0" fillId="0" borderId="0" xfId="6" applyNumberFormat="1" applyFont="1" applyFill="1" applyBorder="1"/>
    <xf numFmtId="0" fontId="6" fillId="0" borderId="0" xfId="9" applyFont="1"/>
    <xf numFmtId="0" fontId="6" fillId="0" borderId="0" xfId="13" applyFont="1"/>
    <xf numFmtId="0" fontId="6" fillId="0" borderId="0" xfId="0" applyFont="1"/>
    <xf numFmtId="0" fontId="6" fillId="0" borderId="0" xfId="0" applyFont="1" applyAlignment="1">
      <alignment horizontal="left" indent="2"/>
    </xf>
    <xf numFmtId="0" fontId="38" fillId="5" borderId="0" xfId="0" applyFont="1" applyFill="1" applyAlignment="1">
      <alignment horizontal="left"/>
    </xf>
    <xf numFmtId="0" fontId="6" fillId="5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indent="4"/>
    </xf>
    <xf numFmtId="0" fontId="47" fillId="0" borderId="0" xfId="0" applyFont="1"/>
    <xf numFmtId="0" fontId="31" fillId="0" borderId="0" xfId="0" applyFont="1" applyProtection="1">
      <protection hidden="1"/>
    </xf>
    <xf numFmtId="0" fontId="4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/>
    <xf numFmtId="0" fontId="1" fillId="0" borderId="0" xfId="0" applyFont="1" applyProtection="1">
      <protection hidden="1"/>
    </xf>
    <xf numFmtId="0" fontId="1" fillId="0" borderId="0" xfId="9" applyFont="1"/>
    <xf numFmtId="168" fontId="20" fillId="0" borderId="0" xfId="9" applyNumberFormat="1"/>
    <xf numFmtId="167" fontId="20" fillId="0" borderId="0" xfId="9" applyNumberFormat="1"/>
    <xf numFmtId="44" fontId="20" fillId="0" borderId="0" xfId="9" applyNumberFormat="1"/>
    <xf numFmtId="0" fontId="1" fillId="0" borderId="0" xfId="13" applyFont="1"/>
    <xf numFmtId="0" fontId="22" fillId="0" borderId="0" xfId="0" applyFont="1"/>
    <xf numFmtId="0" fontId="38" fillId="0" borderId="0" xfId="0" applyFont="1" applyProtection="1">
      <protection locked="0"/>
    </xf>
    <xf numFmtId="0" fontId="2" fillId="0" borderId="0" xfId="0" applyFont="1"/>
    <xf numFmtId="167" fontId="38" fillId="0" borderId="0" xfId="6" applyNumberFormat="1" applyFont="1" applyFill="1" applyBorder="1"/>
    <xf numFmtId="0" fontId="21" fillId="0" borderId="0" xfId="0" applyFont="1"/>
    <xf numFmtId="0" fontId="1" fillId="0" borderId="0" xfId="11" applyFont="1"/>
    <xf numFmtId="164" fontId="20" fillId="0" borderId="0" xfId="3" applyNumberFormat="1" applyFont="1"/>
    <xf numFmtId="0" fontId="49" fillId="0" borderId="0" xfId="0" applyFont="1"/>
    <xf numFmtId="0" fontId="49" fillId="0" borderId="0" xfId="0" applyFont="1" applyProtection="1">
      <protection hidden="1"/>
    </xf>
    <xf numFmtId="164" fontId="49" fillId="0" borderId="0" xfId="3" applyNumberFormat="1" applyFont="1" applyFill="1" applyProtection="1">
      <protection hidden="1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49" fillId="0" borderId="0" xfId="0" applyFont="1" applyAlignment="1" applyProtection="1">
      <alignment horizontal="center"/>
      <protection hidden="1"/>
    </xf>
    <xf numFmtId="164" fontId="49" fillId="0" borderId="0" xfId="3" applyNumberFormat="1" applyFont="1" applyFill="1" applyAlignment="1" applyProtection="1">
      <alignment horizontal="center"/>
      <protection hidden="1"/>
    </xf>
    <xf numFmtId="0" fontId="20" fillId="0" borderId="0" xfId="0" applyFont="1" applyAlignment="1">
      <alignment horizontal="left" indent="2"/>
    </xf>
    <xf numFmtId="0" fontId="1" fillId="0" borderId="0" xfId="11" applyFont="1" applyAlignment="1">
      <alignment horizontal="left" indent="2"/>
    </xf>
    <xf numFmtId="0" fontId="21" fillId="0" borderId="0" xfId="0" applyFont="1" applyAlignment="1">
      <alignment horizontal="center"/>
    </xf>
    <xf numFmtId="167" fontId="38" fillId="0" borderId="0" xfId="6" applyNumberFormat="1" applyFont="1" applyFill="1" applyBorder="1" applyAlignment="1">
      <alignment horizontal="center"/>
    </xf>
    <xf numFmtId="0" fontId="38" fillId="0" borderId="0" xfId="0" applyFont="1" applyAlignment="1" applyProtection="1">
      <alignment horizontal="center"/>
      <protection locked="0"/>
    </xf>
    <xf numFmtId="0" fontId="22" fillId="0" borderId="0" xfId="0" applyFont="1" applyAlignment="1">
      <alignment horizontal="left" indent="2"/>
    </xf>
    <xf numFmtId="0" fontId="51" fillId="0" borderId="0" xfId="0" applyFont="1"/>
    <xf numFmtId="0" fontId="2" fillId="0" borderId="0" xfId="0" applyFont="1" applyAlignment="1">
      <alignment horizontal="left" indent="2"/>
    </xf>
    <xf numFmtId="0" fontId="20" fillId="0" borderId="0" xfId="0" quotePrefix="1" applyFont="1" applyAlignment="1">
      <alignment horizontal="left" indent="2"/>
    </xf>
    <xf numFmtId="44" fontId="14" fillId="0" borderId="0" xfId="13" applyNumberFormat="1" applyFont="1"/>
    <xf numFmtId="0" fontId="40" fillId="0" borderId="0" xfId="0" applyFont="1" applyProtection="1">
      <protection hidden="1"/>
    </xf>
    <xf numFmtId="44" fontId="38" fillId="0" borderId="0" xfId="6" applyFont="1" applyFill="1" applyBorder="1"/>
    <xf numFmtId="43" fontId="20" fillId="6" borderId="0" xfId="2" applyFont="1" applyFill="1"/>
    <xf numFmtId="43" fontId="20" fillId="0" borderId="0" xfId="2" applyFont="1" applyFill="1"/>
    <xf numFmtId="44" fontId="20" fillId="5" borderId="1" xfId="0" applyNumberFormat="1" applyFont="1" applyFill="1" applyBorder="1" applyProtection="1">
      <protection locked="0"/>
    </xf>
    <xf numFmtId="164" fontId="20" fillId="0" borderId="0" xfId="3" applyNumberFormat="1" applyFont="1" applyFill="1"/>
    <xf numFmtId="0" fontId="52" fillId="0" borderId="0" xfId="0" applyFont="1"/>
    <xf numFmtId="164" fontId="20" fillId="0" borderId="0" xfId="0" applyNumberFormat="1" applyFont="1"/>
    <xf numFmtId="169" fontId="1" fillId="0" borderId="0" xfId="6" applyNumberFormat="1" applyFont="1" applyFill="1" applyBorder="1"/>
    <xf numFmtId="170" fontId="1" fillId="0" borderId="0" xfId="6" applyNumberFormat="1" applyFont="1" applyFill="1" applyBorder="1"/>
    <xf numFmtId="0" fontId="1" fillId="0" borderId="0" xfId="19" applyFont="1"/>
    <xf numFmtId="165" fontId="53" fillId="0" borderId="0" xfId="2" applyNumberFormat="1" applyFont="1" applyFill="1" applyBorder="1"/>
    <xf numFmtId="0" fontId="41" fillId="0" borderId="0" xfId="0" applyFont="1"/>
    <xf numFmtId="164" fontId="20" fillId="3" borderId="0" xfId="3" applyNumberFormat="1" applyFont="1" applyFill="1"/>
    <xf numFmtId="169" fontId="1" fillId="3" borderId="0" xfId="6" applyNumberFormat="1" applyFont="1" applyFill="1" applyBorder="1"/>
    <xf numFmtId="43" fontId="0" fillId="0" borderId="0" xfId="0" applyNumberFormat="1"/>
    <xf numFmtId="0" fontId="27" fillId="0" borderId="0" xfId="0" applyFont="1"/>
    <xf numFmtId="170" fontId="0" fillId="0" borderId="0" xfId="0" applyNumberFormat="1"/>
    <xf numFmtId="9" fontId="0" fillId="0" borderId="0" xfId="3" applyFont="1"/>
    <xf numFmtId="0" fontId="1" fillId="0" borderId="0" xfId="19" applyFont="1" applyAlignment="1">
      <alignment horizontal="left" indent="2"/>
    </xf>
    <xf numFmtId="0" fontId="4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40" fillId="0" borderId="0" xfId="0" applyFont="1" applyAlignment="1">
      <alignment horizontal="center" wrapText="1"/>
    </xf>
    <xf numFmtId="0" fontId="43" fillId="0" borderId="0" xfId="0" applyFont="1" applyAlignment="1">
      <alignment horizontal="center" wrapText="1"/>
    </xf>
    <xf numFmtId="0" fontId="34" fillId="0" borderId="0" xfId="0" applyFont="1" applyAlignment="1" applyProtection="1">
      <alignment horizontal="center" wrapText="1"/>
      <protection hidden="1"/>
    </xf>
    <xf numFmtId="0" fontId="43" fillId="0" borderId="0" xfId="0" applyFont="1" applyAlignment="1" applyProtection="1">
      <alignment horizontal="center" wrapText="1"/>
      <protection hidden="1"/>
    </xf>
    <xf numFmtId="0" fontId="3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1" fillId="0" borderId="0" xfId="0" applyFont="1" applyAlignment="1">
      <alignment horizontal="right"/>
    </xf>
    <xf numFmtId="9" fontId="20" fillId="5" borderId="1" xfId="3" applyFont="1" applyFill="1" applyBorder="1" applyProtection="1">
      <protection locked="0"/>
    </xf>
    <xf numFmtId="9" fontId="38" fillId="0" borderId="0" xfId="3" applyFont="1" applyFill="1" applyBorder="1"/>
    <xf numFmtId="0" fontId="1" fillId="0" borderId="9" xfId="0" applyFont="1" applyBorder="1"/>
    <xf numFmtId="0" fontId="4" fillId="0" borderId="9" xfId="0" applyFont="1" applyBorder="1"/>
    <xf numFmtId="0" fontId="49" fillId="0" borderId="9" xfId="0" applyFont="1" applyBorder="1"/>
    <xf numFmtId="0" fontId="49" fillId="0" borderId="9" xfId="0" applyFont="1" applyBorder="1" applyAlignment="1">
      <alignment horizontal="center"/>
    </xf>
    <xf numFmtId="0" fontId="49" fillId="0" borderId="4" xfId="0" applyFont="1" applyBorder="1" applyAlignment="1">
      <alignment horizontal="center"/>
    </xf>
    <xf numFmtId="0" fontId="49" fillId="0" borderId="10" xfId="0" applyFont="1" applyBorder="1" applyAlignment="1">
      <alignment horizontal="center"/>
    </xf>
    <xf numFmtId="0" fontId="1" fillId="0" borderId="5" xfId="0" applyFont="1" applyBorder="1"/>
    <xf numFmtId="0" fontId="4" fillId="0" borderId="5" xfId="0" applyFont="1" applyBorder="1"/>
    <xf numFmtId="0" fontId="49" fillId="0" borderId="5" xfId="0" applyFont="1" applyBorder="1"/>
    <xf numFmtId="0" fontId="49" fillId="0" borderId="5" xfId="0" applyFont="1" applyBorder="1" applyAlignment="1">
      <alignment horizontal="center"/>
    </xf>
    <xf numFmtId="0" fontId="49" fillId="0" borderId="6" xfId="0" applyFont="1" applyBorder="1" applyAlignment="1">
      <alignment horizontal="center"/>
    </xf>
    <xf numFmtId="1" fontId="26" fillId="0" borderId="0" xfId="0" applyNumberFormat="1" applyFont="1" applyProtection="1">
      <protection hidden="1"/>
    </xf>
    <xf numFmtId="43" fontId="20" fillId="0" borderId="0" xfId="9" applyNumberFormat="1" applyAlignment="1">
      <alignment horizontal="center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7" fillId="0" borderId="0" xfId="0" applyFont="1" applyAlignment="1">
      <alignment horizontal="right"/>
    </xf>
    <xf numFmtId="0" fontId="20" fillId="0" borderId="0" xfId="0" applyFont="1" applyAlignment="1">
      <alignment horizontal="left" indent="4"/>
    </xf>
    <xf numFmtId="0" fontId="1" fillId="0" borderId="0" xfId="11" applyFont="1" applyAlignment="1">
      <alignment horizontal="left"/>
    </xf>
    <xf numFmtId="170" fontId="20" fillId="8" borderId="1" xfId="0" applyNumberFormat="1" applyFont="1" applyFill="1" applyBorder="1" applyProtection="1">
      <protection locked="0"/>
    </xf>
    <xf numFmtId="9" fontId="20" fillId="8" borderId="1" xfId="3" applyFont="1" applyFill="1" applyBorder="1" applyProtection="1">
      <protection locked="0"/>
    </xf>
    <xf numFmtId="0" fontId="54" fillId="0" borderId="0" xfId="11" applyFont="1"/>
    <xf numFmtId="0" fontId="55" fillId="0" borderId="0" xfId="11" applyFont="1" applyProtection="1">
      <protection hidden="1"/>
    </xf>
    <xf numFmtId="0" fontId="38" fillId="0" borderId="0" xfId="0" applyFont="1" applyProtection="1">
      <protection hidden="1"/>
    </xf>
    <xf numFmtId="0" fontId="2" fillId="0" borderId="0" xfId="0" applyFont="1" applyProtection="1">
      <protection hidden="1"/>
    </xf>
    <xf numFmtId="0" fontId="34" fillId="0" borderId="0" xfId="11" applyFont="1" applyAlignment="1">
      <alignment horizontal="left" indent="2"/>
    </xf>
    <xf numFmtId="0" fontId="1" fillId="6" borderId="0" xfId="13" applyFont="1" applyFill="1"/>
    <xf numFmtId="165" fontId="26" fillId="0" borderId="0" xfId="2" applyNumberFormat="1" applyFont="1" applyProtection="1">
      <protection hidden="1"/>
    </xf>
    <xf numFmtId="0" fontId="20" fillId="0" borderId="0" xfId="0" applyFont="1" applyAlignment="1">
      <alignment horizontal="left"/>
    </xf>
    <xf numFmtId="171" fontId="0" fillId="5" borderId="1" xfId="0" applyNumberFormat="1" applyFill="1" applyBorder="1" applyProtection="1">
      <protection locked="0"/>
    </xf>
    <xf numFmtId="167" fontId="0" fillId="0" borderId="0" xfId="0" applyNumberFormat="1"/>
    <xf numFmtId="167" fontId="0" fillId="0" borderId="6" xfId="0" applyNumberFormat="1" applyBorder="1" applyProtection="1">
      <protection hidden="1"/>
    </xf>
    <xf numFmtId="167" fontId="0" fillId="5" borderId="1" xfId="0" applyNumberFormat="1" applyFill="1" applyBorder="1" applyProtection="1">
      <protection locked="0"/>
    </xf>
    <xf numFmtId="9" fontId="0" fillId="5" borderId="1" xfId="3" applyFont="1" applyFill="1" applyBorder="1" applyProtection="1">
      <protection locked="0"/>
    </xf>
    <xf numFmtId="172" fontId="20" fillId="0" borderId="0" xfId="9" applyNumberFormat="1"/>
    <xf numFmtId="0" fontId="38" fillId="0" borderId="0" xfId="0" applyFont="1" applyAlignment="1">
      <alignment wrapText="1"/>
    </xf>
    <xf numFmtId="44" fontId="0" fillId="5" borderId="1" xfId="0" applyNumberFormat="1" applyFill="1" applyBorder="1" applyProtection="1">
      <protection locked="0"/>
    </xf>
    <xf numFmtId="43" fontId="20" fillId="0" borderId="0" xfId="0" applyNumberFormat="1" applyFont="1"/>
    <xf numFmtId="1" fontId="20" fillId="0" borderId="0" xfId="0" applyNumberFormat="1" applyFont="1"/>
    <xf numFmtId="0" fontId="1" fillId="0" borderId="0" xfId="16" applyFont="1"/>
    <xf numFmtId="0" fontId="46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19" fillId="5" borderId="1" xfId="11" applyFill="1" applyBorder="1" applyAlignment="1" applyProtection="1">
      <alignment horizontal="center"/>
      <protection locked="0"/>
    </xf>
    <xf numFmtId="0" fontId="38" fillId="5" borderId="1" xfId="0" applyFont="1" applyFill="1" applyBorder="1" applyAlignment="1" applyProtection="1">
      <alignment horizontal="center" wrapText="1"/>
      <protection locked="0"/>
    </xf>
    <xf numFmtId="0" fontId="19" fillId="0" borderId="0" xfId="11" applyAlignment="1">
      <alignment horizontal="left" indent="2"/>
    </xf>
    <xf numFmtId="0" fontId="5" fillId="2" borderId="2" xfId="16" applyFont="1" applyFill="1" applyBorder="1" applyAlignment="1" applyProtection="1">
      <alignment horizontal="center"/>
      <protection locked="0"/>
    </xf>
    <xf numFmtId="0" fontId="5" fillId="2" borderId="3" xfId="16" applyFont="1" applyFill="1" applyBorder="1" applyAlignment="1" applyProtection="1">
      <alignment horizontal="center"/>
      <protection locked="0"/>
    </xf>
    <xf numFmtId="0" fontId="38" fillId="0" borderId="7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4" fillId="8" borderId="2" xfId="0" applyFont="1" applyFill="1" applyBorder="1" applyAlignment="1" applyProtection="1">
      <alignment horizontal="center"/>
      <protection locked="0"/>
    </xf>
    <xf numFmtId="0" fontId="4" fillId="8" borderId="3" xfId="0" applyFont="1" applyFill="1" applyBorder="1" applyAlignment="1" applyProtection="1">
      <alignment horizontal="center"/>
      <protection locked="0"/>
    </xf>
    <xf numFmtId="0" fontId="38" fillId="0" borderId="7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</cellXfs>
  <cellStyles count="25">
    <cellStyle name="Comma" xfId="2" builtinId="3"/>
    <cellStyle name="Comma 2" xfId="10" xr:uid="{FD791432-DB31-2744-829B-3A2281BFAB09}"/>
    <cellStyle name="Comma 2 2" xfId="23" xr:uid="{9C91A8D8-6B4C-B348-9B2A-B5DFB7F2D696}"/>
    <cellStyle name="Comma 3" xfId="12" xr:uid="{992B348D-32F7-084E-AD3C-6690AF73E528}"/>
    <cellStyle name="Comma 4" xfId="21" xr:uid="{1E4C6C7B-3E95-7344-AE95-BCCA9D4A65CA}"/>
    <cellStyle name="Currency" xfId="6" builtinId="4"/>
    <cellStyle name="Good 2" xfId="24" xr:uid="{50026D62-A9C7-C949-9506-2F907DF0DB87}"/>
    <cellStyle name="Hyperlink 2" xfId="5" xr:uid="{F8914A8A-1FA2-A544-AFE5-4DCDAC306BEC}"/>
    <cellStyle name="Hyperlink 2 2" xfId="18" xr:uid="{1BC926E6-A79F-E543-A535-89A7EFEDCF27}"/>
    <cellStyle name="Normal" xfId="0" builtinId="0"/>
    <cellStyle name="Normal 2" xfId="1" xr:uid="{00000000-0005-0000-0000-000003000000}"/>
    <cellStyle name="Normal 2 2" xfId="7" xr:uid="{502ED804-1BC4-7645-8FCA-0C3CEE2A1F2E}"/>
    <cellStyle name="Normal 2 3" xfId="17" xr:uid="{936879E2-7A65-DF4D-B83F-E562BFCBFCF1}"/>
    <cellStyle name="Normal 3" xfId="4" xr:uid="{AA0F86A3-3CAC-3C49-A1E8-A7A660CDE746}"/>
    <cellStyle name="Normal 3 2" xfId="8" xr:uid="{233672B3-DECB-D643-9DE8-C2E85D41D375}"/>
    <cellStyle name="Normal 3 3" xfId="14" xr:uid="{EFF8CC15-B500-4FB4-A3DC-47848277E3CC}"/>
    <cellStyle name="Normal 4" xfId="9" xr:uid="{15956D78-77A0-574B-AA2D-62E686ABC0C8}"/>
    <cellStyle name="Normal 5" xfId="11" xr:uid="{BAB93D5C-6EF3-E14D-B873-31985A0D7132}"/>
    <cellStyle name="Normal 5 2" xfId="16" xr:uid="{31FDFF2C-0C10-C944-A955-D3E5D30449AC}"/>
    <cellStyle name="Normal 5 3" xfId="20" xr:uid="{DA4BBAA3-4A1B-5044-AFBA-A3C555E5538B}"/>
    <cellStyle name="Normal 5 4" xfId="22" xr:uid="{E4578F7B-12B4-8244-97EE-504A3117ECAE}"/>
    <cellStyle name="Normal 6" xfId="19" xr:uid="{03CA8B80-130C-B844-B51F-2AAD9F1AAC0D}"/>
    <cellStyle name="Normal 7" xfId="13" xr:uid="{BA89AD31-CBC9-D84A-9A07-1C0DB052E6C8}"/>
    <cellStyle name="Percent" xfId="3" builtinId="5"/>
    <cellStyle name="Percent 3" xfId="15" xr:uid="{4F1B38BF-FFA7-4DCD-95DD-6EBC52D962F2}"/>
  </cellStyles>
  <dxfs count="36">
    <dxf>
      <font>
        <color theme="0"/>
      </font>
      <numFmt numFmtId="173" formatCode="\: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numFmt numFmtId="173" formatCode="\: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numFmt numFmtId="173" formatCode="\: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numFmt numFmtId="173" formatCode="\: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numFmt numFmtId="173" formatCode="\: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numFmt numFmtId="173" formatCode="\: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numFmt numFmtId="173" formatCode="\: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numFmt numFmtId="173" formatCode="\: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74" formatCode=";;;"/>
    </dxf>
    <dxf>
      <font>
        <color theme="0"/>
      </font>
      <numFmt numFmtId="174" formatCode=";;;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FD78"/>
      <color rgb="FFFFFDA9"/>
      <color rgb="FFFFD8FF"/>
      <color rgb="FFFFAFFF"/>
      <color rgb="FFFF52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2945</xdr:colOff>
      <xdr:row>13</xdr:row>
      <xdr:rowOff>5153</xdr:rowOff>
    </xdr:from>
    <xdr:to>
      <xdr:col>6</xdr:col>
      <xdr:colOff>170806</xdr:colOff>
      <xdr:row>34</xdr:row>
      <xdr:rowOff>1639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226EBC-03AF-E0E5-1FF6-7C7824DA6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206" y="2278269"/>
          <a:ext cx="4309165" cy="4248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ch\Dropbox%20(CMRA)\CMRA%20Team%20Folder\RH%20Personal\TEACHING\ONLINE\Master%20Data\Company%20Data%20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cker info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5D6D-885F-F943-9AAC-1DCAAD673C45}">
  <sheetPr published="0"/>
  <dimension ref="A1:BA37"/>
  <sheetViews>
    <sheetView tabSelected="1" zoomScale="115" workbookViewId="0">
      <selection activeCell="D9" sqref="D9"/>
    </sheetView>
  </sheetViews>
  <sheetFormatPr defaultColWidth="11.125" defaultRowHeight="15.75"/>
  <cols>
    <col min="15" max="15" width="0" hidden="1" customWidth="1"/>
  </cols>
  <sheetData>
    <row r="1" spans="1:53" s="7" customFormat="1" ht="18.75">
      <c r="A1" s="6" t="s">
        <v>70</v>
      </c>
      <c r="H1" s="8" t="s">
        <v>238</v>
      </c>
      <c r="Z1" s="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9"/>
    </row>
    <row r="2" spans="1:53" s="7" customFormat="1" ht="12.75">
      <c r="A2" s="4" t="s">
        <v>71</v>
      </c>
      <c r="H2" s="8"/>
      <c r="Z2" s="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9"/>
    </row>
    <row r="3" spans="1:53" s="7" customFormat="1" ht="12.75">
      <c r="A3" s="2" t="s">
        <v>239</v>
      </c>
      <c r="Z3" s="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9"/>
    </row>
    <row r="4" spans="1:53" s="7" customFormat="1" ht="12.75">
      <c r="A4" s="5" t="str">
        <f ca="1">"Sheet: "&amp;MID(CELL("filename",A1),FIND("]",CELL("filename",A1))+1,255)</f>
        <v>Sheet: ENTER SFAM ID</v>
      </c>
      <c r="Z4" s="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9"/>
    </row>
    <row r="5" spans="1:53" s="3" customFormat="1" ht="12.75"/>
    <row r="6" spans="1:53" s="3" customFormat="1" ht="12.75">
      <c r="B6" s="60" t="s">
        <v>55</v>
      </c>
    </row>
    <row r="7" spans="1:53" s="3" customFormat="1" ht="13.5" thickBot="1"/>
    <row r="8" spans="1:53" s="62" customFormat="1" ht="15" customHeight="1" thickBot="1">
      <c r="C8" s="191">
        <v>23472093</v>
      </c>
      <c r="D8" s="192"/>
      <c r="O8" s="183" t="s">
        <v>237</v>
      </c>
    </row>
    <row r="9" spans="1:53">
      <c r="O9" s="182">
        <v>12249598</v>
      </c>
    </row>
    <row r="10" spans="1:53">
      <c r="B10" s="61" t="s">
        <v>56</v>
      </c>
      <c r="O10" s="7">
        <v>13094454</v>
      </c>
    </row>
    <row r="11" spans="1:53">
      <c r="B11" s="82" t="s">
        <v>57</v>
      </c>
      <c r="O11" s="7">
        <v>15088115</v>
      </c>
    </row>
    <row r="12" spans="1:53">
      <c r="B12" s="82" t="s">
        <v>69</v>
      </c>
      <c r="O12" s="7">
        <v>23124915</v>
      </c>
    </row>
    <row r="13" spans="1:53">
      <c r="O13" s="3">
        <v>23127451</v>
      </c>
    </row>
    <row r="14" spans="1:53">
      <c r="O14" s="3">
        <v>23187403</v>
      </c>
    </row>
    <row r="15" spans="1:53" s="69" customFormat="1" ht="15" customHeight="1">
      <c r="B15" s="184"/>
      <c r="O15" s="3">
        <v>23349375</v>
      </c>
    </row>
    <row r="16" spans="1:53" s="69" customFormat="1" ht="15" customHeight="1">
      <c r="A16" s="185"/>
      <c r="O16" s="63">
        <v>23472093</v>
      </c>
    </row>
    <row r="17" spans="1:15" s="69" customFormat="1" ht="15" customHeight="1">
      <c r="A17" s="186"/>
      <c r="O17">
        <v>23499774</v>
      </c>
    </row>
    <row r="18" spans="1:15" s="69" customFormat="1" ht="15" customHeight="1">
      <c r="A18" s="186"/>
      <c r="O18">
        <v>23558332</v>
      </c>
    </row>
    <row r="19" spans="1:15" s="69" customFormat="1" ht="15" customHeight="1">
      <c r="A19" s="186"/>
      <c r="J19" s="83"/>
      <c r="O19">
        <v>23621570</v>
      </c>
    </row>
    <row r="20" spans="1:15" s="69" customFormat="1" ht="15" customHeight="1">
      <c r="A20" s="186"/>
      <c r="B20" s="83"/>
      <c r="J20" s="83"/>
      <c r="O20">
        <v>23650144</v>
      </c>
    </row>
    <row r="21" spans="1:15" s="69" customFormat="1" ht="15" customHeight="1">
      <c r="A21" s="186"/>
      <c r="B21" s="83"/>
      <c r="J21" s="83"/>
      <c r="O21">
        <v>23726275</v>
      </c>
    </row>
    <row r="22" spans="1:15" s="69" customFormat="1" ht="15" customHeight="1">
      <c r="A22" s="186"/>
      <c r="B22" s="83"/>
      <c r="J22" s="83"/>
      <c r="O22">
        <v>23731154</v>
      </c>
    </row>
    <row r="23" spans="1:15" s="69" customFormat="1" ht="15" customHeight="1">
      <c r="O23" s="69">
        <v>23756680</v>
      </c>
    </row>
    <row r="24" spans="1:15" s="69" customFormat="1" ht="15" customHeight="1">
      <c r="A24" s="185"/>
      <c r="O24" s="69">
        <v>23761860</v>
      </c>
    </row>
    <row r="25" spans="1:15" s="69" customFormat="1" ht="15" customHeight="1">
      <c r="A25" s="185"/>
      <c r="O25" s="69">
        <v>23852100</v>
      </c>
    </row>
    <row r="26" spans="1:15" s="69" customFormat="1" ht="15" customHeight="1">
      <c r="A26" s="186"/>
      <c r="O26" s="69">
        <v>23862816</v>
      </c>
    </row>
    <row r="27" spans="1:15" s="69" customFormat="1" ht="15" customHeight="1">
      <c r="O27" s="69">
        <v>23882987</v>
      </c>
    </row>
    <row r="28" spans="1:15">
      <c r="B28" s="187"/>
      <c r="O28" s="69">
        <v>23893711</v>
      </c>
    </row>
    <row r="29" spans="1:15">
      <c r="O29" s="69">
        <v>23962266</v>
      </c>
    </row>
    <row r="30" spans="1:15">
      <c r="O30" s="69">
        <v>23962266</v>
      </c>
    </row>
    <row r="31" spans="1:15">
      <c r="O31" s="69">
        <v>23975909</v>
      </c>
    </row>
    <row r="32" spans="1:15">
      <c r="O32" s="69">
        <v>23990195</v>
      </c>
    </row>
    <row r="33" spans="15:15">
      <c r="O33" s="69">
        <v>24030917</v>
      </c>
    </row>
    <row r="34" spans="15:15">
      <c r="O34" s="69">
        <v>24038137</v>
      </c>
    </row>
    <row r="35" spans="15:15">
      <c r="O35" s="69">
        <v>24051217</v>
      </c>
    </row>
    <row r="36" spans="15:15">
      <c r="O36">
        <v>24097377</v>
      </c>
    </row>
    <row r="37" spans="15:15">
      <c r="O37">
        <v>24156455</v>
      </c>
    </row>
  </sheetData>
  <sheetProtection algorithmName="SHA-512" hashValue="lbKBPRNvTAIzXqNDaGMLxWSakJhFNZXbkDJs6lFkfQKWE1dMzEhH7BE4YnQp1kuWtjHhT2fC02V/sI6pR1w6+A==" saltValue="7kLXly/5LnXVrKBUPf39Gw==" spinCount="100000" sheet="1" objects="1" scenarios="1"/>
  <mergeCells count="1">
    <mergeCell ref="C8:D8"/>
  </mergeCells>
  <dataValidations count="1">
    <dataValidation type="list" errorStyle="warning" allowBlank="1" showDropDown="1" showInputMessage="1" showErrorMessage="1" errorTitle="Invalid SFAM ID" error="Your entry is not included in our list of enrolled SFAM IDs. Please validate that the value you have entered is your correct SFAM ID (Employee Number)." promptTitle="Enter your SFAM ID" prompt="For CUNY this is your Employee ID" sqref="C8:D8" xr:uid="{8957F1F9-0B9A-9A41-9323-4106DF3A029F}">
      <formula1>$O:$O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149"/>
  <sheetViews>
    <sheetView topLeftCell="A33" zoomScale="129" zoomScaleNormal="130" workbookViewId="0">
      <selection activeCell="F52" sqref="F52"/>
    </sheetView>
  </sheetViews>
  <sheetFormatPr defaultColWidth="10.875" defaultRowHeight="12.75"/>
  <cols>
    <col min="1" max="2" width="10.875" style="7"/>
    <col min="3" max="3" width="11.625" style="7" customWidth="1"/>
    <col min="4" max="9" width="10.875" style="7"/>
    <col min="10" max="10" width="10.875" style="7" customWidth="1"/>
    <col min="11" max="21" width="10.875" style="7"/>
    <col min="22" max="22" width="10.875" style="7" customWidth="1"/>
    <col min="23" max="23" width="10.875" style="9" customWidth="1"/>
    <col min="24" max="49" width="10.875" style="19" customWidth="1"/>
    <col min="50" max="50" width="10.875" style="9"/>
    <col min="51" max="16384" width="10.875" style="7"/>
  </cols>
  <sheetData>
    <row r="1" spans="1:50" ht="18.75">
      <c r="A1" s="6" t="s">
        <v>70</v>
      </c>
      <c r="H1" s="8" t="s">
        <v>238</v>
      </c>
      <c r="W1" s="165" t="s">
        <v>198</v>
      </c>
      <c r="X1" s="166" t="s">
        <v>199</v>
      </c>
    </row>
    <row r="2" spans="1:50">
      <c r="A2" s="4" t="s">
        <v>71</v>
      </c>
      <c r="H2" s="8"/>
    </row>
    <row r="3" spans="1:50">
      <c r="A3" s="2" t="s">
        <v>239</v>
      </c>
    </row>
    <row r="4" spans="1:50">
      <c r="A4" s="5" t="str">
        <f ca="1">"Sheet: "&amp;MID(CELL("filename",A1),FIND("]",CELL("filename",A1))+1,255)</f>
        <v>Sheet: Develop Model</v>
      </c>
    </row>
    <row r="6" spans="1:50" s="3" customFormat="1">
      <c r="A6" s="95" t="s">
        <v>109</v>
      </c>
      <c r="W6" s="18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18"/>
    </row>
    <row r="7" spans="1:50" s="3" customFormat="1">
      <c r="A7" s="105" t="s">
        <v>83</v>
      </c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18"/>
    </row>
    <row r="8" spans="1:50" s="3" customFormat="1">
      <c r="A8" s="105" t="s">
        <v>4</v>
      </c>
      <c r="W8" s="18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18"/>
    </row>
    <row r="9" spans="1:50" s="3" customFormat="1">
      <c r="A9" s="105" t="s">
        <v>10</v>
      </c>
      <c r="W9" s="18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18"/>
    </row>
    <row r="10" spans="1:50" s="3" customFormat="1">
      <c r="A10" s="162" t="s">
        <v>183</v>
      </c>
      <c r="W10" s="18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18"/>
    </row>
    <row r="11" spans="1:50" s="3" customFormat="1">
      <c r="A11" s="162"/>
      <c r="W11" s="18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18"/>
    </row>
    <row r="12" spans="1:50" s="3" customFormat="1">
      <c r="A12" s="95" t="s">
        <v>240</v>
      </c>
      <c r="W12" s="18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18"/>
    </row>
    <row r="13" spans="1:50" s="3" customFormat="1">
      <c r="A13" s="162" t="s">
        <v>241</v>
      </c>
      <c r="W13" s="18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18"/>
    </row>
    <row r="14" spans="1:50" s="3" customFormat="1">
      <c r="A14" s="190"/>
      <c r="B14" s="95" t="s">
        <v>92</v>
      </c>
      <c r="D14" s="95" t="s">
        <v>93</v>
      </c>
      <c r="F14" s="95" t="s">
        <v>242</v>
      </c>
      <c r="W14" s="18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18"/>
    </row>
    <row r="15" spans="1:50" s="3" customFormat="1">
      <c r="A15" s="105" t="s">
        <v>243</v>
      </c>
      <c r="W15" s="18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18"/>
    </row>
    <row r="16" spans="1:50" s="3" customFormat="1" ht="13.5" thickBot="1">
      <c r="A16" s="105" t="s">
        <v>244</v>
      </c>
      <c r="W16" s="18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18"/>
    </row>
    <row r="17" spans="1:50" s="3" customFormat="1" ht="13.5" thickBot="1">
      <c r="A17" s="162"/>
      <c r="B17" s="188" t="s">
        <v>198</v>
      </c>
      <c r="W17" s="18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18"/>
    </row>
    <row r="18" spans="1:50" s="3" customFormat="1">
      <c r="A18" s="169" t="s">
        <v>205</v>
      </c>
      <c r="W18" s="18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18"/>
    </row>
    <row r="19" spans="1:50" s="3" customFormat="1">
      <c r="A19" s="105"/>
      <c r="W19" s="18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18"/>
    </row>
    <row r="20" spans="1:50" s="3" customFormat="1">
      <c r="A20" s="162" t="s">
        <v>176</v>
      </c>
      <c r="W20" s="18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18"/>
    </row>
    <row r="21" spans="1:50" s="3" customFormat="1">
      <c r="A21" s="105" t="s">
        <v>177</v>
      </c>
      <c r="W21" s="18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18"/>
    </row>
    <row r="22" spans="1:50" s="3" customFormat="1">
      <c r="A22" s="105" t="s">
        <v>178</v>
      </c>
      <c r="W22" s="18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18"/>
    </row>
    <row r="23" spans="1:50" s="3" customFormat="1">
      <c r="A23" s="105" t="s">
        <v>179</v>
      </c>
      <c r="W23" s="18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18"/>
    </row>
    <row r="24" spans="1:50" s="3" customFormat="1">
      <c r="A24" s="105" t="s">
        <v>180</v>
      </c>
      <c r="W24" s="18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18"/>
    </row>
    <row r="25" spans="1:50" s="3" customFormat="1">
      <c r="A25" s="162" t="s">
        <v>185</v>
      </c>
      <c r="W25" s="18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18"/>
    </row>
    <row r="26" spans="1:50" s="3" customFormat="1">
      <c r="A26" s="162" t="s">
        <v>181</v>
      </c>
      <c r="W26" s="18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18"/>
    </row>
    <row r="27" spans="1:50" s="3" customFormat="1">
      <c r="A27" s="105" t="s">
        <v>182</v>
      </c>
      <c r="W27" s="18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18"/>
    </row>
    <row r="28" spans="1:50" s="3" customFormat="1">
      <c r="A28" s="105" t="s">
        <v>184</v>
      </c>
      <c r="W28" s="18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18"/>
    </row>
    <row r="29" spans="1:50" s="3" customFormat="1">
      <c r="A29" s="105"/>
      <c r="W29" s="18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18"/>
    </row>
    <row r="30" spans="1:50" s="3" customFormat="1">
      <c r="A30" s="95" t="s">
        <v>98</v>
      </c>
      <c r="W30" s="18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18"/>
    </row>
    <row r="31" spans="1:50" s="3" customFormat="1">
      <c r="A31" s="105" t="str">
        <f ca="1">"Revenues in "&amp;J31+1&amp;" were 100 if you select 'No Template' and 200 if you select 'Template' in Row "&amp;ROW(A17)&amp;"."</f>
        <v>Revenues in 2022 were 100 if you select 'No Template' and 200 if you select 'Template' in Row 17.</v>
      </c>
      <c r="J31" s="120">
        <f ca="1">YEAR(TODAY())-2</f>
        <v>2021</v>
      </c>
      <c r="K31" s="125">
        <f>HLOOKUP('Develop Model'!F52,'Develop Model'!H52:M53,2,FALSE)</f>
        <v>1</v>
      </c>
      <c r="W31" s="18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18"/>
    </row>
    <row r="32" spans="1:50" s="92" customFormat="1" ht="14.1" customHeight="1">
      <c r="A32" s="111" t="str">
        <f ca="1">J31+1&amp;" ratios will continue through "&amp;J31+3&amp;"."</f>
        <v>2022 ratios will continue through 2024.</v>
      </c>
      <c r="B32" s="91"/>
      <c r="G32" s="93"/>
      <c r="I32" s="93"/>
      <c r="L32" s="93"/>
      <c r="M32" s="93"/>
      <c r="N32" s="93"/>
    </row>
    <row r="33" spans="1:16" s="92" customFormat="1" ht="14.1" customHeight="1">
      <c r="A33" s="82" t="s">
        <v>201</v>
      </c>
      <c r="B33" s="91"/>
      <c r="G33" s="93"/>
      <c r="I33" s="93"/>
      <c r="L33" s="93"/>
      <c r="M33" s="93"/>
      <c r="N33" s="93"/>
    </row>
    <row r="34" spans="1:16">
      <c r="A34" s="90" t="s">
        <v>91</v>
      </c>
    </row>
    <row r="35" spans="1:16">
      <c r="A35" s="109" t="s">
        <v>92</v>
      </c>
    </row>
    <row r="36" spans="1:16">
      <c r="A36" s="109" t="s">
        <v>93</v>
      </c>
      <c r="P36" s="7" t="s">
        <v>111</v>
      </c>
    </row>
    <row r="37" spans="1:16">
      <c r="A37" s="109" t="s">
        <v>94</v>
      </c>
    </row>
    <row r="38" spans="1:16">
      <c r="A38" s="7" t="s">
        <v>89</v>
      </c>
    </row>
    <row r="39" spans="1:16">
      <c r="A39" s="109" t="str">
        <f ca="1">"A column of end of "&amp;J31&amp;" Balance Sheet actuals"</f>
        <v>A column of end of 2021 Balance Sheet actuals</v>
      </c>
    </row>
    <row r="40" spans="1:16">
      <c r="A40" s="109" t="str">
        <f ca="1">"A column in which you will calculate the "&amp;J31+1&amp;" actuals based on the information provided"</f>
        <v>A column in which you will calculate the 2022 actuals based on the information provided</v>
      </c>
    </row>
    <row r="41" spans="1:16">
      <c r="A41" s="109" t="str">
        <f ca="1">"A column for "&amp;J31+2&amp;" forecasts"</f>
        <v>A column for 2023 forecasts</v>
      </c>
    </row>
    <row r="42" spans="1:16">
      <c r="A42" s="109" t="str">
        <f ca="1">"A column for "&amp;J31+3&amp;" forecasts"</f>
        <v>A column for 2024 forecasts</v>
      </c>
    </row>
    <row r="43" spans="1:16">
      <c r="A43" s="90" t="str">
        <f ca="1">"Create formulas in your financial statement that pull the below values in the grey cells in for "&amp;J31&amp;" and "&amp;J31+1&amp;"."</f>
        <v>Create formulas in your financial statement that pull the below values in the grey cells in for 2021 and 2022.</v>
      </c>
    </row>
    <row r="44" spans="1:16">
      <c r="A44" s="90" t="str">
        <f>"In Cell F"&amp;ROW(F52)&amp;" you will select which of the scenarios in Column H through L to select when completing the 'Analyze Using Model' Sheet."</f>
        <v>In Cell F52 you will select which of the scenarios in Column H through L to select when completing the 'Analyze Using Model' Sheet.</v>
      </c>
    </row>
    <row r="45" spans="1:16">
      <c r="A45" s="109" t="s">
        <v>223</v>
      </c>
    </row>
    <row r="46" spans="1:16">
      <c r="A46" s="90" t="s">
        <v>126</v>
      </c>
    </row>
    <row r="47" spans="1:16" s="92" customFormat="1" ht="14.1" customHeight="1">
      <c r="A47" s="90" t="s">
        <v>155</v>
      </c>
      <c r="B47" s="91"/>
      <c r="G47" s="93"/>
      <c r="I47" s="93"/>
      <c r="L47" s="93"/>
      <c r="M47" s="93"/>
      <c r="N47" s="93"/>
    </row>
    <row r="48" spans="1:16" s="92" customFormat="1" ht="14.1" customHeight="1">
      <c r="A48" s="90" t="s">
        <v>232</v>
      </c>
      <c r="B48" s="91"/>
      <c r="G48" s="93"/>
      <c r="I48" s="93"/>
      <c r="L48" s="93"/>
      <c r="M48" s="93"/>
      <c r="N48" s="93"/>
    </row>
    <row r="49" spans="1:17" s="92" customFormat="1" ht="14.1" customHeight="1">
      <c r="A49" s="109" t="s">
        <v>233</v>
      </c>
      <c r="B49" s="91"/>
      <c r="G49" s="93"/>
      <c r="I49" s="93"/>
      <c r="L49" s="93"/>
      <c r="M49" s="93"/>
      <c r="N49" s="93"/>
    </row>
    <row r="50" spans="1:17" s="92" customFormat="1" ht="14.1" customHeight="1">
      <c r="A50" s="109" t="s">
        <v>234</v>
      </c>
      <c r="B50" s="91"/>
      <c r="G50" s="93"/>
      <c r="I50" s="93"/>
      <c r="L50" s="93"/>
      <c r="M50" s="93"/>
      <c r="N50" s="93"/>
    </row>
    <row r="51" spans="1:17" s="92" customFormat="1" ht="14.1" customHeight="1" thickBot="1">
      <c r="B51" s="91"/>
      <c r="G51" s="93"/>
      <c r="I51" s="93"/>
      <c r="L51" s="93"/>
      <c r="M51" s="93"/>
      <c r="N51" s="93"/>
    </row>
    <row r="52" spans="1:17" s="92" customFormat="1" ht="29.1" customHeight="1" thickBot="1">
      <c r="B52" s="91"/>
      <c r="F52" s="189" t="s">
        <v>114</v>
      </c>
      <c r="G52" s="93"/>
      <c r="H52" s="107" t="s">
        <v>114</v>
      </c>
      <c r="I52" s="107" t="s">
        <v>115</v>
      </c>
      <c r="J52" s="107" t="s">
        <v>113</v>
      </c>
      <c r="K52" s="107" t="s">
        <v>117</v>
      </c>
      <c r="L52" s="107" t="s">
        <v>85</v>
      </c>
      <c r="M52" s="179" t="s">
        <v>231</v>
      </c>
      <c r="O52" s="167" t="s">
        <v>194</v>
      </c>
      <c r="Q52" s="107"/>
    </row>
    <row r="53" spans="1:17" s="92" customFormat="1" ht="14.1" customHeight="1">
      <c r="A53" s="111" t="str">
        <f ca="1">"In the grey cells below are Balance Sheet values at the end of "&amp;J31&amp;":"</f>
        <v>In the grey cells below are Balance Sheet values at the end of 2021:</v>
      </c>
      <c r="B53" s="108"/>
      <c r="G53" s="93"/>
      <c r="H53" s="126">
        <v>1</v>
      </c>
      <c r="I53" s="126">
        <v>2</v>
      </c>
      <c r="J53" s="126">
        <v>3</v>
      </c>
      <c r="K53" s="126">
        <v>4</v>
      </c>
      <c r="L53" s="126">
        <v>5</v>
      </c>
      <c r="M53" s="126">
        <v>6</v>
      </c>
      <c r="O53" s="168"/>
    </row>
    <row r="54" spans="1:17">
      <c r="A54" s="90"/>
      <c r="B54" s="94" t="s">
        <v>9</v>
      </c>
      <c r="F54" s="128" cm="1">
        <f t="array" ref="F54">INDEX(H54:M54,1,$K$31)</f>
        <v>12.4</v>
      </c>
      <c r="H54" s="122">
        <f>10+X!$CP$4/5</f>
        <v>12.4</v>
      </c>
      <c r="I54" s="122">
        <f>10++X!$CP$4/5</f>
        <v>12.4</v>
      </c>
      <c r="J54" s="122">
        <f>10++X!$CP$4/5</f>
        <v>12.4</v>
      </c>
      <c r="K54" s="122">
        <f>10++X!$CP$4/5</f>
        <v>12.4</v>
      </c>
      <c r="L54" s="122">
        <f>10++X!$CP$4/5</f>
        <v>12.4</v>
      </c>
      <c r="M54" s="122">
        <f>10++X!$CP$4/5</f>
        <v>12.4</v>
      </c>
      <c r="O54" s="2"/>
      <c r="Q54" s="123"/>
    </row>
    <row r="55" spans="1:17">
      <c r="A55" s="90"/>
      <c r="B55" s="94" t="s">
        <v>5</v>
      </c>
      <c r="F55" s="128" cm="1">
        <f t="array" ref="F55">INDEX(H55:M55,1,$K$31)</f>
        <v>20</v>
      </c>
      <c r="H55" s="122">
        <v>20</v>
      </c>
      <c r="I55" s="122">
        <v>20</v>
      </c>
      <c r="J55" s="122">
        <v>20</v>
      </c>
      <c r="K55" s="122">
        <v>20</v>
      </c>
      <c r="L55" s="122">
        <v>20</v>
      </c>
      <c r="M55" s="122">
        <v>20</v>
      </c>
      <c r="O55" s="2"/>
      <c r="Q55" s="123"/>
    </row>
    <row r="56" spans="1:17">
      <c r="A56" s="94"/>
      <c r="B56" s="94" t="s">
        <v>79</v>
      </c>
      <c r="F56" s="128" cm="1">
        <f t="array" ref="F56">INDEX(H56:M56,1,$K$31)</f>
        <v>52.6</v>
      </c>
      <c r="H56" s="122">
        <f>50+X!$CP$3/5</f>
        <v>52.6</v>
      </c>
      <c r="I56" s="122">
        <f>50+X!$CP$3/5</f>
        <v>52.6</v>
      </c>
      <c r="J56" s="122">
        <f>50+X!$CP$3/5</f>
        <v>52.6</v>
      </c>
      <c r="K56" s="122">
        <f>50+X!$CP$3/5</f>
        <v>52.6</v>
      </c>
      <c r="L56" s="122">
        <f>50+X!$CP$3/5</f>
        <v>52.6</v>
      </c>
      <c r="M56" s="122">
        <f>50+X!$CP$3/5</f>
        <v>52.6</v>
      </c>
      <c r="O56" s="2" t="s">
        <v>193</v>
      </c>
      <c r="Q56" s="123"/>
    </row>
    <row r="57" spans="1:17">
      <c r="A57" s="90"/>
      <c r="B57" s="94" t="s">
        <v>6</v>
      </c>
      <c r="F57" s="128" cm="1">
        <f t="array" ref="F57">INDEX(H57:M57,1,$K$31)</f>
        <v>14</v>
      </c>
      <c r="H57" s="122">
        <v>14</v>
      </c>
      <c r="I57" s="122">
        <v>14</v>
      </c>
      <c r="J57" s="122">
        <v>14</v>
      </c>
      <c r="K57" s="122">
        <v>14</v>
      </c>
      <c r="L57" s="122">
        <v>14</v>
      </c>
      <c r="M57" s="122">
        <v>14</v>
      </c>
      <c r="O57" s="2"/>
      <c r="Q57" s="123"/>
    </row>
    <row r="58" spans="1:17">
      <c r="A58" s="90"/>
      <c r="B58" s="94" t="s">
        <v>7</v>
      </c>
      <c r="F58" s="128" cm="1">
        <f t="array" ref="F58">INDEX(H58:M58,1,$K$31)</f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f>25*(1+X!CP5/50)</f>
        <v>28.000000000000004</v>
      </c>
      <c r="M58" s="122">
        <v>0</v>
      </c>
      <c r="O58" s="2"/>
      <c r="Q58" s="123"/>
    </row>
    <row r="59" spans="1:17">
      <c r="A59" s="90"/>
      <c r="B59" s="94" t="s">
        <v>8</v>
      </c>
      <c r="F59" s="128" cm="1">
        <f t="array" ref="F59">INDEX(H59:M59,1,$K$31)</f>
        <v>51.8</v>
      </c>
      <c r="H59" s="122">
        <f>50+X!$CP$6/5</f>
        <v>51.8</v>
      </c>
      <c r="I59" s="122">
        <f>50+X!$CP$6/5</f>
        <v>51.8</v>
      </c>
      <c r="J59" s="122">
        <f>50+X!$CP$6/5</f>
        <v>51.8</v>
      </c>
      <c r="K59" s="122">
        <f>50+X!$CP$6/5</f>
        <v>51.8</v>
      </c>
      <c r="L59" s="122">
        <f>25+X!$CP$6/5</f>
        <v>26.8</v>
      </c>
      <c r="M59" s="122">
        <f>50+X!$CP$6/5</f>
        <v>51.8</v>
      </c>
      <c r="O59" s="2"/>
      <c r="Q59" s="123"/>
    </row>
    <row r="60" spans="1:17">
      <c r="H60" s="94"/>
      <c r="I60" s="94"/>
      <c r="J60" s="94"/>
      <c r="K60" s="94"/>
      <c r="L60" s="94"/>
      <c r="M60" s="94"/>
      <c r="O60" s="2"/>
      <c r="Q60" s="94"/>
    </row>
    <row r="61" spans="1:17">
      <c r="A61" s="109" t="str">
        <f ca="1">"In the grey cells below are Income Statement Ratios for "&amp;J31+1&amp;":"</f>
        <v>In the grey cells below are Income Statement Ratios for 2022:</v>
      </c>
      <c r="H61" s="94"/>
      <c r="I61" s="94"/>
      <c r="J61" s="94"/>
      <c r="K61" s="94"/>
      <c r="L61" s="94"/>
      <c r="M61" s="94"/>
      <c r="O61" s="2"/>
      <c r="Q61" s="94"/>
    </row>
    <row r="62" spans="1:17">
      <c r="A62" s="90"/>
      <c r="B62" s="106" t="s">
        <v>72</v>
      </c>
      <c r="C62" s="106"/>
      <c r="D62" s="106" t="s">
        <v>74</v>
      </c>
      <c r="F62" s="106" t="s">
        <v>81</v>
      </c>
      <c r="H62" s="94"/>
      <c r="I62" s="94"/>
      <c r="J62" s="94"/>
      <c r="K62" s="94"/>
      <c r="L62" s="94"/>
      <c r="M62" s="94"/>
      <c r="O62" s="2"/>
      <c r="Q62" s="94"/>
    </row>
    <row r="63" spans="1:17">
      <c r="A63" s="94"/>
      <c r="B63" s="94" t="s">
        <v>110</v>
      </c>
      <c r="D63" s="7" t="s">
        <v>80</v>
      </c>
      <c r="F63" s="127" cm="1">
        <f t="array" ref="F63">INDEX(H63:M63,1,$K$31)</f>
        <v>3.3000000000000002E-2</v>
      </c>
      <c r="H63" s="121">
        <f>3%+X!$CP$10/1000</f>
        <v>3.3000000000000002E-2</v>
      </c>
      <c r="I63" s="121">
        <f>-1%-X!$CP$10/1000</f>
        <v>-1.3000000000000001E-2</v>
      </c>
      <c r="J63" s="121">
        <f>12%+X!$CP$10/1000</f>
        <v>0.123</v>
      </c>
      <c r="K63" s="121">
        <f>1%+X!$CP$10/1000</f>
        <v>1.3000000000000001E-2</v>
      </c>
      <c r="L63" s="121">
        <f>3%+X!$CP$10/1000</f>
        <v>3.3000000000000002E-2</v>
      </c>
      <c r="M63" s="121">
        <f>-1%-X!$CP$10/1000</f>
        <v>-1.3000000000000001E-2</v>
      </c>
      <c r="O63" s="2"/>
      <c r="Q63" s="121"/>
    </row>
    <row r="64" spans="1:17">
      <c r="A64" s="90"/>
      <c r="B64" s="94" t="s">
        <v>73</v>
      </c>
      <c r="D64" s="7" t="s">
        <v>80</v>
      </c>
      <c r="F64" s="127" cm="1">
        <f t="array" ref="F64">INDEX(H64:M64,1,$K$31)</f>
        <v>0.31</v>
      </c>
      <c r="H64" s="121">
        <f>30%+X!$CP$9/500</f>
        <v>0.31</v>
      </c>
      <c r="I64" s="121">
        <f>35%+X!$CP$9/500</f>
        <v>0.36</v>
      </c>
      <c r="J64" s="121">
        <f>35%+X!$CP$9/500</f>
        <v>0.36</v>
      </c>
      <c r="K64" s="121">
        <f>21%+X!$CP$9/500</f>
        <v>0.22</v>
      </c>
      <c r="L64" s="121">
        <f>30%+X!$CP$9/500</f>
        <v>0.31</v>
      </c>
      <c r="M64" s="121">
        <f>35%+X!$CP$9/500</f>
        <v>0.36</v>
      </c>
      <c r="O64" s="2" t="s">
        <v>190</v>
      </c>
      <c r="Q64" s="121"/>
    </row>
    <row r="65" spans="1:17">
      <c r="B65" s="94" t="s">
        <v>76</v>
      </c>
      <c r="D65" s="7" t="s">
        <v>80</v>
      </c>
      <c r="F65" s="127" cm="1">
        <f t="array" ref="F65">INDEX(H65:M65,1,$K$31)</f>
        <v>5.2000000000000005E-2</v>
      </c>
      <c r="H65" s="121">
        <f>5%+X!$CP$12/1000</f>
        <v>5.2000000000000005E-2</v>
      </c>
      <c r="I65" s="121">
        <f>2%+X!$CP$12/1000</f>
        <v>2.1999999999999999E-2</v>
      </c>
      <c r="J65" s="121">
        <f>5%+X!$CP$12/1000</f>
        <v>5.2000000000000005E-2</v>
      </c>
      <c r="K65" s="121">
        <f>3%+X!$CP$12/1000</f>
        <v>3.2000000000000001E-2</v>
      </c>
      <c r="L65" s="121">
        <f>5%+X!$CP$12/1000</f>
        <v>5.2000000000000005E-2</v>
      </c>
      <c r="M65" s="121">
        <f>2%+X!$CP$12/1000</f>
        <v>2.1999999999999999E-2</v>
      </c>
      <c r="O65" s="2" t="s">
        <v>191</v>
      </c>
      <c r="Q65" s="121"/>
    </row>
    <row r="66" spans="1:17">
      <c r="B66" s="94" t="s">
        <v>84</v>
      </c>
      <c r="D66" s="7" t="s">
        <v>80</v>
      </c>
      <c r="F66" s="127" cm="1">
        <f t="array" ref="F66">INDEX(H66:M66,1,$K$31)</f>
        <v>0.125</v>
      </c>
      <c r="H66" s="121">
        <f>12%+X!$CP$13/200</f>
        <v>0.125</v>
      </c>
      <c r="I66" s="121">
        <f>10%+X!$CP$13/200</f>
        <v>0.10500000000000001</v>
      </c>
      <c r="J66" s="121">
        <f>12%+X!$CP$13/200</f>
        <v>0.125</v>
      </c>
      <c r="K66" s="121">
        <f>15%+X!$CP$13/200</f>
        <v>0.155</v>
      </c>
      <c r="L66" s="121">
        <f>12%+X!$CP$13/200</f>
        <v>0.125</v>
      </c>
      <c r="M66" s="121">
        <f>10%+X!$CP$13/200</f>
        <v>0.10500000000000001</v>
      </c>
      <c r="O66" s="2" t="s">
        <v>208</v>
      </c>
      <c r="Q66" s="121"/>
    </row>
    <row r="67" spans="1:17">
      <c r="B67" s="94" t="s">
        <v>1</v>
      </c>
      <c r="D67" s="7" t="s">
        <v>77</v>
      </c>
      <c r="F67" s="127" cm="1">
        <f t="array" ref="F67">INDEX(H67:M67,1,$K$31)</f>
        <v>0.42</v>
      </c>
      <c r="H67" s="121">
        <f>35%+X!$CP$14/200</f>
        <v>0.42</v>
      </c>
      <c r="I67" s="121">
        <f>35%+X!$CP$14/200</f>
        <v>0.42</v>
      </c>
      <c r="J67" s="121">
        <f>35%+X!$CP$14/200</f>
        <v>0.42</v>
      </c>
      <c r="K67" s="121">
        <f>35%+X!$CP$14/200</f>
        <v>0.42</v>
      </c>
      <c r="L67" s="121">
        <f>35%+X!$CP$14/200</f>
        <v>0.42</v>
      </c>
      <c r="M67" s="121">
        <f>35%+X!$CP$14/200</f>
        <v>0.42</v>
      </c>
      <c r="O67" s="2" t="s">
        <v>192</v>
      </c>
      <c r="Q67" s="121"/>
    </row>
    <row r="68" spans="1:17">
      <c r="B68" s="94" t="s">
        <v>222</v>
      </c>
      <c r="D68" s="7" t="s">
        <v>163</v>
      </c>
      <c r="F68" s="127" cm="1">
        <f t="array" ref="F68">INDEX(H68:M68,1,$K$31)</f>
        <v>0</v>
      </c>
      <c r="H68" s="121">
        <v>0</v>
      </c>
      <c r="I68" s="121">
        <v>0</v>
      </c>
      <c r="J68" s="121">
        <v>0</v>
      </c>
      <c r="K68" s="121">
        <v>0</v>
      </c>
      <c r="L68" s="121">
        <v>0</v>
      </c>
      <c r="M68" s="121">
        <v>1</v>
      </c>
      <c r="O68" s="2"/>
      <c r="Q68" s="121"/>
    </row>
    <row r="69" spans="1:17">
      <c r="B69" s="94" t="s">
        <v>200</v>
      </c>
      <c r="D69" s="7" t="str">
        <f>"Revenues "</f>
        <v xml:space="preserve">Revenues </v>
      </c>
      <c r="F69" s="127" cm="1">
        <f t="array" ref="F69">INDEX(H69:M69,1,$K$31)</f>
        <v>5.6000000000000001E-2</v>
      </c>
      <c r="H69" s="121">
        <f>4%+X!$CP$7/500</f>
        <v>5.6000000000000001E-2</v>
      </c>
      <c r="I69" s="121">
        <f>2%+X!$CP$7/500</f>
        <v>3.6000000000000004E-2</v>
      </c>
      <c r="J69" s="121">
        <f>8%+X!$CP$7/500</f>
        <v>9.6000000000000002E-2</v>
      </c>
      <c r="K69" s="121">
        <f>4%+X!$CP$7/500</f>
        <v>5.6000000000000001E-2</v>
      </c>
      <c r="L69" s="121">
        <f>4%+X!$CP$7/500</f>
        <v>5.6000000000000001E-2</v>
      </c>
      <c r="M69" s="121">
        <f>2%+X!$CP$7/500</f>
        <v>3.6000000000000004E-2</v>
      </c>
      <c r="O69" s="2" t="s">
        <v>82</v>
      </c>
      <c r="Q69" s="121"/>
    </row>
    <row r="70" spans="1:17">
      <c r="F70" s="96"/>
      <c r="O70" s="2"/>
    </row>
    <row r="71" spans="1:17">
      <c r="A71" s="104" t="str">
        <f ca="1">"In the grey cells below are Balance Sheet Ratios of "&amp;J31+1&amp; " Income Accounts and end of "&amp;J31&amp;" Balances.  You can assume these ratios continue."</f>
        <v>In the grey cells below are Balance Sheet Ratios of 2022 Income Accounts and end of 2021 Balances.  You can assume these ratios continue.</v>
      </c>
      <c r="F71" s="96"/>
      <c r="O71" s="2"/>
    </row>
    <row r="72" spans="1:17">
      <c r="A72" s="104"/>
      <c r="B72" s="106" t="s">
        <v>72</v>
      </c>
      <c r="C72" s="106"/>
      <c r="D72" s="106" t="s">
        <v>74</v>
      </c>
      <c r="F72" s="106" t="s">
        <v>81</v>
      </c>
      <c r="O72" s="2"/>
    </row>
    <row r="73" spans="1:17">
      <c r="B73" s="94" t="s">
        <v>78</v>
      </c>
      <c r="D73" s="7" t="s">
        <v>79</v>
      </c>
      <c r="F73" s="127" cm="1">
        <f t="array" ref="F73">INDEX(H73:M73,1,$K$31)</f>
        <v>6.2E-2</v>
      </c>
      <c r="H73" s="121">
        <f>4%+X!$CP$8/500</f>
        <v>6.2E-2</v>
      </c>
      <c r="I73" s="121">
        <f>4%+X!$CP$8/500</f>
        <v>6.2E-2</v>
      </c>
      <c r="J73" s="121">
        <f>4%+X!$CP$8/500</f>
        <v>6.2E-2</v>
      </c>
      <c r="K73" s="121">
        <f>4%+X!$CP$8/500</f>
        <v>6.2E-2</v>
      </c>
      <c r="L73" s="121">
        <f>4%+X!$CP$8/500</f>
        <v>6.2E-2</v>
      </c>
      <c r="M73" s="121">
        <f>4%+X!$CP$8/500</f>
        <v>6.2E-2</v>
      </c>
      <c r="O73" s="2" t="s">
        <v>196</v>
      </c>
      <c r="Q73" s="121"/>
    </row>
    <row r="74" spans="1:17">
      <c r="A74" s="90"/>
      <c r="B74" s="94" t="s">
        <v>87</v>
      </c>
      <c r="D74" s="7" t="s">
        <v>75</v>
      </c>
      <c r="F74" s="127" cm="1">
        <f t="array" ref="F74">INDEX(H74:M74,1,$K$31)</f>
        <v>0.02</v>
      </c>
      <c r="H74" s="119">
        <f>X!$CF$2/100</f>
        <v>0.02</v>
      </c>
      <c r="I74" s="119">
        <f>X!$CF$2/100</f>
        <v>0.02</v>
      </c>
      <c r="J74" s="119">
        <f>X!$CF$2/100</f>
        <v>0.02</v>
      </c>
      <c r="K74" s="119">
        <f>X!$CF$2/100</f>
        <v>0.02</v>
      </c>
      <c r="L74" s="119">
        <f>X!$CF$2/100</f>
        <v>0.02</v>
      </c>
      <c r="M74" s="119">
        <f>X!$CF$2/100</f>
        <v>0.02</v>
      </c>
      <c r="O74" s="2" t="s">
        <v>197</v>
      </c>
      <c r="Q74" s="119"/>
    </row>
    <row r="77" spans="1:17">
      <c r="A77" s="7" t="s">
        <v>206</v>
      </c>
    </row>
    <row r="79" spans="1:17">
      <c r="A79" s="90" t="str">
        <f ca="1">"You should first recreate the "&amp;J31+1&amp;" actual financial statements based on the information provided above."</f>
        <v>You should first recreate the 2022 actual financial statements based on the information provided above.</v>
      </c>
    </row>
    <row r="80" spans="1:17">
      <c r="A80" s="109" t="s">
        <v>90</v>
      </c>
    </row>
    <row r="81" spans="1:2">
      <c r="A81" s="109" t="s">
        <v>133</v>
      </c>
    </row>
    <row r="82" spans="1:2">
      <c r="A82" s="104" t="s">
        <v>88</v>
      </c>
    </row>
    <row r="83" spans="1:2">
      <c r="A83" s="90"/>
    </row>
    <row r="84" spans="1:2" ht="13.5" thickBot="1">
      <c r="A84" s="104" t="str">
        <f ca="1">"Set the below cell to the EBIT (Operating Income) in "&amp;$J$31+1&amp;" in your model."</f>
        <v>Set the below cell to the EBIT (Operating Income) in 2022 in your model.</v>
      </c>
    </row>
    <row r="85" spans="1:2" ht="13.5" thickBot="1">
      <c r="B85" s="118"/>
    </row>
    <row r="87" spans="1:2" ht="13.5" thickBot="1">
      <c r="A87" s="104" t="str">
        <f ca="1">"Set the below cell to the Net Income in "&amp;$J$31+1&amp;" in your model."</f>
        <v>Set the below cell to the Net Income in 2022 in your model.</v>
      </c>
    </row>
    <row r="88" spans="1:2" ht="13.5" thickBot="1">
      <c r="B88" s="118"/>
    </row>
    <row r="90" spans="1:2" ht="13.5" thickBot="1">
      <c r="A90" s="104" t="str">
        <f ca="1">"Set the below cell to the Cash Generated in "&amp;$J$31+1&amp;" in your model."</f>
        <v>Set the below cell to the Cash Generated in 2022 in your model.</v>
      </c>
    </row>
    <row r="91" spans="1:2" ht="13.5" thickBot="1">
      <c r="B91" s="118"/>
    </row>
    <row r="93" spans="1:2" ht="13.5" thickBot="1">
      <c r="A93" s="104" t="str">
        <f ca="1">"Set the below cell to the Cash at the end of "&amp;$J$31+1&amp;" in your model."</f>
        <v>Set the below cell to the Cash at the end of 2022 in your model.</v>
      </c>
    </row>
    <row r="94" spans="1:2" ht="13.5" thickBot="1">
      <c r="B94" s="118"/>
    </row>
    <row r="96" spans="1:2" ht="13.5" thickBot="1">
      <c r="A96" s="104" t="str">
        <f ca="1">"Set the below cell to the Accounts Receivable at the end of "&amp;$J$31+1&amp;" in your model."</f>
        <v>Set the below cell to the Accounts Receivable at the end of 2022 in your model.</v>
      </c>
    </row>
    <row r="97" spans="1:10" ht="13.5" thickBot="1">
      <c r="B97" s="118"/>
    </row>
    <row r="98" spans="1:10">
      <c r="J98" s="115"/>
    </row>
    <row r="99" spans="1:10" ht="13.5" thickBot="1">
      <c r="A99" s="104" t="str">
        <f ca="1">"Set the below cell to the PP&amp;E at the end of "&amp;$J$31+1&amp;" in your model."</f>
        <v>Set the below cell to the PP&amp;E at the end of 2022 in your model.</v>
      </c>
      <c r="J99" s="115"/>
    </row>
    <row r="100" spans="1:10" ht="13.5" thickBot="1">
      <c r="B100" s="118"/>
    </row>
    <row r="102" spans="1:10" ht="13.5" thickBot="1">
      <c r="A102" s="104" t="str">
        <f ca="1">"Set the below cell to the Equity at the end of "&amp;$J$31+1&amp;" in your model."</f>
        <v>Set the below cell to the Equity at the end of 2022 in your model.</v>
      </c>
      <c r="J102" s="115"/>
    </row>
    <row r="103" spans="1:10" ht="13.5" thickBot="1">
      <c r="B103" s="118"/>
    </row>
    <row r="104" spans="1:10">
      <c r="J104" s="115"/>
    </row>
    <row r="105" spans="1:10" ht="13.5" thickBot="1">
      <c r="A105" s="104" t="str">
        <f ca="1">"Set the below cell to the Return on Equity (ROE) for "&amp;$J$31+1&amp;" as the Net Income in "&amp;$J$31+1&amp;" divided by the Equity at the end of "&amp;$J$31+1&amp;"."</f>
        <v>Set the below cell to the Return on Equity (ROE) for 2022 as the Net Income in 2022 divided by the Equity at the end of 2022.</v>
      </c>
      <c r="J105" s="115"/>
    </row>
    <row r="106" spans="1:10" ht="13.5" thickBot="1">
      <c r="B106" s="143"/>
    </row>
    <row r="107" spans="1:10">
      <c r="J107" s="115"/>
    </row>
    <row r="108" spans="1:10">
      <c r="A108" s="7" t="str">
        <f ca="1">"You need to develop a forecast for "&amp;$J$31+2&amp;" based on the information above:"</f>
        <v>You need to develop a forecast for 2023 based on the information above:</v>
      </c>
      <c r="J108" s="115"/>
    </row>
    <row r="109" spans="1:10">
      <c r="A109" s="112" t="str">
        <f ca="1">"Assume that the above Income Statement and Balance Sheet Ratios continue into "&amp;J31+2&amp;" ."</f>
        <v>Assume that the above Income Statement and Balance Sheet Ratios continue into 2023 .</v>
      </c>
      <c r="J109" s="115"/>
    </row>
    <row r="110" spans="1:10">
      <c r="A110" s="104" t="str">
        <f ca="1">"For accounts that accumulate over time (e.g. Equity, PP&amp;E, Cash) you formulas for "&amp;J31+2&amp;" should be based on the results of calculation for "&amp;J31+1&amp;" you created above."</f>
        <v>For accounts that accumulate over time (e.g. Equity, PP&amp;E, Cash) you formulas for 2023 should be based on the results of calculation for 2022 you created above.</v>
      </c>
      <c r="J110" s="115"/>
    </row>
    <row r="111" spans="1:10">
      <c r="A111" s="109" t="s">
        <v>90</v>
      </c>
      <c r="J111" s="115"/>
    </row>
    <row r="112" spans="1:10">
      <c r="A112" s="104" t="s">
        <v>88</v>
      </c>
      <c r="J112" s="115"/>
    </row>
    <row r="113" spans="1:10">
      <c r="J113" s="115"/>
    </row>
    <row r="114" spans="1:10" ht="13.5" thickBot="1">
      <c r="A114" s="104" t="str">
        <f ca="1">"Set the below cell to the EBIT (Operating Income) in "&amp;$J$31+2&amp;" in your model."</f>
        <v>Set the below cell to the EBIT (Operating Income) in 2023 in your model.</v>
      </c>
      <c r="J114" s="115"/>
    </row>
    <row r="115" spans="1:10" ht="13.5" thickBot="1">
      <c r="B115" s="118"/>
    </row>
    <row r="117" spans="1:10" ht="13.5" thickBot="1">
      <c r="A117" s="104" t="str">
        <f ca="1">"Set the below cell to the Net Income in "&amp;$J$31+2&amp;" in your model."</f>
        <v>Set the below cell to the Net Income in 2023 in your model.</v>
      </c>
    </row>
    <row r="118" spans="1:10" ht="13.5" thickBot="1">
      <c r="B118" s="118"/>
    </row>
    <row r="120" spans="1:10" ht="13.5" thickBot="1">
      <c r="A120" s="104" t="str">
        <f ca="1">"Set the below cell to the Cash Generated in "&amp;$J$31+2&amp;" in your model."</f>
        <v>Set the below cell to the Cash Generated in 2023 in your model.</v>
      </c>
    </row>
    <row r="121" spans="1:10" ht="13.5" thickBot="1">
      <c r="B121" s="118"/>
    </row>
    <row r="122" spans="1:10">
      <c r="J122" s="93"/>
    </row>
    <row r="123" spans="1:10" ht="13.5" thickBot="1">
      <c r="A123" s="104" t="str">
        <f ca="1">"Set the below cell to the Net Cash at the end of "&amp;$J$31+2&amp;" in your model."</f>
        <v>Set the below cell to the Net Cash at the end of 2023 in your model.</v>
      </c>
      <c r="J123" s="93"/>
    </row>
    <row r="124" spans="1:10" ht="13.5" thickBot="1">
      <c r="B124" s="118"/>
    </row>
    <row r="125" spans="1:10">
      <c r="J125" s="115"/>
    </row>
    <row r="126" spans="1:10" ht="13.5" thickBot="1">
      <c r="A126" s="104" t="str">
        <f ca="1">"Set the below cell to the PP&amp;E at the end of "&amp;$J$31+2&amp;" in your model."</f>
        <v>Set the below cell to the PP&amp;E at the end of 2023 in your model.</v>
      </c>
      <c r="J126" s="115"/>
    </row>
    <row r="127" spans="1:10" ht="13.5" thickBot="1">
      <c r="B127" s="118"/>
    </row>
    <row r="128" spans="1:10">
      <c r="J128" s="115"/>
    </row>
    <row r="129" spans="1:10" ht="13.5" thickBot="1">
      <c r="A129" s="104" t="str">
        <f ca="1">"Set the below cell to the Equity at the end of "&amp;$J$31+2&amp;" in your model."</f>
        <v>Set the below cell to the Equity at the end of 2023 in your model.</v>
      </c>
      <c r="J129" s="115"/>
    </row>
    <row r="130" spans="1:10" ht="13.5" thickBot="1">
      <c r="B130" s="118"/>
    </row>
    <row r="149" spans="1:1">
      <c r="A149" s="7">
        <v>1</v>
      </c>
    </row>
  </sheetData>
  <sheetProtection algorithmName="SHA-512" hashValue="DruCWLK5CYs6/OOvi7NHnwuhcHq5Wpy2rn0APVBmtTmAtMBVh8FUiD6e3QL4efWikc9WT/G5SK9EE4tdzGOy9w==" saltValue="kbGJj3L1H6kuYNWaGaVSRQ==" spinCount="100000" sheet="1" objects="1" scenarios="1"/>
  <sortState xmlns:xlrd2="http://schemas.microsoft.com/office/spreadsheetml/2017/richdata2" ref="A71:AX74">
    <sortCondition ref="B71:B74"/>
  </sortState>
  <phoneticPr fontId="48" type="noConversion"/>
  <conditionalFormatting sqref="A149:XFD149">
    <cfRule type="expression" dxfId="34" priority="1">
      <formula>$A149=1</formula>
    </cfRule>
  </conditionalFormatting>
  <conditionalFormatting sqref="O52:T74">
    <cfRule type="expression" dxfId="19" priority="117">
      <formula>$B$17="No Template"</formula>
    </cfRule>
  </conditionalFormatting>
  <dataValidations count="2">
    <dataValidation type="list" allowBlank="1" showInputMessage="1" showErrorMessage="1" sqref="F52" xr:uid="{0871677D-1FD2-6A4C-8AEB-186D435A741B}">
      <formula1>$H$52:$M$52</formula1>
    </dataValidation>
    <dataValidation type="list" allowBlank="1" showInputMessage="1" showErrorMessage="1" sqref="B17" xr:uid="{D15F72EC-16E9-9442-8CB1-8477064D1AB7}">
      <formula1>$W$1:$X$1</formula1>
    </dataValidation>
  </dataValidations>
  <pageMargins left="0.7" right="0.7" top="0.75" bottom="0.75" header="0.3" footer="0.3"/>
  <pageSetup scale="96" fitToHeight="10" orientation="landscape" r:id="rId1"/>
  <headerFooter>
    <oddFooter>&amp;L&amp;"Helvetica,Regular"&amp;K000000© All rights reserved, 2019, Marianne Wolk &amp; Richard Horwitz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BA1ACB6-FDB1-234C-8789-159CE42059E7}">
            <xm:f>X!$CC$17="Template"</xm:f>
            <x14:dxf>
              <font>
                <color theme="0"/>
              </font>
              <numFmt numFmtId="174" formatCode=";;;"/>
              <fill>
                <patternFill>
                  <bgColor theme="0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A77:XFD133</xm:sqref>
        </x14:conditionalFormatting>
        <x14:conditionalFormatting xmlns:xm="http://schemas.microsoft.com/office/excel/2006/main">
          <x14:cfRule type="expression" priority="29" id="{00000000-000E-0000-0100-000009000000}">
            <xm:f>AND($B85&lt;&gt;"",$B85&lt;&gt;X!$CK23)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B85</xm:sqref>
        </x14:conditionalFormatting>
        <x14:conditionalFormatting xmlns:xm="http://schemas.microsoft.com/office/excel/2006/main">
          <x14:cfRule type="expression" priority="30" id="{00000000-000E-0000-0100-000009000000}">
            <xm:f>AND($B88&lt;&gt;"",$B88&lt;&gt;X!$CK24)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B88</xm:sqref>
        </x14:conditionalFormatting>
        <x14:conditionalFormatting xmlns:xm="http://schemas.microsoft.com/office/excel/2006/main">
          <x14:cfRule type="expression" priority="31" id="{00000000-000E-0000-0100-000009000000}">
            <xm:f>AND($B91&lt;&gt;"",$B91&lt;&gt;X!$CK25)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B91</xm:sqref>
        </x14:conditionalFormatting>
        <x14:conditionalFormatting xmlns:xm="http://schemas.microsoft.com/office/excel/2006/main">
          <x14:cfRule type="expression" priority="32" id="{00000000-000E-0000-0100-000009000000}">
            <xm:f>AND($B94&lt;&gt;"",$B94&lt;&gt;X!$CK26)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B94</xm:sqref>
        </x14:conditionalFormatting>
        <x14:conditionalFormatting xmlns:xm="http://schemas.microsoft.com/office/excel/2006/main">
          <x14:cfRule type="expression" priority="46" id="{00000000-000E-0000-0100-000002000000}">
            <xm:f>AND($B97&lt;&gt;"",$B97&lt;&gt;X!$CK27)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B97</xm:sqref>
        </x14:conditionalFormatting>
        <x14:conditionalFormatting xmlns:xm="http://schemas.microsoft.com/office/excel/2006/main">
          <x14:cfRule type="expression" priority="47" id="{00000000-000E-0000-0100-000009000000}">
            <xm:f>AND($B100&lt;&gt;"",$B100&lt;&gt;X!$CK28)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B100</xm:sqref>
        </x14:conditionalFormatting>
        <x14:conditionalFormatting xmlns:xm="http://schemas.microsoft.com/office/excel/2006/main">
          <x14:cfRule type="expression" priority="48" id="{00000000-000E-0000-0100-000009000000}">
            <xm:f>AND($B103&lt;&gt;"",$B103&lt;&gt;X!$CK29)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B103</xm:sqref>
        </x14:conditionalFormatting>
        <x14:conditionalFormatting xmlns:xm="http://schemas.microsoft.com/office/excel/2006/main">
          <x14:cfRule type="expression" priority="4" id="{06C4AE35-36BE-E642-B84C-EAEF488C0149}">
            <xm:f>AND($B106&lt;&gt;"",$B106&lt;&gt;X!$CK30)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B106</xm:sqref>
        </x14:conditionalFormatting>
        <x14:conditionalFormatting xmlns:xm="http://schemas.microsoft.com/office/excel/2006/main">
          <x14:cfRule type="expression" priority="49" id="{00000000-000E-0000-0100-000009000000}">
            <xm:f>AND($B115&lt;&gt;"",$B115&lt;&gt;X!$CK31)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B115</xm:sqref>
        </x14:conditionalFormatting>
        <x14:conditionalFormatting xmlns:xm="http://schemas.microsoft.com/office/excel/2006/main">
          <x14:cfRule type="expression" priority="50" id="{00000000-000E-0000-0100-000009000000}">
            <xm:f>AND($B118&lt;&gt;"",$B118&lt;&gt;X!$CK32)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B118</xm:sqref>
        </x14:conditionalFormatting>
        <x14:conditionalFormatting xmlns:xm="http://schemas.microsoft.com/office/excel/2006/main">
          <x14:cfRule type="expression" priority="51" id="{00000000-000E-0000-0100-000009000000}">
            <xm:f>AND($B121&lt;&gt;"",$B121&lt;&gt;X!$CK33)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B121</xm:sqref>
        </x14:conditionalFormatting>
        <x14:conditionalFormatting xmlns:xm="http://schemas.microsoft.com/office/excel/2006/main">
          <x14:cfRule type="expression" priority="52" id="{00000000-000E-0000-0100-000009000000}">
            <xm:f>AND($B124&lt;&gt;"",$B124&lt;&gt;X!$CK34)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B124</xm:sqref>
        </x14:conditionalFormatting>
        <x14:conditionalFormatting xmlns:xm="http://schemas.microsoft.com/office/excel/2006/main">
          <x14:cfRule type="expression" priority="53" id="{00000000-000E-0000-0100-000002000000}">
            <xm:f>AND($B127&lt;&gt;"",$B127&lt;&gt;X!$CK35)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B127</xm:sqref>
        </x14:conditionalFormatting>
        <x14:conditionalFormatting xmlns:xm="http://schemas.microsoft.com/office/excel/2006/main">
          <x14:cfRule type="expression" priority="54" id="{00000000-000E-0000-0100-000009000000}">
            <xm:f>AND($B130&lt;&gt;"",$B130&lt;&gt;X!$CK36)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50"/>
  <sheetViews>
    <sheetView topLeftCell="A9" zoomScale="115" zoomScaleNormal="115" workbookViewId="0">
      <selection activeCell="F16" sqref="F16"/>
    </sheetView>
  </sheetViews>
  <sheetFormatPr defaultColWidth="10.875" defaultRowHeight="12.75"/>
  <cols>
    <col min="1" max="24" width="10.875" style="10"/>
    <col min="25" max="25" width="10.875" style="10" customWidth="1"/>
    <col min="26" max="26" width="10.875" style="13" customWidth="1"/>
    <col min="27" max="52" width="10.875" style="21" customWidth="1"/>
    <col min="53" max="53" width="10.875" style="13"/>
    <col min="54" max="16384" width="10.875" style="10"/>
  </cols>
  <sheetData>
    <row r="1" spans="1:53" s="7" customFormat="1" ht="18.75">
      <c r="A1" s="6" t="s">
        <v>70</v>
      </c>
      <c r="H1" s="8" t="s">
        <v>238</v>
      </c>
      <c r="Z1" s="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9"/>
    </row>
    <row r="2" spans="1:53" s="7" customFormat="1">
      <c r="A2" s="4" t="s">
        <v>71</v>
      </c>
      <c r="H2" s="8"/>
      <c r="Z2" s="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9"/>
    </row>
    <row r="3" spans="1:53" s="7" customFormat="1">
      <c r="A3" s="2" t="s">
        <v>239</v>
      </c>
      <c r="Z3" s="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9"/>
    </row>
    <row r="4" spans="1:53" s="7" customFormat="1">
      <c r="A4" s="5" t="str">
        <f ca="1">"Sheet: "&amp;MID(CELL("filename",A1),FIND("]",CELL("filename",A1))+1,255)</f>
        <v>Sheet: MODEL Income Statement</v>
      </c>
      <c r="Z4" s="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9"/>
    </row>
    <row r="5" spans="1:53">
      <c r="L5" s="11"/>
    </row>
    <row r="6" spans="1:53">
      <c r="A6" s="83" t="s">
        <v>95</v>
      </c>
    </row>
    <row r="7" spans="1:53">
      <c r="A7" s="83"/>
    </row>
    <row r="8" spans="1:53">
      <c r="A8" s="83"/>
    </row>
    <row r="9" spans="1:53" s="83" customFormat="1" ht="17.100000000000001" customHeight="1">
      <c r="B9" s="12"/>
    </row>
    <row r="10" spans="1:53" s="83" customFormat="1" ht="17.100000000000001" customHeight="1"/>
    <row r="11" spans="1:53" s="83" customFormat="1" ht="17.100000000000001" customHeight="1"/>
    <row r="12" spans="1:53" s="83" customFormat="1" ht="17.100000000000001" customHeight="1"/>
    <row r="13" spans="1:53" s="83" customFormat="1" ht="17.100000000000001" customHeight="1"/>
    <row r="14" spans="1:53" s="83" customFormat="1" ht="17.100000000000001" customHeight="1"/>
    <row r="15" spans="1:53" s="83" customFormat="1" ht="17.100000000000001" customHeight="1"/>
    <row r="16" spans="1:53" s="92" customFormat="1" ht="17.100000000000001" customHeight="1">
      <c r="B16" s="91"/>
      <c r="G16" s="93"/>
      <c r="H16" s="93"/>
      <c r="I16" s="93"/>
      <c r="J16" s="93"/>
      <c r="K16" s="93"/>
      <c r="L16" s="93"/>
      <c r="M16" s="93"/>
      <c r="N16" s="93"/>
    </row>
    <row r="17" spans="1:14" s="92" customFormat="1" ht="17.100000000000001" customHeight="1">
      <c r="A17" s="12"/>
      <c r="G17" s="93"/>
      <c r="H17" s="93"/>
      <c r="I17" s="93"/>
      <c r="J17" s="93"/>
      <c r="K17" s="93"/>
      <c r="L17" s="93"/>
      <c r="M17" s="93"/>
      <c r="N17" s="93"/>
    </row>
    <row r="18" spans="1:14" s="92" customFormat="1" ht="17.100000000000001" customHeight="1">
      <c r="A18" s="83"/>
      <c r="G18" s="93"/>
      <c r="H18" s="93"/>
      <c r="I18" s="93"/>
      <c r="J18" s="93"/>
      <c r="K18" s="93"/>
      <c r="L18" s="93"/>
      <c r="M18" s="93"/>
      <c r="N18" s="93"/>
    </row>
    <row r="19" spans="1:14" s="92" customFormat="1" ht="17.100000000000001" customHeight="1">
      <c r="A19" s="83"/>
      <c r="G19" s="93"/>
      <c r="H19" s="93"/>
      <c r="I19" s="93"/>
      <c r="J19" s="93"/>
      <c r="K19" s="93"/>
      <c r="L19" s="93"/>
      <c r="M19" s="93"/>
      <c r="N19" s="93"/>
    </row>
    <row r="20" spans="1:14" s="92" customFormat="1" ht="17.100000000000001" customHeight="1">
      <c r="A20" s="83"/>
      <c r="G20" s="93"/>
      <c r="H20" s="93"/>
      <c r="I20" s="93"/>
      <c r="J20" s="93"/>
      <c r="K20" s="93"/>
      <c r="L20" s="93"/>
      <c r="M20" s="93"/>
      <c r="N20" s="93"/>
    </row>
    <row r="21" spans="1:14" s="92" customFormat="1" ht="17.100000000000001" customHeight="1">
      <c r="A21" s="83"/>
      <c r="G21" s="93"/>
      <c r="H21" s="93"/>
      <c r="I21" s="93"/>
      <c r="J21" s="93"/>
      <c r="K21" s="93"/>
      <c r="L21" s="93"/>
      <c r="M21" s="93"/>
      <c r="N21" s="93"/>
    </row>
    <row r="22" spans="1:14" s="92" customFormat="1" ht="17.100000000000001" customHeight="1">
      <c r="G22" s="93"/>
      <c r="H22" s="93"/>
      <c r="I22" s="93"/>
      <c r="J22" s="93"/>
      <c r="K22" s="93"/>
      <c r="L22" s="93"/>
      <c r="M22" s="93"/>
      <c r="N22" s="93"/>
    </row>
    <row r="23" spans="1:14" s="92" customFormat="1" ht="17.100000000000001" customHeight="1">
      <c r="B23" s="83"/>
      <c r="G23" s="93"/>
      <c r="H23" s="93"/>
      <c r="I23" s="93"/>
      <c r="J23" s="93"/>
      <c r="K23" s="93"/>
      <c r="L23" s="93"/>
      <c r="M23" s="93"/>
      <c r="N23" s="93"/>
    </row>
    <row r="24" spans="1:14" s="92" customFormat="1" ht="17.100000000000001" customHeight="1">
      <c r="B24" s="83"/>
      <c r="G24" s="93"/>
      <c r="H24" s="93"/>
      <c r="I24" s="93"/>
      <c r="J24" s="93"/>
      <c r="K24" s="93"/>
      <c r="L24" s="93"/>
      <c r="M24" s="93"/>
      <c r="N24" s="93"/>
    </row>
    <row r="25" spans="1:14" s="92" customFormat="1" ht="17.100000000000001" customHeight="1">
      <c r="B25" s="83"/>
      <c r="G25" s="93"/>
      <c r="H25" s="93"/>
      <c r="I25" s="93"/>
      <c r="J25" s="93"/>
      <c r="K25" s="93"/>
      <c r="L25" s="93"/>
      <c r="M25" s="93"/>
      <c r="N25" s="93"/>
    </row>
    <row r="26" spans="1:14" s="92" customFormat="1" ht="17.100000000000001" customHeight="1">
      <c r="B26" s="91"/>
      <c r="C26" s="83"/>
      <c r="D26" s="83"/>
      <c r="G26" s="93"/>
      <c r="H26" s="93"/>
      <c r="I26" s="93"/>
      <c r="J26" s="93"/>
      <c r="K26" s="93"/>
      <c r="L26" s="93"/>
      <c r="M26" s="93"/>
      <c r="N26" s="93"/>
    </row>
    <row r="27" spans="1:14" s="92" customFormat="1" ht="17.100000000000001" customHeight="1">
      <c r="B27" s="91"/>
      <c r="C27" s="83"/>
      <c r="D27" s="83"/>
      <c r="G27" s="93"/>
      <c r="H27" s="93"/>
      <c r="I27" s="93"/>
      <c r="J27" s="93"/>
      <c r="K27" s="93"/>
      <c r="L27" s="93"/>
      <c r="M27" s="93"/>
      <c r="N27" s="93"/>
    </row>
    <row r="28" spans="1:14" s="92" customFormat="1" ht="17.100000000000001" customHeight="1">
      <c r="B28" s="91"/>
      <c r="C28" s="83"/>
      <c r="D28" s="83"/>
      <c r="G28" s="93"/>
      <c r="H28" s="93"/>
      <c r="I28" s="93"/>
      <c r="J28" s="93"/>
      <c r="K28" s="93"/>
      <c r="L28" s="93"/>
      <c r="M28" s="93"/>
      <c r="N28" s="93"/>
    </row>
    <row r="29" spans="1:14" s="92" customFormat="1" ht="17.100000000000001" customHeight="1">
      <c r="A29" s="83"/>
      <c r="B29" s="91"/>
      <c r="G29" s="93"/>
      <c r="H29" s="93"/>
      <c r="I29" s="93"/>
      <c r="J29" s="93"/>
      <c r="K29" s="93"/>
      <c r="L29" s="93"/>
      <c r="M29" s="93"/>
      <c r="N29" s="93"/>
    </row>
    <row r="30" spans="1:14" s="92" customFormat="1" ht="17.100000000000001" customHeight="1">
      <c r="B30" s="91"/>
      <c r="G30" s="93"/>
      <c r="H30" s="93"/>
      <c r="I30" s="93"/>
      <c r="J30" s="93"/>
      <c r="K30" s="93"/>
      <c r="L30" s="93"/>
      <c r="M30" s="93"/>
      <c r="N30" s="93"/>
    </row>
    <row r="31" spans="1:14" s="92" customFormat="1" ht="17.100000000000001" customHeight="1">
      <c r="B31" s="91"/>
      <c r="G31" s="93"/>
      <c r="H31" s="93"/>
      <c r="I31" s="93"/>
      <c r="J31" s="93"/>
      <c r="K31" s="93"/>
      <c r="L31" s="93"/>
      <c r="M31" s="93"/>
      <c r="N31" s="93"/>
    </row>
    <row r="32" spans="1:14" s="92" customFormat="1" ht="17.100000000000001" customHeight="1">
      <c r="B32" s="91"/>
      <c r="G32" s="93"/>
      <c r="H32" s="93"/>
      <c r="I32" s="93"/>
      <c r="J32" s="93"/>
      <c r="K32" s="93"/>
      <c r="L32" s="93"/>
      <c r="M32" s="93"/>
      <c r="N32" s="93"/>
    </row>
    <row r="33" spans="1:53" s="92" customFormat="1" ht="17.100000000000001" customHeight="1">
      <c r="B33" s="91"/>
      <c r="G33" s="93"/>
      <c r="H33" s="93"/>
      <c r="I33" s="93"/>
      <c r="J33" s="93"/>
      <c r="K33" s="93"/>
      <c r="L33" s="93"/>
      <c r="M33" s="93"/>
      <c r="N33" s="93"/>
    </row>
    <row r="34" spans="1:53" s="92" customFormat="1" ht="17.100000000000001" customHeight="1">
      <c r="B34" s="91"/>
      <c r="G34" s="93"/>
      <c r="H34" s="93"/>
      <c r="I34" s="93"/>
      <c r="J34" s="93"/>
      <c r="K34" s="93"/>
      <c r="L34" s="93"/>
      <c r="M34" s="93"/>
      <c r="N34" s="93"/>
    </row>
    <row r="35" spans="1:53" s="73" customFormat="1">
      <c r="A35" s="74"/>
      <c r="Z35" s="13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3" s="73" customFormat="1">
      <c r="A36" s="75" t="s">
        <v>20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Z36" s="13"/>
      <c r="AA36" s="16"/>
      <c r="AB36" s="16"/>
      <c r="AC36" s="16"/>
      <c r="AD36" s="16"/>
      <c r="AE36" s="16" t="b">
        <v>1</v>
      </c>
      <c r="AF36" s="16" t="b">
        <v>0</v>
      </c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13"/>
    </row>
    <row r="37" spans="1:53" s="73" customFormat="1" ht="13.5" thickBot="1">
      <c r="Z37" s="13"/>
      <c r="AA37" s="16"/>
      <c r="AB37" s="16"/>
      <c r="AC37" s="16"/>
      <c r="AD37" s="16"/>
      <c r="AE37" s="16"/>
      <c r="AF37" s="16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13"/>
    </row>
    <row r="38" spans="1:53" s="73" customFormat="1" ht="13.5" thickBot="1">
      <c r="A38" s="1" t="b">
        <v>1</v>
      </c>
      <c r="B38" s="4" t="e">
        <f>INDEX(X!$CK$25:$CL$36,X!CH25,X!CI25+1)</f>
        <v>#VALUE!</v>
      </c>
      <c r="Z38" s="13"/>
      <c r="AA38" s="16">
        <f>IFERROR(IF(A38="",0,IF(A38=IF(X!CI25=0,TRUE,FALSE),AB38,0)),0)</f>
        <v>1</v>
      </c>
      <c r="AB38" s="16">
        <v>1</v>
      </c>
      <c r="AC38" s="16"/>
      <c r="AD38" s="16"/>
      <c r="AE38" s="16"/>
      <c r="AF38" s="16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13"/>
    </row>
    <row r="39" spans="1:53" s="73" customFormat="1" ht="13.5" thickBot="1">
      <c r="A39" s="1" t="b">
        <v>0</v>
      </c>
      <c r="B39" s="4" t="e">
        <f>INDEX(X!$CK$25:$CL$36,X!CH26,X!CI26+1)</f>
        <v>#VALUE!</v>
      </c>
      <c r="C39" s="13"/>
      <c r="Z39" s="13"/>
      <c r="AA39" s="16">
        <f>IFERROR(IF(A39="",0,IF(A39=IF(X!CI26=0,TRUE,FALSE),AB39,0)),0)</f>
        <v>0</v>
      </c>
      <c r="AB39" s="16">
        <v>1</v>
      </c>
      <c r="AC39" s="16"/>
      <c r="AD39" s="16"/>
      <c r="AE39" s="16"/>
      <c r="AF39" s="16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13"/>
    </row>
    <row r="40" spans="1:53" s="73" customFormat="1" ht="13.5" thickBot="1">
      <c r="A40" s="1" t="b">
        <v>0</v>
      </c>
      <c r="B40" s="4" t="e">
        <f>INDEX(X!$CK$25:$CL$36,X!CH28,X!CI28+1)</f>
        <v>#VALUE!</v>
      </c>
      <c r="Z40" s="13"/>
      <c r="AA40" s="16">
        <f>IFERROR(IF(A40="",0,IF(A40=IF(X!CI28=0,TRUE,FALSE),AB40,0)),0)</f>
        <v>0</v>
      </c>
      <c r="AB40" s="16">
        <v>1</v>
      </c>
      <c r="AC40" s="16"/>
      <c r="AD40" s="16"/>
      <c r="AE40" s="16"/>
      <c r="AF40" s="16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13"/>
    </row>
    <row r="41" spans="1:53" s="73" customFormat="1" ht="13.5" thickBot="1">
      <c r="A41" s="1" t="b">
        <v>1</v>
      </c>
      <c r="B41" s="4" t="e">
        <f>INDEX(X!$CK$25:$CL$36,X!CH29,X!CI29+1)</f>
        <v>#VALUE!</v>
      </c>
      <c r="C41" s="13"/>
      <c r="Z41" s="13"/>
      <c r="AA41" s="16">
        <f>IFERROR(IF(A41="",0,IF(A41=IF(X!CI29=0,TRUE,FALSE),AB41,0)),0)</f>
        <v>1</v>
      </c>
      <c r="AB41" s="16">
        <v>1</v>
      </c>
      <c r="AC41" s="16"/>
      <c r="AD41" s="16"/>
      <c r="AE41" s="16"/>
      <c r="AF41" s="16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13"/>
    </row>
    <row r="42" spans="1:53" s="73" customFormat="1" ht="13.5" thickBot="1">
      <c r="A42" s="1" t="b">
        <v>0</v>
      </c>
      <c r="B42" s="4" t="e">
        <f>INDEX(X!$CK$25:$CL$36,X!CH31,X!CI31+1)</f>
        <v>#VALUE!</v>
      </c>
      <c r="C42" s="13"/>
      <c r="Z42" s="13"/>
      <c r="AA42" s="16">
        <f>IFERROR(IF(A42="",0,IF(A42=IF(X!CI31=0,TRUE,FALSE),AB42,0)),0)</f>
        <v>0</v>
      </c>
      <c r="AB42" s="16">
        <v>1</v>
      </c>
      <c r="AC42" s="16"/>
      <c r="AD42" s="16"/>
      <c r="AE42" s="16"/>
      <c r="AF42" s="16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3"/>
    </row>
    <row r="43" spans="1:53" s="73" customFormat="1" ht="13.5" thickBot="1">
      <c r="A43" s="1" t="b">
        <v>0</v>
      </c>
      <c r="B43" s="4" t="e">
        <f>INDEX(X!$CK$25:$CL$36,X!CH32,X!CI32+1)</f>
        <v>#VALUE!</v>
      </c>
      <c r="C43" s="14"/>
      <c r="Z43" s="13"/>
      <c r="AA43" s="16">
        <f>IFERROR(IF(A43="",0,IF(A43=IF(X!CI32=0,TRUE,FALSE),AB43,0)),0)</f>
        <v>0</v>
      </c>
      <c r="AB43" s="16">
        <v>1</v>
      </c>
      <c r="AC43" s="16"/>
      <c r="AD43" s="16"/>
      <c r="AE43" s="16"/>
      <c r="AF43" s="16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13"/>
    </row>
    <row r="44" spans="1:53" s="73" customFormat="1" ht="13.5" thickBot="1">
      <c r="A44" s="1" t="b">
        <v>1</v>
      </c>
      <c r="B44" s="4" t="e">
        <f>INDEX(X!$CK$25:$CL$36,X!CH33,X!CI33+1)</f>
        <v>#VALUE!</v>
      </c>
      <c r="Z44" s="13"/>
      <c r="AA44" s="16">
        <f>IFERROR(IF(A44="",0,IF(A44=IF(X!CI33=0,TRUE,FALSE),AB44,0)),0)</f>
        <v>1</v>
      </c>
      <c r="AB44" s="16">
        <v>1</v>
      </c>
      <c r="AC44" s="16"/>
      <c r="AD44" s="16"/>
      <c r="AE44" s="16"/>
      <c r="AF44" s="16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13"/>
    </row>
    <row r="45" spans="1:53" s="73" customFormat="1" ht="13.5" thickBot="1">
      <c r="A45" s="1" t="b">
        <v>1</v>
      </c>
      <c r="B45" s="4" t="e">
        <f>INDEX(X!$CK$25:$CL$36,X!CH34,X!CI34+1)</f>
        <v>#VALUE!</v>
      </c>
      <c r="Z45" s="13"/>
      <c r="AA45" s="16">
        <f>IFERROR(IF(A45="",0,IF(A45=IF(X!CI34=0,TRUE,FALSE),AB45,0)),0)</f>
        <v>1</v>
      </c>
      <c r="AB45" s="16">
        <v>1</v>
      </c>
      <c r="AC45" s="16"/>
      <c r="AD45" s="16"/>
      <c r="AE45" s="16"/>
      <c r="AF45" s="16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13"/>
    </row>
    <row r="46" spans="1:53" s="73" customFormat="1" ht="13.5" thickBot="1">
      <c r="A46" s="1" t="b">
        <v>1</v>
      </c>
      <c r="B46" s="4" t="e">
        <f>INDEX(X!$CK$25:$CL$36,X!CH35,X!CI35+1)</f>
        <v>#VALUE!</v>
      </c>
      <c r="Z46" s="13"/>
      <c r="AA46" s="16">
        <f>IFERROR(IF(A46="",0,IF(A46=IF(X!CI35=0,TRUE,FALSE),AB46,0)),0)</f>
        <v>1</v>
      </c>
      <c r="AB46" s="16">
        <v>1</v>
      </c>
      <c r="AC46" s="16"/>
      <c r="AD46" s="16"/>
      <c r="AE46" s="16"/>
      <c r="AF46" s="16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13"/>
    </row>
    <row r="47" spans="1:53" s="73" customFormat="1" ht="13.5" thickBot="1">
      <c r="A47" s="1" t="b">
        <v>0</v>
      </c>
      <c r="B47" s="4" t="e">
        <f>INDEX(X!$CK$25:$CL$36,X!CH36,X!CI36+1)</f>
        <v>#VALUE!</v>
      </c>
      <c r="Z47" s="13"/>
      <c r="AA47" s="16">
        <f>IFERROR(IF(A47="",0,IF(A47=IF(X!CI36=0,TRUE,FALSE),AB47,0)),0)</f>
        <v>0</v>
      </c>
      <c r="AB47" s="16">
        <v>1</v>
      </c>
      <c r="AC47" s="16"/>
      <c r="AD47" s="16"/>
      <c r="AE47" s="16"/>
      <c r="AF47" s="16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13"/>
    </row>
    <row r="48" spans="1:53" s="73" customFormat="1">
      <c r="A48" s="77"/>
      <c r="B48" s="78"/>
      <c r="Z48" s="13"/>
      <c r="AA48" s="16"/>
      <c r="AB48" s="16"/>
      <c r="AC48" s="16"/>
      <c r="AD48" s="16"/>
      <c r="AE48" s="16"/>
      <c r="AF48" s="16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13"/>
    </row>
    <row r="49" spans="27:36" s="15" customFormat="1" ht="15.75">
      <c r="AA49" s="79"/>
      <c r="AB49" s="79"/>
      <c r="AC49" s="79"/>
      <c r="AD49" s="79"/>
      <c r="AE49" s="79"/>
      <c r="AF49" s="79"/>
      <c r="AG49" s="79"/>
      <c r="AH49" s="79"/>
      <c r="AI49" s="79"/>
      <c r="AJ49" s="79"/>
    </row>
    <row r="50" spans="27:36">
      <c r="AA50" s="80"/>
      <c r="AB50" s="80"/>
      <c r="AC50" s="80"/>
      <c r="AD50" s="80"/>
      <c r="AE50" s="80"/>
      <c r="AF50" s="80"/>
      <c r="AG50" s="80"/>
      <c r="AH50" s="80"/>
      <c r="AI50" s="80"/>
      <c r="AJ50" s="80"/>
    </row>
  </sheetData>
  <dataValidations count="1">
    <dataValidation type="list" allowBlank="1" showInputMessage="1" showErrorMessage="1" sqref="A38:A47" xr:uid="{3D2D92E5-18ED-EA45-ACCB-48886A466E27}">
      <formula1>$AE$36:$AF$36</formula1>
    </dataValidation>
  </dataValidations>
  <pageMargins left="0.7" right="0.7" top="0.75" bottom="0.75" header="0.3" footer="0.3"/>
  <pageSetup scale="96" fitToHeight="10" orientation="landscape" r:id="rId1"/>
  <headerFooter>
    <oddFooter>&amp;L&amp;"Helvetica,Regular"&amp;K000000© All rights reserved, 2019, Marianne Wolk &amp; Richard Horwitz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B1F9-A872-B943-9DFC-D95E91E2E01A}">
  <sheetPr published="0"/>
  <dimension ref="A1:BA6"/>
  <sheetViews>
    <sheetView workbookViewId="0">
      <selection activeCell="A3" sqref="A3"/>
    </sheetView>
  </sheetViews>
  <sheetFormatPr defaultColWidth="11" defaultRowHeight="15.75"/>
  <sheetData>
    <row r="1" spans="1:53" s="7" customFormat="1" ht="18.75">
      <c r="A1" s="6" t="s">
        <v>70</v>
      </c>
      <c r="H1" s="8" t="s">
        <v>238</v>
      </c>
      <c r="Z1" s="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9"/>
    </row>
    <row r="2" spans="1:53" s="7" customFormat="1" ht="12.75">
      <c r="A2" s="4" t="s">
        <v>71</v>
      </c>
      <c r="H2" s="8"/>
      <c r="Z2" s="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9"/>
    </row>
    <row r="3" spans="1:53" s="7" customFormat="1" ht="12.75">
      <c r="A3" s="2" t="s">
        <v>239</v>
      </c>
      <c r="Z3" s="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9"/>
    </row>
    <row r="4" spans="1:53" s="7" customFormat="1" ht="12.75">
      <c r="A4" s="5" t="str">
        <f ca="1">"Sheet: "&amp;MID(CELL("filename",A1),FIND("]",CELL("filename",A1))+1,255)</f>
        <v>Sheet: MODEL Balance Sheet</v>
      </c>
      <c r="Z4" s="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9"/>
    </row>
    <row r="6" spans="1:53">
      <c r="A6" s="8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FD16-1B13-ED45-AF76-F3F68BF35FCE}">
  <sheetPr published="0"/>
  <dimension ref="A1:BA6"/>
  <sheetViews>
    <sheetView workbookViewId="0">
      <selection activeCell="A3" sqref="A3"/>
    </sheetView>
  </sheetViews>
  <sheetFormatPr defaultColWidth="11" defaultRowHeight="15.75"/>
  <sheetData>
    <row r="1" spans="1:53" s="7" customFormat="1" ht="18.75">
      <c r="A1" s="6" t="s">
        <v>70</v>
      </c>
      <c r="H1" s="8" t="s">
        <v>238</v>
      </c>
      <c r="Z1" s="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9"/>
    </row>
    <row r="2" spans="1:53" s="7" customFormat="1" ht="12.75">
      <c r="A2" s="4" t="s">
        <v>71</v>
      </c>
      <c r="H2" s="8"/>
      <c r="Z2" s="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9"/>
    </row>
    <row r="3" spans="1:53" s="7" customFormat="1" ht="12.75">
      <c r="A3" s="2" t="s">
        <v>239</v>
      </c>
      <c r="Z3" s="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9"/>
    </row>
    <row r="4" spans="1:53" s="7" customFormat="1" ht="12.75">
      <c r="A4" s="5" t="str">
        <f ca="1">"Sheet: "&amp;MID(CELL("filename",A1),FIND("]",CELL("filename",A1))+1,255)</f>
        <v>Sheet: MODEL Cash Flow Statement</v>
      </c>
      <c r="Z4" s="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9"/>
    </row>
    <row r="6" spans="1:53">
      <c r="A6" s="110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2A8D-66EE-AB40-BD61-6D9A48F018AB}">
  <sheetPr published="0"/>
  <dimension ref="A1:BA44"/>
  <sheetViews>
    <sheetView topLeftCell="A10" zoomScale="116" workbookViewId="0">
      <selection activeCell="E27" sqref="E27"/>
    </sheetView>
  </sheetViews>
  <sheetFormatPr defaultColWidth="11" defaultRowHeight="15.75"/>
  <cols>
    <col min="1" max="1" width="21.125" customWidth="1"/>
    <col min="6" max="6" width="6.625" customWidth="1"/>
  </cols>
  <sheetData>
    <row r="1" spans="1:53" s="7" customFormat="1" ht="18.75">
      <c r="A1" s="6" t="s">
        <v>70</v>
      </c>
      <c r="H1" s="8" t="s">
        <v>238</v>
      </c>
      <c r="Z1" s="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9"/>
    </row>
    <row r="2" spans="1:53" s="7" customFormat="1" ht="12.75">
      <c r="A2" s="4" t="s">
        <v>71</v>
      </c>
      <c r="H2" s="8"/>
      <c r="Z2" s="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9"/>
    </row>
    <row r="3" spans="1:53" s="7" customFormat="1" ht="12.75">
      <c r="A3" s="2" t="s">
        <v>239</v>
      </c>
      <c r="Z3" s="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9"/>
    </row>
    <row r="4" spans="1:53" s="7" customFormat="1" ht="12.75">
      <c r="A4" s="5" t="str">
        <f ca="1">"Sheet: "&amp;MID(CELL("filename",A1),FIND("]",CELL("filename",A1))+1,255)</f>
        <v>Sheet: MODEL Template</v>
      </c>
      <c r="Z4" s="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9"/>
    </row>
    <row r="6" spans="1:53">
      <c r="A6" t="s">
        <v>202</v>
      </c>
    </row>
    <row r="7" spans="1:53">
      <c r="A7" t="str">
        <f>"If you want to use this template you must change Cell B"&amp;ROW('Develop Model'!B17)&amp;" on the 'Develop Model' Sheet to 'Template' to activate this template."</f>
        <v>If you want to use this template you must change Cell B17 on the 'Develop Model' Sheet to 'Template' to activate this template.</v>
      </c>
    </row>
    <row r="8" spans="1:53">
      <c r="A8" t="s">
        <v>203</v>
      </c>
    </row>
    <row r="9" spans="1:53">
      <c r="A9" t="s">
        <v>169</v>
      </c>
    </row>
    <row r="10" spans="1:53">
      <c r="A10" t="s">
        <v>170</v>
      </c>
    </row>
    <row r="12" spans="1:53">
      <c r="B12" s="130">
        <f ca="1">'Scratch Sheet'!B28</f>
        <v>2021</v>
      </c>
      <c r="C12" s="130">
        <f ca="1">'Scratch Sheet'!C28</f>
        <v>2022</v>
      </c>
      <c r="D12" s="130">
        <f ca="1">'Scratch Sheet'!D28</f>
        <v>2023</v>
      </c>
      <c r="E12" s="130">
        <f ca="1">'Scratch Sheet'!E28</f>
        <v>2024</v>
      </c>
    </row>
    <row r="13" spans="1:53">
      <c r="B13" s="160" t="s">
        <v>171</v>
      </c>
      <c r="C13" s="160" t="s">
        <v>171</v>
      </c>
      <c r="D13" s="160" t="s">
        <v>172</v>
      </c>
      <c r="E13" s="160" t="s">
        <v>172</v>
      </c>
    </row>
    <row r="14" spans="1:53" ht="16.5" thickBot="1">
      <c r="A14" s="94" t="s">
        <v>83</v>
      </c>
    </row>
    <row r="15" spans="1:53" ht="16.5" thickBot="1">
      <c r="A15" s="104" t="s">
        <v>80</v>
      </c>
      <c r="B15" s="174">
        <f>C15/(1+'Develop Model'!F63)</f>
        <v>193.61084220716361</v>
      </c>
      <c r="C15" s="175">
        <v>200</v>
      </c>
      <c r="D15" s="176">
        <f>C15+(C15*'Develop Model'!F63)</f>
        <v>206.6</v>
      </c>
      <c r="E15" s="176">
        <f>D15+(D15*'Develop Model'!F63)</f>
        <v>213.4178</v>
      </c>
      <c r="G15" s="172" t="s">
        <v>209</v>
      </c>
    </row>
    <row r="16" spans="1:53" ht="16.5" thickBot="1">
      <c r="A16" s="104" t="s">
        <v>219</v>
      </c>
      <c r="B16" s="174">
        <f>B15*(1-'Develop Model'!$F$64)</f>
        <v>133.59148112294289</v>
      </c>
      <c r="C16" s="176">
        <f>C15*(1-'Develop Model'!$F$64)</f>
        <v>138</v>
      </c>
      <c r="D16" s="176">
        <f>D15*(1-'Develop Model'!$F$64)</f>
        <v>142.55399999999997</v>
      </c>
      <c r="E16" s="176">
        <f>E15*(1-'Develop Model'!$F$64)</f>
        <v>147.25828199999998</v>
      </c>
      <c r="G16" s="172" t="s">
        <v>225</v>
      </c>
    </row>
    <row r="17" spans="1:7" ht="16.5" thickBot="1">
      <c r="A17" s="104" t="s">
        <v>207</v>
      </c>
      <c r="B17" s="174"/>
      <c r="C17" s="176">
        <f>C15*('Develop Model'!F64)</f>
        <v>62</v>
      </c>
      <c r="D17" s="176">
        <f>D15*('Develop Model'!F64)</f>
        <v>64.045999999999992</v>
      </c>
      <c r="E17" s="176">
        <f>E15*('Develop Model'!F64)</f>
        <v>66.159518000000006</v>
      </c>
      <c r="G17" s="172" t="s">
        <v>210</v>
      </c>
    </row>
    <row r="18" spans="1:7" ht="16.5" thickBot="1">
      <c r="A18" s="104" t="s">
        <v>188</v>
      </c>
      <c r="B18" s="174"/>
      <c r="C18" s="180">
        <f>('Develop Model'!F65*'MODEL Template'!C15)</f>
        <v>10.4</v>
      </c>
      <c r="D18" s="176">
        <f>('Develop Model'!F65*'MODEL Template'!D15)</f>
        <v>10.7432</v>
      </c>
      <c r="E18" s="176">
        <f>('Develop Model'!F65*'MODEL Template'!E15)</f>
        <v>11.0977256</v>
      </c>
      <c r="G18" s="172" t="s">
        <v>211</v>
      </c>
    </row>
    <row r="19" spans="1:7" ht="16.5" thickBot="1">
      <c r="A19" s="104" t="s">
        <v>189</v>
      </c>
      <c r="B19" s="174"/>
      <c r="C19" s="176">
        <f>('Develop Model'!F66*'MODEL Template'!C15)</f>
        <v>25</v>
      </c>
      <c r="D19" s="176">
        <f>('Develop Model'!F66*'MODEL Template'!D15)</f>
        <v>25.824999999999999</v>
      </c>
      <c r="E19" s="176">
        <f>('Develop Model'!F66*'MODEL Template'!E15)</f>
        <v>26.677225</v>
      </c>
      <c r="G19" s="172" t="s">
        <v>212</v>
      </c>
    </row>
    <row r="20" spans="1:7" ht="16.5" thickBot="1">
      <c r="A20" s="104" t="s">
        <v>99</v>
      </c>
      <c r="B20" s="174"/>
      <c r="C20" s="176">
        <f>C17-C18-C19</f>
        <v>26.6</v>
      </c>
      <c r="D20" s="176">
        <f>D17-D18-D19</f>
        <v>27.477799999999991</v>
      </c>
      <c r="E20" s="176">
        <f>E17-E18-E19</f>
        <v>28.384567400000002</v>
      </c>
      <c r="G20" s="172" t="s">
        <v>213</v>
      </c>
    </row>
    <row r="21" spans="1:7" ht="16.5" thickBot="1">
      <c r="A21" s="104" t="s">
        <v>112</v>
      </c>
      <c r="B21" s="174"/>
      <c r="C21" s="176">
        <f>('Develop Model'!F54-'Develop Model'!F58)*'Develop Model'!F74</f>
        <v>0.24800000000000003</v>
      </c>
      <c r="D21" s="180">
        <f>(C27-C31)*'Develop Model'!F74</f>
        <v>0.39670080000000002</v>
      </c>
      <c r="E21" s="176">
        <f>(D27-D31)*'Develop Model'!F74</f>
        <v>0.55963044127999995</v>
      </c>
      <c r="G21" s="172" t="s">
        <v>220</v>
      </c>
    </row>
    <row r="22" spans="1:7" ht="16.5" thickBot="1">
      <c r="A22" s="104" t="s">
        <v>162</v>
      </c>
      <c r="B22" s="174"/>
      <c r="C22" s="180">
        <f>C20+C21</f>
        <v>26.848000000000003</v>
      </c>
      <c r="D22" s="180">
        <f>D20+D21</f>
        <v>27.874500799999993</v>
      </c>
      <c r="E22" s="176">
        <f>E20+E21</f>
        <v>28.944197841280001</v>
      </c>
      <c r="G22" s="172" t="s">
        <v>214</v>
      </c>
    </row>
    <row r="23" spans="1:7" ht="16.5" thickBot="1">
      <c r="A23" s="104" t="s">
        <v>217</v>
      </c>
      <c r="B23" s="174"/>
      <c r="C23" s="176">
        <f>C22*'Develop Model'!F67</f>
        <v>11.276160000000001</v>
      </c>
      <c r="D23" s="180">
        <f>D22*'Develop Model'!F67</f>
        <v>11.707290335999996</v>
      </c>
      <c r="E23" s="176">
        <f>E22*'Develop Model'!F67</f>
        <v>12.156563093337599</v>
      </c>
      <c r="G23" s="172" t="s">
        <v>215</v>
      </c>
    </row>
    <row r="24" spans="1:7" ht="16.5" thickBot="1">
      <c r="A24" s="104" t="s">
        <v>163</v>
      </c>
      <c r="B24" s="174"/>
      <c r="C24" s="176">
        <f>C22-C23</f>
        <v>15.571840000000002</v>
      </c>
      <c r="D24" s="180">
        <f>D22-D23</f>
        <v>16.167210463999997</v>
      </c>
      <c r="E24" s="176">
        <f>E22-E23</f>
        <v>16.787634747942402</v>
      </c>
      <c r="G24" s="172" t="s">
        <v>216</v>
      </c>
    </row>
    <row r="25" spans="1:7">
      <c r="A25" s="7"/>
      <c r="B25" s="174"/>
      <c r="C25" s="174"/>
      <c r="D25" s="174"/>
      <c r="E25" s="174"/>
      <c r="G25" s="172"/>
    </row>
    <row r="26" spans="1:7" ht="16.5" thickBot="1">
      <c r="A26" s="94" t="s">
        <v>4</v>
      </c>
      <c r="B26" s="174"/>
      <c r="C26" s="174"/>
      <c r="D26" s="174"/>
      <c r="E26" s="174"/>
      <c r="G26" s="172"/>
    </row>
    <row r="27" spans="1:7" ht="16.5" thickBot="1">
      <c r="A27" s="104" t="s">
        <v>9</v>
      </c>
      <c r="B27" s="176">
        <f>'Develop Model'!F54</f>
        <v>12.4</v>
      </c>
      <c r="C27" s="176">
        <f>B27+C42</f>
        <v>19.835039999999999</v>
      </c>
      <c r="D27" s="176">
        <f>C27+D42</f>
        <v>27.981522063999996</v>
      </c>
      <c r="E27" s="176">
        <f>D27+E42</f>
        <v>36.844486042742403</v>
      </c>
      <c r="G27" s="172"/>
    </row>
    <row r="28" spans="1:7" ht="16.5" thickBot="1">
      <c r="A28" s="104" t="s">
        <v>5</v>
      </c>
      <c r="B28" s="176">
        <f>'Develop Model'!F55</f>
        <v>20</v>
      </c>
      <c r="C28" s="176">
        <f>B28+(B28*'Develop Model'!F63)</f>
        <v>20.66</v>
      </c>
      <c r="D28" s="176">
        <f>C28+(C28*'Develop Model'!F63)</f>
        <v>21.34178</v>
      </c>
      <c r="E28" s="176">
        <f>D28+(D28*'Develop Model'!F63)</f>
        <v>22.046058739999999</v>
      </c>
      <c r="G28" s="172" t="s">
        <v>235</v>
      </c>
    </row>
    <row r="29" spans="1:7" ht="16.5" thickBot="1">
      <c r="A29" s="104" t="s">
        <v>79</v>
      </c>
      <c r="B29" s="176">
        <f>'Develop Model'!F56</f>
        <v>52.6</v>
      </c>
      <c r="C29" s="176">
        <f>B29+(C15*('Develop Model'!F69))-('Develop Model'!F73*B29)</f>
        <v>60.538800000000002</v>
      </c>
      <c r="D29" s="176">
        <f>C29+(D15*('Develop Model'!F69))-('Develop Model'!F73*C29)</f>
        <v>68.35499440000001</v>
      </c>
      <c r="E29" s="176">
        <f>D29+(E15*('Develop Model'!F69))-('Develop Model'!F73*D29)</f>
        <v>76.068381547200005</v>
      </c>
      <c r="G29" s="172" t="s">
        <v>193</v>
      </c>
    </row>
    <row r="30" spans="1:7" ht="16.5" thickBot="1">
      <c r="A30" s="104" t="s">
        <v>6</v>
      </c>
      <c r="B30" s="173">
        <f>'Develop Model'!F57</f>
        <v>14</v>
      </c>
      <c r="C30" s="176">
        <f>C16/(B16/B30)</f>
        <v>14.462</v>
      </c>
      <c r="D30" s="176">
        <f>D16/(C16/C30)</f>
        <v>14.939245999999997</v>
      </c>
      <c r="E30" s="176">
        <f>E16/(D16/D30)</f>
        <v>15.432241117999999</v>
      </c>
      <c r="G30" s="172" t="s">
        <v>236</v>
      </c>
    </row>
    <row r="31" spans="1:7" ht="16.5" thickBot="1">
      <c r="A31" s="104" t="s">
        <v>7</v>
      </c>
      <c r="B31" s="176">
        <f>'Develop Model'!F58</f>
        <v>0</v>
      </c>
      <c r="C31" s="176">
        <f>'Develop Model'!F58</f>
        <v>0</v>
      </c>
      <c r="D31" s="176">
        <f>'Develop Model'!F58</f>
        <v>0</v>
      </c>
      <c r="E31" s="176">
        <f>'Develop Model'!F58</f>
        <v>0</v>
      </c>
      <c r="G31" s="172"/>
    </row>
    <row r="32" spans="1:7" ht="16.5" thickBot="1">
      <c r="A32" s="104" t="s">
        <v>8</v>
      </c>
      <c r="B32" s="176">
        <f>'Develop Model'!F59</f>
        <v>51.8</v>
      </c>
      <c r="C32" s="176">
        <f>B32+C24+C41</f>
        <v>67.371839999999992</v>
      </c>
      <c r="D32" s="176">
        <f>(C32+D24)+D41</f>
        <v>83.539050463999985</v>
      </c>
      <c r="E32" s="176">
        <f>D32+E24+E41</f>
        <v>100.32668521194239</v>
      </c>
      <c r="G32" s="172" t="s">
        <v>230</v>
      </c>
    </row>
    <row r="33" spans="1:7">
      <c r="A33" s="7"/>
      <c r="B33" s="174"/>
      <c r="C33" s="174"/>
      <c r="D33" s="174"/>
      <c r="E33" s="174"/>
      <c r="G33" s="172"/>
    </row>
    <row r="34" spans="1:7" ht="16.5" thickBot="1">
      <c r="A34" s="94" t="s">
        <v>10</v>
      </c>
      <c r="B34" s="174"/>
      <c r="C34" s="174"/>
      <c r="D34" s="174"/>
      <c r="E34" s="174"/>
      <c r="G34" s="172"/>
    </row>
    <row r="35" spans="1:7" ht="16.5" thickBot="1">
      <c r="A35" s="104" t="s">
        <v>163</v>
      </c>
      <c r="B35" s="174"/>
      <c r="C35" s="176">
        <f>C24</f>
        <v>15.571840000000002</v>
      </c>
      <c r="D35" s="176">
        <f>D24</f>
        <v>16.167210463999997</v>
      </c>
      <c r="E35" s="176">
        <f>E24</f>
        <v>16.787634747942402</v>
      </c>
      <c r="G35" s="172" t="s">
        <v>226</v>
      </c>
    </row>
    <row r="36" spans="1:7" ht="16.5" thickBot="1">
      <c r="A36" s="104" t="s">
        <v>3</v>
      </c>
      <c r="B36" s="174"/>
      <c r="C36" s="176">
        <f>B29*'Develop Model'!F73</f>
        <v>3.2612000000000001</v>
      </c>
      <c r="D36" s="176">
        <f>C29*'Develop Model'!F73</f>
        <v>3.7534056000000002</v>
      </c>
      <c r="E36" s="176">
        <f>D29*'Develop Model'!F73</f>
        <v>4.2380096528000006</v>
      </c>
      <c r="G36" s="172" t="s">
        <v>229</v>
      </c>
    </row>
    <row r="37" spans="1:7" ht="16.5" thickBot="1">
      <c r="A37" s="104" t="s">
        <v>164</v>
      </c>
      <c r="B37" s="174"/>
      <c r="C37" s="174">
        <f>C38+C39</f>
        <v>-0.1980000000000004</v>
      </c>
      <c r="D37" s="174">
        <f t="shared" ref="D37:E37" si="0">D38+D39</f>
        <v>-0.20453400000000244</v>
      </c>
      <c r="E37" s="174">
        <f t="shared" si="0"/>
        <v>-0.21128362199999806</v>
      </c>
      <c r="G37" s="172"/>
    </row>
    <row r="38" spans="1:7" ht="16.5" thickBot="1">
      <c r="A38" s="161" t="s">
        <v>186</v>
      </c>
      <c r="B38" s="174"/>
      <c r="C38" s="176">
        <f>B28-C28</f>
        <v>-0.66000000000000014</v>
      </c>
      <c r="D38" s="176">
        <f>C28-D28</f>
        <v>-0.68177999999999983</v>
      </c>
      <c r="E38" s="176">
        <f>D28-E28</f>
        <v>-0.70427873999999946</v>
      </c>
      <c r="G38" s="172" t="s">
        <v>227</v>
      </c>
    </row>
    <row r="39" spans="1:7" ht="16.5" thickBot="1">
      <c r="A39" s="161" t="s">
        <v>187</v>
      </c>
      <c r="B39" s="174"/>
      <c r="C39" s="176">
        <f>C30-B30</f>
        <v>0.46199999999999974</v>
      </c>
      <c r="D39" s="176">
        <f>D30-C30</f>
        <v>0.47724599999999739</v>
      </c>
      <c r="E39" s="176">
        <f>E30-D30</f>
        <v>0.4929951180000014</v>
      </c>
      <c r="G39" s="172" t="s">
        <v>228</v>
      </c>
    </row>
    <row r="40" spans="1:7" ht="16.5" thickBot="1">
      <c r="A40" s="104" t="s">
        <v>195</v>
      </c>
      <c r="B40" s="174"/>
      <c r="C40" s="176">
        <f>-C15*'Develop Model'!F69</f>
        <v>-11.200000000000001</v>
      </c>
      <c r="D40" s="176">
        <f>-D15*'Develop Model'!F69</f>
        <v>-11.569599999999999</v>
      </c>
      <c r="E40" s="176">
        <f>-E15*'Develop Model'!F69</f>
        <v>-11.951396799999999</v>
      </c>
      <c r="G40" s="172" t="s">
        <v>221</v>
      </c>
    </row>
    <row r="41" spans="1:7" ht="16.5" thickBot="1">
      <c r="A41" s="104" t="s">
        <v>123</v>
      </c>
      <c r="B41" s="174"/>
      <c r="C41" s="176">
        <f>-C24*'Develop Model'!F68</f>
        <v>0</v>
      </c>
      <c r="D41" s="176">
        <f>-D24*'Develop Model'!F68</f>
        <v>0</v>
      </c>
      <c r="E41" s="176">
        <f>-E24*'Develop Model'!F68</f>
        <v>0</v>
      </c>
      <c r="G41" s="172" t="s">
        <v>224</v>
      </c>
    </row>
    <row r="42" spans="1:7" ht="16.5" thickBot="1">
      <c r="A42" s="104" t="s">
        <v>165</v>
      </c>
      <c r="B42" s="174"/>
      <c r="C42" s="176">
        <f>SUM(C35+C36+C37+C40+C41)</f>
        <v>7.435039999999999</v>
      </c>
      <c r="D42" s="176">
        <f>SUM(D35+D36+D37+D40+D41)</f>
        <v>8.1464820639999953</v>
      </c>
      <c r="E42" s="176">
        <f>SUM(E24+E36+E37+E40+E41)</f>
        <v>8.862963978742405</v>
      </c>
      <c r="G42" s="172" t="s">
        <v>245</v>
      </c>
    </row>
    <row r="43" spans="1:7" ht="16.5" thickBot="1">
      <c r="A43" s="7"/>
      <c r="B43" s="174"/>
      <c r="C43" s="174"/>
      <c r="D43" s="174"/>
      <c r="E43" s="174"/>
      <c r="G43" s="172"/>
    </row>
    <row r="44" spans="1:7" ht="16.5" thickBot="1">
      <c r="A44" s="94" t="s">
        <v>166</v>
      </c>
      <c r="B44" s="174"/>
      <c r="C44" s="177">
        <f>C35/B32</f>
        <v>0.30061467181467189</v>
      </c>
      <c r="D44" s="177">
        <f>D35/C32</f>
        <v>0.23996985185501835</v>
      </c>
      <c r="E44" s="177">
        <f>E35/D32</f>
        <v>0.20095553701770652</v>
      </c>
      <c r="G44" s="172" t="s">
        <v>218</v>
      </c>
    </row>
  </sheetData>
  <sheetProtection algorithmName="SHA-512" hashValue="vNgcO9hjKnqDmrwjf5hucCNaTq6KC0eKZ9TIy24DYkZntzvH/LPq6TubXVBNxbB4k4+uNLvOFS2Ul8PAbh0lnA==" saltValue="D3FR8KGBLJsOma9hsWurQw==" spinCount="100000" sheet="1" objects="1" scenarios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E57C6EF-742A-2B4B-8EB4-3F7DB5BBF031}">
            <xm:f>'Develop Model'!$B$17="No Template"</xm:f>
            <x14:dxf>
              <font>
                <color theme="0"/>
              </font>
              <numFmt numFmtId="173" formatCode="\:"/>
              <fill>
                <patternFill>
                  <bgColor theme="0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A17:C20 A12:XFD16 A21:XFD77 D19:F19 D20:G20 D17:XFD18 G15:G44 H19:XFD19 I20:XFD20</xm:sqref>
        </x14:conditionalFormatting>
        <x14:conditionalFormatting xmlns:xm="http://schemas.microsoft.com/office/excel/2006/main">
          <x14:cfRule type="expression" priority="69" id="{581A9A7D-FBA9-9846-90F6-F1179F03FA81}">
            <xm:f>AND(B15&lt;&gt;"",X!C75=0)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B27:B32 C15:E15 C20:E44</xm:sqref>
        </x14:conditionalFormatting>
        <x14:conditionalFormatting xmlns:xm="http://schemas.microsoft.com/office/excel/2006/main">
          <x14:cfRule type="expression" priority="152" id="{581A9A7D-FBA9-9846-90F6-F1179F03FA81}">
            <xm:f>AND(C15&lt;&gt;"",X!D75=0)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C16:E19</xm:sqref>
        </x14:conditionalFormatting>
        <x14:conditionalFormatting xmlns:xm="http://schemas.microsoft.com/office/excel/2006/main">
          <x14:cfRule type="expression" priority="101" id="{581A9A7D-FBA9-9846-90F6-F1179F03FA81}">
            <xm:f>AND(C38&lt;&gt;"",X!D100=0)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C38:E39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A76"/>
  <sheetViews>
    <sheetView topLeftCell="A46" zoomScale="138" zoomScaleNormal="138" workbookViewId="0">
      <selection activeCell="F60" sqref="F60"/>
    </sheetView>
  </sheetViews>
  <sheetFormatPr defaultColWidth="10.875" defaultRowHeight="15.75"/>
  <cols>
    <col min="1" max="2" width="10.875" style="81" customWidth="1"/>
    <col min="3" max="4" width="10.875" style="81"/>
    <col min="5" max="5" width="10.875" style="81" customWidth="1"/>
    <col min="6" max="6" width="10.875" style="97" customWidth="1"/>
    <col min="7" max="11" width="10.875" style="100" customWidth="1"/>
    <col min="12" max="25" width="10.875" style="15" customWidth="1"/>
    <col min="26" max="26" width="10.875" style="17" customWidth="1"/>
    <col min="27" max="29" width="10.875" style="21" customWidth="1"/>
    <col min="30" max="30" width="10.5" style="21" customWidth="1"/>
    <col min="31" max="44" width="10.875" style="21" customWidth="1"/>
    <col min="45" max="45" width="10.875" style="22" customWidth="1"/>
    <col min="46" max="52" width="10.875" style="21" customWidth="1"/>
    <col min="53" max="53" width="10.875" style="13"/>
    <col min="54" max="16384" width="10.875" style="81"/>
  </cols>
  <sheetData>
    <row r="1" spans="1:53" s="7" customFormat="1" ht="18.75">
      <c r="A1" s="6" t="s">
        <v>70</v>
      </c>
      <c r="F1" s="97"/>
      <c r="G1" s="8" t="s">
        <v>238</v>
      </c>
      <c r="H1" s="101" t="s">
        <v>0</v>
      </c>
      <c r="I1" s="100"/>
      <c r="J1" s="100"/>
      <c r="K1" s="100"/>
      <c r="Z1" s="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9"/>
    </row>
    <row r="2" spans="1:53" s="7" customFormat="1" ht="12.75">
      <c r="A2" s="4" t="s">
        <v>71</v>
      </c>
      <c r="F2" s="97"/>
      <c r="G2" s="100"/>
      <c r="H2" s="101"/>
      <c r="I2" s="100"/>
      <c r="J2" s="100"/>
      <c r="K2" s="100"/>
      <c r="Z2" s="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9"/>
    </row>
    <row r="3" spans="1:53" s="7" customFormat="1" ht="12.75">
      <c r="A3" s="2" t="s">
        <v>239</v>
      </c>
      <c r="F3" s="97"/>
      <c r="G3" s="100"/>
      <c r="H3" s="100"/>
      <c r="I3" s="100"/>
      <c r="J3" s="100"/>
      <c r="K3" s="100"/>
      <c r="Z3" s="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9"/>
    </row>
    <row r="4" spans="1:53" s="7" customFormat="1" ht="12.75">
      <c r="A4" s="5" t="str">
        <f ca="1">"Sheet: "&amp;MID(CELL("filename",A1),FIND("]",CELL("filename",A1))+1,255)</f>
        <v>Sheet: Analyze Using Model</v>
      </c>
      <c r="F4" s="97"/>
      <c r="G4" s="100"/>
      <c r="H4" s="100"/>
      <c r="I4" s="100"/>
      <c r="J4" s="100"/>
      <c r="K4" s="100"/>
      <c r="Z4" s="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9"/>
    </row>
    <row r="5" spans="1:53">
      <c r="AS5" s="21"/>
      <c r="AZ5" s="22"/>
    </row>
    <row r="6" spans="1:53">
      <c r="A6" s="83" t="s">
        <v>130</v>
      </c>
      <c r="F6" s="98"/>
      <c r="G6" s="102"/>
      <c r="H6" s="102"/>
      <c r="W6" s="21"/>
      <c r="X6" s="21"/>
      <c r="Y6" s="21"/>
      <c r="Z6" s="21"/>
      <c r="AA6" s="22"/>
      <c r="AB6" s="13"/>
      <c r="AC6" s="81"/>
      <c r="AD6" s="81"/>
      <c r="AE6" s="81"/>
      <c r="AF6" s="81"/>
    </row>
    <row r="7" spans="1:53">
      <c r="A7" s="83" t="s">
        <v>173</v>
      </c>
      <c r="F7" s="98"/>
      <c r="G7" s="102"/>
      <c r="H7" s="102"/>
      <c r="W7" s="21"/>
      <c r="X7" s="21"/>
      <c r="Y7" s="21"/>
      <c r="Z7" s="21"/>
      <c r="AA7" s="22"/>
      <c r="AB7" s="13"/>
      <c r="AC7" s="81"/>
      <c r="AD7" s="81"/>
      <c r="AE7" s="81"/>
      <c r="AF7" s="81"/>
    </row>
    <row r="8" spans="1:53">
      <c r="A8" s="83" t="s">
        <v>131</v>
      </c>
      <c r="F8" s="98"/>
      <c r="G8" s="102"/>
      <c r="H8" s="102"/>
      <c r="W8" s="21"/>
      <c r="X8" s="21"/>
      <c r="Y8" s="21"/>
      <c r="Z8" s="21"/>
      <c r="AA8" s="22"/>
      <c r="AB8" s="13"/>
      <c r="AC8" s="81"/>
      <c r="AD8" s="81"/>
      <c r="AE8" s="81"/>
      <c r="AF8" s="81"/>
    </row>
    <row r="9" spans="1:53" s="124" customFormat="1" ht="12.75">
      <c r="A9" s="124" t="s">
        <v>132</v>
      </c>
    </row>
    <row r="10" spans="1:53" s="124" customFormat="1" ht="12.75">
      <c r="A10" s="133" t="s">
        <v>127</v>
      </c>
    </row>
    <row r="11" spans="1:53" s="124" customFormat="1" ht="12.75">
      <c r="A11" s="133" t="s">
        <v>128</v>
      </c>
    </row>
    <row r="12" spans="1:53" s="124" customFormat="1" ht="12.75">
      <c r="A12" s="133" t="s">
        <v>129</v>
      </c>
    </row>
    <row r="13" spans="1:53">
      <c r="F13" s="99"/>
      <c r="G13" s="103"/>
      <c r="H13" s="102"/>
      <c r="W13" s="21"/>
      <c r="X13" s="21"/>
      <c r="Y13" s="21"/>
      <c r="Z13" s="21"/>
      <c r="AB13" s="13"/>
      <c r="AC13" s="81"/>
      <c r="AD13" s="81"/>
      <c r="AE13" s="81"/>
      <c r="AF13" s="81"/>
    </row>
    <row r="14" spans="1:53">
      <c r="B14" s="83"/>
      <c r="F14" s="98"/>
      <c r="G14" s="102"/>
      <c r="H14" s="102"/>
      <c r="W14" s="21"/>
      <c r="X14" s="21"/>
      <c r="Y14" s="21"/>
      <c r="Z14" s="21"/>
      <c r="AB14" s="13"/>
      <c r="AC14" s="81"/>
      <c r="AD14" s="81"/>
      <c r="AE14" s="81"/>
      <c r="AF14" s="81"/>
    </row>
    <row r="15" spans="1:53">
      <c r="B15" s="83"/>
      <c r="F15" s="98"/>
      <c r="G15" s="102"/>
      <c r="H15" s="102"/>
      <c r="W15" s="21"/>
      <c r="X15" s="21"/>
      <c r="Y15" s="21"/>
      <c r="Z15" s="21"/>
      <c r="AB15" s="13"/>
      <c r="AC15" s="81"/>
      <c r="AD15" s="81"/>
      <c r="AE15" s="81"/>
      <c r="AF15" s="81"/>
    </row>
    <row r="16" spans="1:53">
      <c r="F16" s="98"/>
      <c r="G16" s="102"/>
      <c r="H16" s="102"/>
      <c r="W16" s="21"/>
      <c r="X16" s="21"/>
      <c r="Y16" s="21"/>
      <c r="Z16" s="21"/>
      <c r="AB16" s="13"/>
      <c r="AC16" s="81"/>
      <c r="AD16" s="81"/>
      <c r="AE16" s="81"/>
      <c r="AF16" s="81"/>
    </row>
    <row r="17" spans="6:52" s="83" customFormat="1">
      <c r="F17" s="97"/>
      <c r="G17" s="100"/>
      <c r="H17" s="100"/>
      <c r="I17" s="100"/>
      <c r="J17" s="100"/>
      <c r="K17" s="10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114"/>
      <c r="AT17" s="84"/>
      <c r="AU17" s="84"/>
      <c r="AV17" s="84"/>
      <c r="AW17" s="84"/>
      <c r="AX17" s="84"/>
      <c r="AY17" s="84"/>
      <c r="AZ17" s="84"/>
    </row>
    <row r="18" spans="6:52" s="83" customFormat="1">
      <c r="F18" s="97"/>
      <c r="G18" s="100"/>
      <c r="H18" s="100"/>
      <c r="I18" s="100"/>
      <c r="J18" s="100"/>
      <c r="K18" s="10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114"/>
      <c r="AT18" s="84"/>
      <c r="AU18" s="84"/>
      <c r="AV18" s="84"/>
      <c r="AW18" s="84"/>
      <c r="AX18" s="84"/>
      <c r="AY18" s="84"/>
      <c r="AZ18" s="84"/>
    </row>
    <row r="19" spans="6:52" s="83" customFormat="1">
      <c r="F19" s="97"/>
      <c r="G19" s="100"/>
      <c r="H19" s="100"/>
      <c r="I19" s="100"/>
      <c r="J19" s="100"/>
      <c r="K19" s="10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114"/>
      <c r="AT19" s="84"/>
      <c r="AU19" s="84"/>
      <c r="AV19" s="84"/>
      <c r="AW19" s="84"/>
      <c r="AX19" s="84"/>
      <c r="AY19" s="84"/>
      <c r="AZ19" s="84"/>
    </row>
    <row r="20" spans="6:52" s="83" customFormat="1">
      <c r="F20" s="97"/>
      <c r="G20" s="100"/>
      <c r="H20" s="100"/>
      <c r="I20" s="100"/>
      <c r="J20" s="100"/>
      <c r="K20" s="10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114"/>
      <c r="AT20" s="84"/>
      <c r="AU20" s="84"/>
      <c r="AV20" s="84"/>
      <c r="AW20" s="84"/>
      <c r="AX20" s="84"/>
      <c r="AY20" s="84"/>
      <c r="AZ20" s="84"/>
    </row>
    <row r="21" spans="6:52" s="83" customFormat="1">
      <c r="F21" s="97"/>
      <c r="G21" s="100"/>
      <c r="H21" s="100"/>
      <c r="I21" s="100"/>
      <c r="J21" s="100"/>
      <c r="K21" s="100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114"/>
      <c r="AT21" s="84"/>
      <c r="AU21" s="84"/>
      <c r="AV21" s="84"/>
      <c r="AW21" s="84"/>
      <c r="AX21" s="84"/>
      <c r="AY21" s="84"/>
      <c r="AZ21" s="84"/>
    </row>
    <row r="22" spans="6:52" s="83" customFormat="1">
      <c r="F22" s="97"/>
      <c r="G22" s="100"/>
      <c r="H22" s="100"/>
      <c r="I22" s="100"/>
      <c r="J22" s="100"/>
      <c r="K22" s="100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114"/>
      <c r="AT22" s="84"/>
      <c r="AU22" s="84"/>
      <c r="AV22" s="84"/>
      <c r="AW22" s="84"/>
      <c r="AX22" s="84"/>
      <c r="AY22" s="84"/>
      <c r="AZ22" s="84"/>
    </row>
    <row r="35" spans="1:9" ht="16.5" thickBot="1"/>
    <row r="36" spans="1:9">
      <c r="A36" s="193" t="s">
        <v>115</v>
      </c>
      <c r="B36" s="145" t="s">
        <v>139</v>
      </c>
      <c r="C36" s="146"/>
      <c r="D36" s="146"/>
      <c r="E36" s="146"/>
      <c r="F36" s="147"/>
      <c r="G36" s="148"/>
      <c r="H36" s="148"/>
      <c r="I36" s="149"/>
    </row>
    <row r="37" spans="1:9">
      <c r="A37" s="194"/>
      <c r="B37" s="83" t="s">
        <v>140</v>
      </c>
      <c r="I37" s="150"/>
    </row>
    <row r="38" spans="1:9" ht="16.5" thickBot="1">
      <c r="A38" s="195"/>
      <c r="B38" s="151" t="s">
        <v>159</v>
      </c>
      <c r="C38" s="152"/>
      <c r="D38" s="152"/>
      <c r="E38" s="152"/>
      <c r="F38" s="153"/>
      <c r="G38" s="154"/>
      <c r="H38" s="154"/>
      <c r="I38" s="155"/>
    </row>
    <row r="39" spans="1:9">
      <c r="A39" s="193" t="s">
        <v>113</v>
      </c>
      <c r="B39" s="145" t="s">
        <v>151</v>
      </c>
      <c r="C39" s="146"/>
      <c r="D39" s="146"/>
      <c r="E39" s="146"/>
      <c r="F39" s="147"/>
      <c r="G39" s="148"/>
      <c r="H39" s="148"/>
      <c r="I39" s="149"/>
    </row>
    <row r="40" spans="1:9">
      <c r="A40" s="194"/>
      <c r="B40" s="83" t="s">
        <v>158</v>
      </c>
      <c r="I40" s="150"/>
    </row>
    <row r="41" spans="1:9">
      <c r="A41" s="194"/>
      <c r="B41" s="83" t="s">
        <v>150</v>
      </c>
      <c r="I41" s="150"/>
    </row>
    <row r="42" spans="1:9" ht="16.5" thickBot="1">
      <c r="A42" s="195"/>
      <c r="B42" s="151" t="s">
        <v>152</v>
      </c>
      <c r="C42" s="152"/>
      <c r="D42" s="152"/>
      <c r="E42" s="152"/>
      <c r="F42" s="153"/>
      <c r="G42" s="154"/>
      <c r="H42" s="154"/>
      <c r="I42" s="155"/>
    </row>
    <row r="43" spans="1:9">
      <c r="A43" s="193" t="s">
        <v>117</v>
      </c>
      <c r="B43" s="145" t="s">
        <v>157</v>
      </c>
      <c r="C43" s="146"/>
      <c r="D43" s="146"/>
      <c r="E43" s="146"/>
      <c r="F43" s="147"/>
      <c r="G43" s="148"/>
      <c r="H43" s="148"/>
      <c r="I43" s="149"/>
    </row>
    <row r="44" spans="1:9" ht="16.5" thickBot="1">
      <c r="A44" s="195"/>
      <c r="B44" s="151" t="s">
        <v>141</v>
      </c>
      <c r="C44" s="152"/>
      <c r="D44" s="152"/>
      <c r="E44" s="152"/>
      <c r="F44" s="153"/>
      <c r="G44" s="154"/>
      <c r="H44" s="154"/>
      <c r="I44" s="155"/>
    </row>
    <row r="45" spans="1:9">
      <c r="A45" s="193" t="s">
        <v>85</v>
      </c>
      <c r="B45" s="145" t="s">
        <v>142</v>
      </c>
      <c r="C45" s="146"/>
      <c r="D45" s="146"/>
      <c r="E45" s="146"/>
      <c r="F45" s="147"/>
      <c r="G45" s="148"/>
      <c r="H45" s="148"/>
      <c r="I45" s="149"/>
    </row>
    <row r="46" spans="1:9" ht="18" customHeight="1" thickBot="1">
      <c r="A46" s="195"/>
      <c r="B46" s="151" t="s">
        <v>160</v>
      </c>
      <c r="C46" s="152"/>
      <c r="D46" s="152"/>
      <c r="E46" s="152"/>
      <c r="F46" s="153"/>
      <c r="G46" s="154"/>
      <c r="H46" s="154"/>
      <c r="I46" s="155"/>
    </row>
    <row r="47" spans="1:9">
      <c r="A47" s="198" t="s">
        <v>135</v>
      </c>
      <c r="B47" s="145" t="s">
        <v>136</v>
      </c>
      <c r="C47" s="146"/>
      <c r="D47" s="146"/>
      <c r="E47" s="146"/>
      <c r="F47" s="147"/>
      <c r="G47" s="148"/>
      <c r="H47" s="148"/>
      <c r="I47" s="149"/>
    </row>
    <row r="48" spans="1:9">
      <c r="A48" s="199"/>
      <c r="B48" s="83" t="s">
        <v>137</v>
      </c>
      <c r="I48" s="150"/>
    </row>
    <row r="49" spans="1:53" ht="16.5" thickBot="1">
      <c r="A49" s="200"/>
      <c r="B49" s="151" t="s">
        <v>138</v>
      </c>
      <c r="C49" s="152"/>
      <c r="D49" s="152"/>
      <c r="E49" s="152"/>
      <c r="F49" s="153"/>
      <c r="G49" s="154"/>
      <c r="H49" s="154"/>
      <c r="I49" s="155"/>
    </row>
    <row r="51" spans="1:53">
      <c r="A51" s="83" t="s">
        <v>134</v>
      </c>
    </row>
    <row r="52" spans="1:53">
      <c r="A52" s="83" t="str">
        <f>"You can select scenarios in cell F"&amp;ROW('Develop Model'!F52)&amp;" on the 'Develop Model' Sheet."</f>
        <v>You can select scenarios in cell F52 on the 'Develop Model' Sheet.</v>
      </c>
    </row>
    <row r="53" spans="1:53">
      <c r="A53" s="83" t="str">
        <f ca="1">"For each scenario (each Column below) 'Paste Values' for "&amp;'Develop Model'!J31+3&amp;" calculated by your model."</f>
        <v>For each scenario (each Column below) 'Paste Values' for 2024 calculated by your model.</v>
      </c>
    </row>
    <row r="54" spans="1:53">
      <c r="A54" s="82" t="s">
        <v>146</v>
      </c>
    </row>
    <row r="55" spans="1:53">
      <c r="A55" s="82" t="str">
        <f ca="1">"Hint: Make sure you are selecting "&amp;'Develop Model'!J31+3&amp;" values."</f>
        <v>Hint: Make sure you are selecting 2024 values.</v>
      </c>
    </row>
    <row r="56" spans="1:53">
      <c r="A56" s="83" t="s">
        <v>149</v>
      </c>
    </row>
    <row r="57" spans="1:53" s="141" customFormat="1" ht="45" customHeight="1" thickBot="1">
      <c r="B57" s="159" t="str">
        <f ca="1">'Develop Model'!J31+3&amp; " Forecast for Each Scenario"</f>
        <v>2024 Forecast for Each Scenario</v>
      </c>
      <c r="C57" s="135" t="s">
        <v>114</v>
      </c>
      <c r="D57" s="135" t="s">
        <v>115</v>
      </c>
      <c r="E57" s="135" t="s">
        <v>113</v>
      </c>
      <c r="F57" s="135" t="s">
        <v>117</v>
      </c>
      <c r="G57" s="135" t="s">
        <v>85</v>
      </c>
      <c r="H57" s="135" t="s">
        <v>124</v>
      </c>
      <c r="I57" s="134"/>
      <c r="J57" s="134"/>
      <c r="K57" s="134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7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9"/>
      <c r="AT57" s="138"/>
      <c r="AU57" s="138"/>
      <c r="AV57" s="138"/>
      <c r="AW57" s="138"/>
      <c r="AX57" s="138"/>
      <c r="AY57" s="138"/>
      <c r="AZ57" s="138"/>
      <c r="BA57" s="140"/>
    </row>
    <row r="58" spans="1:53" ht="16.5" thickBot="1">
      <c r="B58" s="142" t="s">
        <v>80</v>
      </c>
      <c r="C58" s="163">
        <v>213</v>
      </c>
      <c r="D58" s="163">
        <v>195</v>
      </c>
      <c r="E58" s="163">
        <v>252</v>
      </c>
      <c r="F58" s="163">
        <v>205</v>
      </c>
      <c r="G58" s="163">
        <v>213</v>
      </c>
      <c r="H58" s="163">
        <v>195</v>
      </c>
    </row>
    <row r="59" spans="1:53" ht="16.5" thickBot="1">
      <c r="B59" s="142" t="s">
        <v>2</v>
      </c>
      <c r="C59" s="163">
        <v>17</v>
      </c>
      <c r="D59" s="163">
        <v>27</v>
      </c>
      <c r="E59" s="163">
        <v>27</v>
      </c>
      <c r="F59" s="163">
        <v>4</v>
      </c>
      <c r="G59" s="163">
        <v>16</v>
      </c>
      <c r="H59" s="163">
        <v>26</v>
      </c>
    </row>
    <row r="60" spans="1:53" ht="16.5" thickBot="1">
      <c r="B60" s="142" t="s">
        <v>9</v>
      </c>
      <c r="C60" s="163">
        <v>37</v>
      </c>
      <c r="D60" s="163">
        <v>83</v>
      </c>
      <c r="E60" s="163">
        <v>30</v>
      </c>
      <c r="F60" s="163">
        <v>1</v>
      </c>
      <c r="G60" s="163">
        <v>36</v>
      </c>
      <c r="H60" s="163">
        <v>2</v>
      </c>
    </row>
    <row r="61" spans="1:53" ht="16.5" thickBot="1">
      <c r="B61" s="142" t="s">
        <v>8</v>
      </c>
      <c r="C61" s="163">
        <v>100</v>
      </c>
      <c r="D61" s="163">
        <v>133</v>
      </c>
      <c r="E61" s="163">
        <v>124</v>
      </c>
      <c r="F61" s="163">
        <v>64</v>
      </c>
      <c r="G61" s="163">
        <v>74</v>
      </c>
      <c r="H61" s="163">
        <v>52</v>
      </c>
    </row>
    <row r="62" spans="1:53" ht="16.5" thickBot="1">
      <c r="B62" s="142" t="s">
        <v>125</v>
      </c>
      <c r="C62" s="163">
        <v>9</v>
      </c>
      <c r="D62" s="163">
        <v>24</v>
      </c>
      <c r="E62" s="163">
        <v>7</v>
      </c>
      <c r="F62" s="163">
        <v>-3</v>
      </c>
      <c r="G62" s="163">
        <v>9</v>
      </c>
      <c r="H62" s="163">
        <v>-3</v>
      </c>
    </row>
    <row r="63" spans="1:53" ht="16.5" thickBot="1">
      <c r="B63" s="142" t="s">
        <v>116</v>
      </c>
      <c r="C63" s="164">
        <v>0.2</v>
      </c>
      <c r="D63" s="164">
        <v>0.25</v>
      </c>
      <c r="E63" s="164">
        <v>0.28000000000000003</v>
      </c>
      <c r="F63" s="164">
        <v>7.0000000000000007E-2</v>
      </c>
      <c r="G63" s="164">
        <v>0.28000000000000003</v>
      </c>
      <c r="H63" s="164">
        <v>0.51</v>
      </c>
    </row>
    <row r="65" spans="1:3" ht="16.5" thickBot="1">
      <c r="A65" s="83" t="s">
        <v>144</v>
      </c>
    </row>
    <row r="66" spans="1:3" ht="16.5" thickBot="1">
      <c r="B66" s="196" t="s">
        <v>115</v>
      </c>
      <c r="C66" s="197"/>
    </row>
    <row r="67" spans="1:3">
      <c r="A67" s="83" t="s">
        <v>147</v>
      </c>
      <c r="B67" s="158"/>
      <c r="C67" s="158"/>
    </row>
    <row r="68" spans="1:3">
      <c r="B68" s="158"/>
      <c r="C68" s="158"/>
    </row>
    <row r="69" spans="1:3" ht="16.5" thickBot="1">
      <c r="A69" s="83" t="s">
        <v>153</v>
      </c>
    </row>
    <row r="70" spans="1:3" ht="16.5" thickBot="1">
      <c r="B70" s="196" t="s">
        <v>124</v>
      </c>
      <c r="C70" s="197"/>
    </row>
    <row r="71" spans="1:3">
      <c r="A71" s="83" t="s">
        <v>148</v>
      </c>
      <c r="B71" s="158"/>
      <c r="C71" s="158"/>
    </row>
    <row r="72" spans="1:3">
      <c r="A72" s="83" t="s">
        <v>156</v>
      </c>
      <c r="B72" s="158"/>
      <c r="C72" s="158"/>
    </row>
    <row r="73" spans="1:3">
      <c r="B73" s="158"/>
      <c r="C73" s="158"/>
    </row>
    <row r="74" spans="1:3" ht="16.5" thickBot="1">
      <c r="A74" s="83" t="s">
        <v>145</v>
      </c>
    </row>
    <row r="75" spans="1:3" ht="16.5" thickBot="1">
      <c r="B75" s="196" t="s">
        <v>117</v>
      </c>
      <c r="C75" s="197"/>
    </row>
    <row r="76" spans="1:3">
      <c r="A76" s="83" t="s">
        <v>154</v>
      </c>
    </row>
  </sheetData>
  <sheetProtection algorithmName="SHA-512" hashValue="RdskqXQUU92QJIQ/TgbuTzEYwE71aegN2n4Ha20hh/MoE4MjX6lWEfgIs1J+YEJWA+mQYaRUE28ewa5RWn0xBA==" saltValue="l1v8hHJHcbwJmWGsoqcu3w==" spinCount="100000" sheet="1" formatCells="0"/>
  <mergeCells count="8">
    <mergeCell ref="A36:A38"/>
    <mergeCell ref="B66:C66"/>
    <mergeCell ref="B70:C70"/>
    <mergeCell ref="B75:C75"/>
    <mergeCell ref="A45:A46"/>
    <mergeCell ref="A47:A49"/>
    <mergeCell ref="A43:A44"/>
    <mergeCell ref="A39:A42"/>
  </mergeCells>
  <dataValidations count="1">
    <dataValidation type="list" allowBlank="1" showInputMessage="1" showErrorMessage="1" sqref="B66:C68 B75:C75 B70:C73" xr:uid="{0AE44B0A-606F-8843-879E-2145F58BD611}">
      <formula1>$D$57:$H$57</formula1>
    </dataValidation>
  </dataValidations>
  <pageMargins left="0.7" right="0.7" top="0.75" bottom="0.75" header="0.3" footer="0.3"/>
  <pageSetup scale="96" fitToHeight="10" orientation="landscape" horizontalDpi="0" verticalDpi="0"/>
  <headerFooter>
    <oddFooter>&amp;L&amp;"Helvetica,Regular"&amp;K000000© All rights reserved, 2019, Marianne Wolk &amp; Richard Horwitz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DFD5876-48BC-8947-A5C7-A8E6DD188D9C}">
            <xm:f>'Scratch Sheet'!D70=1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C58:H63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7D1C-DC04-D34D-9CAF-75E6A4EBD1C9}">
  <sheetPr published="0">
    <tabColor rgb="FFFF0000"/>
  </sheetPr>
  <dimension ref="A24:AO76"/>
  <sheetViews>
    <sheetView topLeftCell="A39" zoomScale="125" zoomScaleNormal="120" workbookViewId="0">
      <selection activeCell="AM57" sqref="AM57:AO57"/>
    </sheetView>
  </sheetViews>
  <sheetFormatPr defaultColWidth="11" defaultRowHeight="15.75"/>
  <cols>
    <col min="1" max="1" width="18.625" customWidth="1"/>
    <col min="3" max="3" width="12.375" customWidth="1"/>
  </cols>
  <sheetData>
    <row r="24" spans="1:41"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</row>
    <row r="25" spans="1:41">
      <c r="C25" s="129"/>
      <c r="D25" s="129"/>
      <c r="E25" s="129"/>
    </row>
    <row r="26" spans="1:41">
      <c r="A26" t="str">
        <f>'Develop Model'!F52</f>
        <v>Baseline</v>
      </c>
      <c r="G26" t="s">
        <v>114</v>
      </c>
      <c r="H26" t="s">
        <v>118</v>
      </c>
      <c r="M26" t="s">
        <v>115</v>
      </c>
      <c r="N26" t="s">
        <v>119</v>
      </c>
      <c r="S26" t="s">
        <v>113</v>
      </c>
      <c r="T26" t="s">
        <v>120</v>
      </c>
      <c r="Y26" t="s">
        <v>117</v>
      </c>
      <c r="Z26" t="s">
        <v>121</v>
      </c>
      <c r="AE26" t="s">
        <v>85</v>
      </c>
      <c r="AF26" t="s">
        <v>122</v>
      </c>
      <c r="AK26" t="s">
        <v>124</v>
      </c>
      <c r="AL26" t="s">
        <v>119</v>
      </c>
    </row>
    <row r="28" spans="1:41">
      <c r="A28" s="7"/>
      <c r="B28" s="7">
        <f ca="1">'Develop Model'!$J31</f>
        <v>2021</v>
      </c>
      <c r="C28" s="7">
        <f ca="1">'Develop Model'!$J31+1</f>
        <v>2022</v>
      </c>
      <c r="D28" s="7">
        <f ca="1">+C28+1</f>
        <v>2023</v>
      </c>
      <c r="E28" s="7">
        <f ca="1">+D28+1</f>
        <v>2024</v>
      </c>
      <c r="G28" s="7"/>
      <c r="H28" s="7">
        <f ca="1">'Develop Model'!$J31</f>
        <v>2021</v>
      </c>
      <c r="I28" s="7">
        <f ca="1">'Develop Model'!$J31+1</f>
        <v>2022</v>
      </c>
      <c r="J28" s="7">
        <f ca="1">+I28+1</f>
        <v>2023</v>
      </c>
      <c r="K28" s="7">
        <f ca="1">+J28+1</f>
        <v>2024</v>
      </c>
      <c r="M28" s="7"/>
      <c r="N28" s="7">
        <f ca="1">'Develop Model'!$J31</f>
        <v>2021</v>
      </c>
      <c r="O28" s="7">
        <f ca="1">'Develop Model'!$J31+1</f>
        <v>2022</v>
      </c>
      <c r="P28" s="7">
        <f ca="1">+O28+1</f>
        <v>2023</v>
      </c>
      <c r="Q28" s="7">
        <f ca="1">+P28+1</f>
        <v>2024</v>
      </c>
      <c r="S28" s="7"/>
      <c r="T28" s="7">
        <f ca="1">'Develop Model'!$J31</f>
        <v>2021</v>
      </c>
      <c r="U28" s="7">
        <f ca="1">'Develop Model'!$J31+1</f>
        <v>2022</v>
      </c>
      <c r="V28" s="7">
        <f ca="1">+U28+1</f>
        <v>2023</v>
      </c>
      <c r="W28" s="7">
        <f ca="1">+V28+1</f>
        <v>2024</v>
      </c>
      <c r="Y28" s="7"/>
      <c r="Z28" s="7">
        <f ca="1">'Develop Model'!$J31</f>
        <v>2021</v>
      </c>
      <c r="AA28" s="7">
        <f ca="1">'Develop Model'!$J31+1</f>
        <v>2022</v>
      </c>
      <c r="AB28" s="7">
        <f ca="1">+AA28+1</f>
        <v>2023</v>
      </c>
      <c r="AC28" s="7">
        <f ca="1">+AB28+1</f>
        <v>2024</v>
      </c>
      <c r="AE28" s="110"/>
      <c r="AF28" s="7">
        <f ca="1">'Develop Model'!$J31</f>
        <v>2021</v>
      </c>
      <c r="AG28" s="7">
        <f ca="1">'Develop Model'!$J31+1</f>
        <v>2022</v>
      </c>
      <c r="AH28" s="7">
        <f ca="1">+AG28+1</f>
        <v>2023</v>
      </c>
      <c r="AI28" s="7">
        <f ca="1">+AH28+1</f>
        <v>2024</v>
      </c>
      <c r="AK28" s="7"/>
      <c r="AL28" s="7">
        <f ca="1">'Develop Model'!$J31</f>
        <v>2021</v>
      </c>
      <c r="AM28" s="7">
        <f ca="1">'Develop Model'!$J31+1</f>
        <v>2022</v>
      </c>
      <c r="AN28" s="7">
        <f ca="1">+AM28+1</f>
        <v>2023</v>
      </c>
      <c r="AO28" s="7">
        <f ca="1">+AN28+1</f>
        <v>2024</v>
      </c>
    </row>
    <row r="29" spans="1:41">
      <c r="A29" s="94" t="s">
        <v>83</v>
      </c>
      <c r="B29" s="7"/>
      <c r="C29" s="7"/>
      <c r="D29" s="7"/>
      <c r="E29" s="7"/>
      <c r="G29" s="7"/>
      <c r="H29" s="7"/>
      <c r="I29" s="7"/>
      <c r="J29" s="7"/>
      <c r="K29" s="7"/>
      <c r="M29" s="7"/>
      <c r="N29" s="7"/>
      <c r="O29" s="7"/>
      <c r="P29" s="7"/>
      <c r="Q29" s="7"/>
      <c r="S29" s="7"/>
      <c r="T29" s="7"/>
      <c r="U29" s="7"/>
      <c r="V29" s="7"/>
      <c r="W29" s="7"/>
      <c r="Y29" s="7"/>
      <c r="Z29" s="7"/>
      <c r="AA29" s="7"/>
      <c r="AB29" s="7"/>
      <c r="AC29" s="7"/>
      <c r="AE29" s="110"/>
      <c r="AF29" s="7"/>
      <c r="AG29" s="7"/>
      <c r="AH29" s="7"/>
      <c r="AI29" s="7"/>
      <c r="AK29" s="7"/>
      <c r="AL29" s="7"/>
      <c r="AM29" s="7"/>
      <c r="AN29" s="7"/>
      <c r="AO29" s="7"/>
    </row>
    <row r="30" spans="1:41">
      <c r="A30" s="104" t="s">
        <v>80</v>
      </c>
      <c r="B30" s="24">
        <f>C30/(1+'Develop Model'!$F63)</f>
        <v>193.61084220716361</v>
      </c>
      <c r="C30" s="24">
        <f>IF('Develop Model'!$B$17="Template",200,100)</f>
        <v>200</v>
      </c>
      <c r="D30" s="24">
        <f>C30*(1+'Develop Model'!$F63)</f>
        <v>206.6</v>
      </c>
      <c r="E30" s="24">
        <f>D30*(1+'Develop Model'!$F63)</f>
        <v>213.41779999999997</v>
      </c>
      <c r="F30" s="117"/>
      <c r="G30" s="7" t="s">
        <v>80</v>
      </c>
      <c r="H30" s="24">
        <f>I30/(1+'Develop Model'!$H63)</f>
        <v>193.61084220716361</v>
      </c>
      <c r="I30" s="24">
        <f>IF('Develop Model'!$B$17="Template",200,100)</f>
        <v>200</v>
      </c>
      <c r="J30" s="24">
        <f>I30*(1+'Develop Model'!$H63)</f>
        <v>206.6</v>
      </c>
      <c r="K30" s="24">
        <f>J30*(1+'Develop Model'!$H63)</f>
        <v>213.41779999999997</v>
      </c>
      <c r="M30" s="7" t="s">
        <v>80</v>
      </c>
      <c r="N30" s="24">
        <f>O30/(1+'Develop Model'!$I63)</f>
        <v>202.63424518743668</v>
      </c>
      <c r="O30" s="24">
        <f>IF('Develop Model'!$B$17="Template",200,100)</f>
        <v>200</v>
      </c>
      <c r="P30" s="24">
        <f>O30*(1+'Develop Model'!$I63)</f>
        <v>197.4</v>
      </c>
      <c r="Q30" s="116">
        <f>P30*(1+'Develop Model'!$I63)</f>
        <v>194.8338</v>
      </c>
      <c r="S30" s="7" t="s">
        <v>80</v>
      </c>
      <c r="T30" s="24">
        <f>U30/(1+'Develop Model'!$J63)</f>
        <v>178.09439002671417</v>
      </c>
      <c r="U30" s="24">
        <f>IF('Develop Model'!$B$17="Template",200,100)</f>
        <v>200</v>
      </c>
      <c r="V30" s="24">
        <f>U30*(1+'Develop Model'!$J63)</f>
        <v>224.6</v>
      </c>
      <c r="W30" s="116">
        <f>V30*(1+'Develop Model'!$J63)</f>
        <v>252.22579999999999</v>
      </c>
      <c r="Y30" s="7" t="s">
        <v>80</v>
      </c>
      <c r="Z30" s="24">
        <f>AA30/(1+'Develop Model'!$K63)</f>
        <v>197.43336623889439</v>
      </c>
      <c r="AA30" s="24">
        <f>IF('Develop Model'!$B$17="Template",200,100)</f>
        <v>200</v>
      </c>
      <c r="AB30" s="24">
        <f>AA30*(1+'Develop Model'!$K63)</f>
        <v>202.59999999999997</v>
      </c>
      <c r="AC30" s="24">
        <f>AB30*(1+'Develop Model'!$K63)</f>
        <v>205.23379999999995</v>
      </c>
      <c r="AE30" s="110" t="s">
        <v>80</v>
      </c>
      <c r="AF30" s="24">
        <f>AG30/(1+'Develop Model'!$L63)</f>
        <v>193.61084220716361</v>
      </c>
      <c r="AG30" s="24">
        <f>IF('Develop Model'!$B$17="Template",200,100)</f>
        <v>200</v>
      </c>
      <c r="AH30" s="24">
        <f>AG30*(1+'Develop Model'!$L63)</f>
        <v>206.6</v>
      </c>
      <c r="AI30" s="24">
        <f>AH30*(1+'Develop Model'!$L63)</f>
        <v>213.41779999999997</v>
      </c>
      <c r="AK30" s="7" t="s">
        <v>80</v>
      </c>
      <c r="AL30" s="117">
        <f>AM30/(1+'Develop Model'!$I63)</f>
        <v>202.63424518743668</v>
      </c>
      <c r="AM30" s="117">
        <f>IF('Develop Model'!$B$17="Template",200,100)</f>
        <v>200</v>
      </c>
      <c r="AN30" s="117">
        <f>AM30*(1+'Develop Model'!$I63)</f>
        <v>197.4</v>
      </c>
      <c r="AO30" s="117">
        <f>AN30*(1+'Develop Model'!$I63)</f>
        <v>194.8338</v>
      </c>
    </row>
    <row r="31" spans="1:41">
      <c r="A31" s="104" t="s">
        <v>219</v>
      </c>
      <c r="B31" s="24">
        <f>B30-B32</f>
        <v>133.59148112294289</v>
      </c>
      <c r="C31" s="24">
        <f>C30-C32</f>
        <v>138</v>
      </c>
      <c r="D31" s="24">
        <f t="shared" ref="D31:E31" si="0">D30-D32</f>
        <v>142.554</v>
      </c>
      <c r="E31" s="24">
        <f t="shared" si="0"/>
        <v>147.25828199999998</v>
      </c>
      <c r="F31" s="117"/>
      <c r="G31" s="172" t="s">
        <v>219</v>
      </c>
      <c r="H31" s="24">
        <f>H30-H32</f>
        <v>133.59148112294289</v>
      </c>
      <c r="I31" s="24">
        <f>I30-I32</f>
        <v>138</v>
      </c>
      <c r="J31" s="24">
        <f t="shared" ref="J31:K31" si="1">J30-J32</f>
        <v>142.554</v>
      </c>
      <c r="K31" s="24">
        <f t="shared" si="1"/>
        <v>147.25828199999998</v>
      </c>
      <c r="M31" s="172" t="s">
        <v>219</v>
      </c>
      <c r="N31" s="24">
        <f t="shared" ref="N31:Q31" si="2">N30-N32</f>
        <v>129.68591691995948</v>
      </c>
      <c r="O31" s="24">
        <f t="shared" si="2"/>
        <v>128</v>
      </c>
      <c r="P31" s="24">
        <f t="shared" si="2"/>
        <v>126.33600000000001</v>
      </c>
      <c r="Q31" s="24">
        <f t="shared" si="2"/>
        <v>124.69363199999999</v>
      </c>
      <c r="S31" s="172" t="s">
        <v>219</v>
      </c>
      <c r="T31" s="24">
        <f t="shared" ref="T31:U31" si="3">T30-T32</f>
        <v>113.98040961709707</v>
      </c>
      <c r="U31" s="24">
        <f t="shared" si="3"/>
        <v>128</v>
      </c>
      <c r="V31" s="24">
        <f t="shared" ref="V31" si="4">V30-V32</f>
        <v>143.744</v>
      </c>
      <c r="W31" s="24">
        <f t="shared" ref="W31" si="5">W30-W32</f>
        <v>161.42451199999999</v>
      </c>
      <c r="Y31" s="172" t="s">
        <v>219</v>
      </c>
      <c r="Z31" s="24">
        <f t="shared" ref="Z31:AA31" si="6">Z30-Z32</f>
        <v>153.99802566633764</v>
      </c>
      <c r="AA31" s="24">
        <f t="shared" si="6"/>
        <v>156</v>
      </c>
      <c r="AB31" s="24">
        <f t="shared" ref="AB31" si="7">AB30-AB32</f>
        <v>158.02799999999996</v>
      </c>
      <c r="AC31" s="24">
        <f t="shared" ref="AC31" si="8">AC30-AC32</f>
        <v>160.08236399999996</v>
      </c>
      <c r="AE31" s="172" t="s">
        <v>219</v>
      </c>
      <c r="AF31" s="24">
        <f t="shared" ref="AF31" si="9">AF30-AF32</f>
        <v>151.01645692158763</v>
      </c>
      <c r="AG31" s="24">
        <f t="shared" ref="AG31" si="10">AG30-AG32</f>
        <v>138</v>
      </c>
      <c r="AH31" s="24">
        <f t="shared" ref="AH31" si="11">AH30-AH32</f>
        <v>142.554</v>
      </c>
      <c r="AI31" s="24">
        <f t="shared" ref="AI31" si="12">AI30-AI32</f>
        <v>147.25828199999998</v>
      </c>
      <c r="AK31" s="7"/>
      <c r="AL31" s="117">
        <f t="shared" ref="AL31" si="13">AL30-AL32</f>
        <v>139.81762917933131</v>
      </c>
      <c r="AM31" s="117">
        <f t="shared" ref="AM31" si="14">AM30-AM32</f>
        <v>138</v>
      </c>
      <c r="AN31" s="117">
        <f t="shared" ref="AN31" si="15">AN30-AN32</f>
        <v>136.20600000000002</v>
      </c>
      <c r="AO31" s="117">
        <f t="shared" ref="AO31" si="16">AO30-AO32</f>
        <v>134.43532199999999</v>
      </c>
    </row>
    <row r="32" spans="1:41">
      <c r="A32" s="104" t="s">
        <v>207</v>
      </c>
      <c r="B32" s="24">
        <f>'Develop Model'!$F64*B30</f>
        <v>60.019361084220719</v>
      </c>
      <c r="C32" s="24">
        <f>'Develop Model'!$F64*C30</f>
        <v>62</v>
      </c>
      <c r="D32" s="24">
        <f>'Develop Model'!$F64*D30</f>
        <v>64.045999999999992</v>
      </c>
      <c r="E32" s="24">
        <f>'Develop Model'!$F64*E30</f>
        <v>66.159517999999991</v>
      </c>
      <c r="F32" s="117"/>
      <c r="G32" s="172" t="s">
        <v>207</v>
      </c>
      <c r="H32" s="24">
        <f>'Develop Model'!$F64*H30</f>
        <v>60.019361084220719</v>
      </c>
      <c r="I32" s="24">
        <f>'Develop Model'!$F64*I30</f>
        <v>62</v>
      </c>
      <c r="J32" s="24">
        <f>'Develop Model'!$F64*J30</f>
        <v>64.045999999999992</v>
      </c>
      <c r="K32" s="24">
        <f>'Develop Model'!$F64*K30</f>
        <v>66.159517999999991</v>
      </c>
      <c r="M32" s="172" t="s">
        <v>207</v>
      </c>
      <c r="N32" s="24">
        <f>'Develop Model'!$I64*N30</f>
        <v>72.948328267477194</v>
      </c>
      <c r="O32" s="24">
        <f>'Develop Model'!$I64*O30</f>
        <v>72</v>
      </c>
      <c r="P32" s="24">
        <f>'Develop Model'!$I64*P30</f>
        <v>71.063999999999993</v>
      </c>
      <c r="Q32" s="24">
        <f>'Develop Model'!$I64*Q30</f>
        <v>70.140168000000003</v>
      </c>
      <c r="S32" s="172" t="s">
        <v>207</v>
      </c>
      <c r="T32" s="24">
        <f>'Develop Model'!$J64*T30</f>
        <v>64.113980409617099</v>
      </c>
      <c r="U32" s="24">
        <f>'Develop Model'!$J64*U30</f>
        <v>72</v>
      </c>
      <c r="V32" s="24">
        <f>'Develop Model'!$J64*V30</f>
        <v>80.855999999999995</v>
      </c>
      <c r="W32" s="24">
        <f>'Develop Model'!$J64*W30</f>
        <v>90.801288</v>
      </c>
      <c r="Y32" s="172" t="s">
        <v>207</v>
      </c>
      <c r="Z32" s="24">
        <f>'Develop Model'!$K64*Z30</f>
        <v>43.435340572556768</v>
      </c>
      <c r="AA32" s="24">
        <f>'Develop Model'!$K64*AA30</f>
        <v>44</v>
      </c>
      <c r="AB32" s="24">
        <f>'Develop Model'!$K64*AB30</f>
        <v>44.571999999999996</v>
      </c>
      <c r="AC32" s="24">
        <f>'Develop Model'!$K64*AC30</f>
        <v>45.15143599999999</v>
      </c>
      <c r="AE32" s="172" t="s">
        <v>207</v>
      </c>
      <c r="AF32" s="24">
        <f>'Develop Model'!$K64*AF30</f>
        <v>42.594385285575996</v>
      </c>
      <c r="AG32" s="24">
        <f>'Develop Model'!$L64*AG30</f>
        <v>62</v>
      </c>
      <c r="AH32" s="24">
        <f>'Develop Model'!$L64*AH30</f>
        <v>64.045999999999992</v>
      </c>
      <c r="AI32" s="24">
        <f>'Develop Model'!$L64*AI30</f>
        <v>66.159517999999991</v>
      </c>
      <c r="AK32" s="7"/>
      <c r="AL32" s="117">
        <f>'Develop Model'!$F64*AL30</f>
        <v>62.81661600810537</v>
      </c>
      <c r="AM32" s="117">
        <f>'Develop Model'!$F64*AM30</f>
        <v>62</v>
      </c>
      <c r="AN32" s="117">
        <f>'Develop Model'!$F64*AN30</f>
        <v>61.194000000000003</v>
      </c>
      <c r="AO32" s="117">
        <f>'Develop Model'!$F64*AO30</f>
        <v>60.398477999999997</v>
      </c>
    </row>
    <row r="33" spans="1:41">
      <c r="A33" s="104" t="s">
        <v>188</v>
      </c>
      <c r="B33" s="24"/>
      <c r="C33" s="24">
        <f>'Develop Model'!$F65*C30</f>
        <v>10.4</v>
      </c>
      <c r="D33" s="24">
        <f>'Develop Model'!$F65*D30</f>
        <v>10.7432</v>
      </c>
      <c r="E33" s="24">
        <f>'Develop Model'!$F65*E30</f>
        <v>11.097725599999999</v>
      </c>
      <c r="F33" s="117"/>
      <c r="G33" s="172" t="s">
        <v>188</v>
      </c>
      <c r="H33" s="24"/>
      <c r="I33" s="24">
        <f>'Develop Model'!$F65*I30</f>
        <v>10.4</v>
      </c>
      <c r="J33" s="24">
        <f>'Develop Model'!$F65*J30</f>
        <v>10.7432</v>
      </c>
      <c r="K33" s="24">
        <f>'Develop Model'!$F65*K30</f>
        <v>11.097725599999999</v>
      </c>
      <c r="M33" s="172" t="s">
        <v>188</v>
      </c>
      <c r="N33" s="24"/>
      <c r="O33" s="24">
        <f>'Develop Model'!$I65*O30</f>
        <v>4.3999999999999995</v>
      </c>
      <c r="P33" s="24">
        <f>'Develop Model'!$I65*P30</f>
        <v>4.3427999999999995</v>
      </c>
      <c r="Q33" s="24">
        <f>'Develop Model'!$I65*Q30</f>
        <v>4.2863435999999995</v>
      </c>
      <c r="S33" s="172" t="s">
        <v>188</v>
      </c>
      <c r="T33" s="24"/>
      <c r="U33" s="24">
        <f>'Develop Model'!$J65*U30</f>
        <v>10.4</v>
      </c>
      <c r="V33" s="24">
        <f>'Develop Model'!$J65*V30</f>
        <v>11.679200000000002</v>
      </c>
      <c r="W33" s="24">
        <f>'Develop Model'!$J65*W30</f>
        <v>13.115741600000002</v>
      </c>
      <c r="Y33" s="172" t="s">
        <v>188</v>
      </c>
      <c r="Z33" s="24"/>
      <c r="AA33" s="24">
        <f>'Develop Model'!$K65*AA30</f>
        <v>6.4</v>
      </c>
      <c r="AB33" s="24">
        <f>'Develop Model'!$K65*AB30</f>
        <v>6.4831999999999992</v>
      </c>
      <c r="AC33" s="24">
        <f>'Develop Model'!$K65*AC30</f>
        <v>6.567481599999998</v>
      </c>
      <c r="AE33" s="172" t="s">
        <v>188</v>
      </c>
      <c r="AF33" s="24"/>
      <c r="AG33" s="24">
        <f>'Develop Model'!$L65*AG30</f>
        <v>10.4</v>
      </c>
      <c r="AH33" s="24">
        <f>'Develop Model'!$L65*AH30</f>
        <v>10.7432</v>
      </c>
      <c r="AI33" s="24">
        <f>'Develop Model'!$L65*AI30</f>
        <v>11.097725599999999</v>
      </c>
      <c r="AK33" s="7"/>
      <c r="AL33" s="117"/>
      <c r="AM33" s="117">
        <f>'Develop Model'!$I65*AM30</f>
        <v>4.3999999999999995</v>
      </c>
      <c r="AN33" s="117">
        <f>'Develop Model'!$I65*AN30</f>
        <v>4.3427999999999995</v>
      </c>
      <c r="AO33" s="117">
        <f>'Develop Model'!$I65*AO30</f>
        <v>4.2863435999999995</v>
      </c>
    </row>
    <row r="34" spans="1:41">
      <c r="A34" s="104" t="s">
        <v>189</v>
      </c>
      <c r="B34" s="24"/>
      <c r="C34" s="24">
        <f>'Develop Model'!$F66*C30</f>
        <v>25</v>
      </c>
      <c r="D34" s="24">
        <f>'Develop Model'!$F66*D30</f>
        <v>25.824999999999999</v>
      </c>
      <c r="E34" s="24">
        <f>'Develop Model'!$F66*E30</f>
        <v>26.677224999999996</v>
      </c>
      <c r="F34" s="117"/>
      <c r="G34" s="172" t="s">
        <v>189</v>
      </c>
      <c r="H34" s="24"/>
      <c r="I34" s="24">
        <f>'Develop Model'!$F66*I30</f>
        <v>25</v>
      </c>
      <c r="J34" s="24">
        <f>'Develop Model'!$F66*J30</f>
        <v>25.824999999999999</v>
      </c>
      <c r="K34" s="24">
        <f>'Develop Model'!$F66*K30</f>
        <v>26.677224999999996</v>
      </c>
      <c r="M34" s="172" t="s">
        <v>189</v>
      </c>
      <c r="N34" s="24"/>
      <c r="O34" s="24">
        <f>'Develop Model'!$I66*O30</f>
        <v>21.000000000000004</v>
      </c>
      <c r="P34" s="24">
        <f>'Develop Model'!$I66*P30</f>
        <v>20.727000000000004</v>
      </c>
      <c r="Q34" s="24">
        <f>'Develop Model'!$I66*Q30</f>
        <v>20.457549</v>
      </c>
      <c r="S34" s="172" t="s">
        <v>189</v>
      </c>
      <c r="T34" s="24"/>
      <c r="U34" s="24">
        <f>'Develop Model'!$J66*U30</f>
        <v>25</v>
      </c>
      <c r="V34" s="24">
        <f>'Develop Model'!$J66*V30</f>
        <v>28.074999999999999</v>
      </c>
      <c r="W34" s="24">
        <f>'Develop Model'!$J66*W30</f>
        <v>31.528224999999999</v>
      </c>
      <c r="Y34" s="172" t="s">
        <v>189</v>
      </c>
      <c r="Z34" s="24"/>
      <c r="AA34" s="24">
        <f>'Develop Model'!$K66*AA30</f>
        <v>31</v>
      </c>
      <c r="AB34" s="24">
        <f>'Develop Model'!$K66*AB30</f>
        <v>31.402999999999995</v>
      </c>
      <c r="AC34" s="24">
        <f>'Develop Model'!$K66*AC30</f>
        <v>31.81123899999999</v>
      </c>
      <c r="AE34" s="172" t="s">
        <v>189</v>
      </c>
      <c r="AF34" s="24"/>
      <c r="AG34" s="24">
        <f>'Develop Model'!$L66*AG30</f>
        <v>25</v>
      </c>
      <c r="AH34" s="24">
        <f>'Develop Model'!$L66*AH30</f>
        <v>25.824999999999999</v>
      </c>
      <c r="AI34" s="24">
        <f>'Develop Model'!$L66*AI30</f>
        <v>26.677224999999996</v>
      </c>
      <c r="AK34" s="7"/>
      <c r="AL34" s="117"/>
      <c r="AM34" s="117">
        <f>'Develop Model'!$I66*AM30</f>
        <v>21.000000000000004</v>
      </c>
      <c r="AN34" s="117">
        <f>'Develop Model'!$I66*AN30</f>
        <v>20.727000000000004</v>
      </c>
      <c r="AO34" s="117">
        <f>'Develop Model'!$I66*AO30</f>
        <v>20.457549</v>
      </c>
    </row>
    <row r="35" spans="1:41">
      <c r="A35" s="104" t="s">
        <v>99</v>
      </c>
      <c r="B35" s="117"/>
      <c r="C35" s="117">
        <f>('Develop Model'!$F64-'Develop Model'!$F65-'Develop Model'!$F66)*C30</f>
        <v>26.6</v>
      </c>
      <c r="D35" s="117">
        <f>('Develop Model'!$F64-'Develop Model'!$F65-'Develop Model'!$F66)*D30</f>
        <v>27.477800000000002</v>
      </c>
      <c r="E35" s="117">
        <f>('Develop Model'!$F64-'Develop Model'!$F65-'Develop Model'!$F66)*E30</f>
        <v>28.384567399999998</v>
      </c>
      <c r="F35" s="117"/>
      <c r="G35" s="7" t="s">
        <v>99</v>
      </c>
      <c r="H35" s="117"/>
      <c r="I35" s="117">
        <f>('Develop Model'!$H64-'Develop Model'!$H65-'Develop Model'!$H66)*I30</f>
        <v>26.6</v>
      </c>
      <c r="J35" s="117">
        <f>('Develop Model'!$H64-'Develop Model'!$H65-'Develop Model'!$H66)*J30</f>
        <v>27.477800000000002</v>
      </c>
      <c r="K35" s="117">
        <f>('Develop Model'!$H64-'Develop Model'!$H65-'Develop Model'!$H66)*K30</f>
        <v>28.384567399999998</v>
      </c>
      <c r="M35" s="7" t="s">
        <v>99</v>
      </c>
      <c r="N35" s="117"/>
      <c r="O35" s="117">
        <f>('Develop Model'!$I64-'Develop Model'!$I65-'Develop Model'!$I66)*O30</f>
        <v>46.599999999999994</v>
      </c>
      <c r="P35" s="117">
        <f>('Develop Model'!$I64-'Develop Model'!$I65-'Develop Model'!$I66)*P30</f>
        <v>45.994199999999992</v>
      </c>
      <c r="Q35" s="117">
        <f>('Develop Model'!$I64-'Develop Model'!$I65-'Develop Model'!$I66)*Q30</f>
        <v>45.396275399999993</v>
      </c>
      <c r="S35" s="7" t="s">
        <v>99</v>
      </c>
      <c r="T35" s="117"/>
      <c r="U35" s="117">
        <f>('Develop Model'!$J64-'Develop Model'!$J65-'Develop Model'!$J66)*U30</f>
        <v>36.6</v>
      </c>
      <c r="V35" s="117">
        <f>('Develop Model'!$J64-'Develop Model'!$J65-'Develop Model'!$J66)*V30</f>
        <v>41.101799999999997</v>
      </c>
      <c r="W35" s="117">
        <f>('Develop Model'!$J64-'Develop Model'!$J65-'Develop Model'!$J66)*W30</f>
        <v>46.157321400000001</v>
      </c>
      <c r="Y35" s="7" t="s">
        <v>99</v>
      </c>
      <c r="Z35" s="117"/>
      <c r="AA35" s="117">
        <f>('Develop Model'!$K64-'Develop Model'!$K65-'Develop Model'!$K66)*AA30</f>
        <v>6.6000000000000005</v>
      </c>
      <c r="AB35" s="117">
        <f>('Develop Model'!$K64-'Develop Model'!$K65-'Develop Model'!$K66)*AB30</f>
        <v>6.6857999999999995</v>
      </c>
      <c r="AC35" s="117">
        <f>('Develop Model'!$K64-'Develop Model'!$K65-'Develop Model'!$K66)*AC30</f>
        <v>6.7727153999999983</v>
      </c>
      <c r="AE35" s="110" t="s">
        <v>99</v>
      </c>
      <c r="AF35" s="117"/>
      <c r="AG35" s="117">
        <f>('Develop Model'!$L64-'Develop Model'!$L65-'Develop Model'!$L66)*AG30</f>
        <v>26.6</v>
      </c>
      <c r="AH35" s="117">
        <f>('Develop Model'!$L64-'Develop Model'!$L65-'Develop Model'!$L66)*AH30</f>
        <v>27.477800000000002</v>
      </c>
      <c r="AI35" s="117">
        <f>('Develop Model'!$L64-'Develop Model'!$L65-'Develop Model'!$L66)*AI30</f>
        <v>28.384567399999998</v>
      </c>
      <c r="AK35" s="7" t="s">
        <v>99</v>
      </c>
      <c r="AL35" s="117"/>
      <c r="AM35" s="117">
        <f>('Develop Model'!$I64-'Develop Model'!$I65-'Develop Model'!$I66)*AM30</f>
        <v>46.599999999999994</v>
      </c>
      <c r="AN35" s="117">
        <f>('Develop Model'!$I64-'Develop Model'!$I65-'Develop Model'!$I66)*AN30</f>
        <v>45.994199999999992</v>
      </c>
      <c r="AO35" s="117">
        <f>('Develop Model'!$I64-'Develop Model'!$I65-'Develop Model'!$I66)*AO30</f>
        <v>45.396275399999993</v>
      </c>
    </row>
    <row r="36" spans="1:41">
      <c r="A36" s="104" t="s">
        <v>112</v>
      </c>
      <c r="B36" s="117"/>
      <c r="C36" s="117">
        <f>(B42-B46)*'Develop Model'!$F74</f>
        <v>0.24800000000000003</v>
      </c>
      <c r="D36" s="117">
        <f>(C42-C46)*'Develop Model'!$F74</f>
        <v>0.39670080000000008</v>
      </c>
      <c r="E36" s="117">
        <f>(D42-D46)*'Develop Model'!$F74</f>
        <v>0.55963044128000006</v>
      </c>
      <c r="F36" s="117"/>
      <c r="G36" s="7" t="s">
        <v>112</v>
      </c>
      <c r="H36" s="117"/>
      <c r="I36" s="117">
        <f>(H42-H46)*'Develop Model'!$H74</f>
        <v>0.24800000000000003</v>
      </c>
      <c r="J36" s="117">
        <f>(I42-I46)*'Develop Model'!$H74</f>
        <v>0.39670080000000008</v>
      </c>
      <c r="K36" s="117">
        <f>(J42-J46)*'Develop Model'!$H74</f>
        <v>0.55963044128000006</v>
      </c>
      <c r="M36" s="7" t="s">
        <v>112</v>
      </c>
      <c r="N36" s="117"/>
      <c r="O36" s="117">
        <f>(N42-N46)*'Develop Model'!$I74</f>
        <v>0.24800000000000003</v>
      </c>
      <c r="P36" s="117">
        <f>(O42-O46)*'Develop Model'!$I74</f>
        <v>0.71422079999999977</v>
      </c>
      <c r="Q36" s="117">
        <f>(P42-P46)*'Develop Model'!$I74</f>
        <v>1.1855583132799998</v>
      </c>
      <c r="S36" s="7" t="s">
        <v>112</v>
      </c>
      <c r="T36" s="117"/>
      <c r="U36" s="117">
        <f>(T42-T46)*'Develop Model'!$J74</f>
        <v>0.24800000000000003</v>
      </c>
      <c r="V36" s="117">
        <f>(U42-U46)*'Develop Model'!$J74</f>
        <v>0.34190079999999995</v>
      </c>
      <c r="W36" s="117">
        <f>(V42-V46)*'Develop Model'!$J74</f>
        <v>0.45982836127999988</v>
      </c>
      <c r="Y36" s="7" t="s">
        <v>112</v>
      </c>
      <c r="Z36" s="117"/>
      <c r="AA36" s="117">
        <f>(Z42-Z46)*'Develop Model'!$K74</f>
        <v>0.24800000000000003</v>
      </c>
      <c r="AB36" s="117">
        <f>(AA42-AA46)*'Develop Model'!$K74</f>
        <v>0.16710079999999999</v>
      </c>
      <c r="AC36" s="117">
        <f>(AB42-AB46)*'Develop Model'!$K74</f>
        <v>9.3170281280000003E-2</v>
      </c>
      <c r="AE36" s="110" t="s">
        <v>112</v>
      </c>
      <c r="AF36" s="117"/>
      <c r="AG36" s="117">
        <f>(AF42-AF46)*'Develop Model'!$L74</f>
        <v>-0.31200000000000006</v>
      </c>
      <c r="AH36" s="117">
        <f>(AG42-AG46)*'Develop Model'!$L74</f>
        <v>-0.20316904615384615</v>
      </c>
      <c r="AI36" s="117">
        <f>(AH42-AH46)*'Develop Model'!$L74</f>
        <v>-4.8299232012307625E-2</v>
      </c>
      <c r="AK36" s="7" t="s">
        <v>112</v>
      </c>
      <c r="AL36" s="117"/>
      <c r="AM36" s="117">
        <f>(AL42-AL46)*'Develop Model'!$I74</f>
        <v>0.24800000000000003</v>
      </c>
      <c r="AN36" s="117">
        <f>(AM42-AM46)*'Develop Model'!$I74</f>
        <v>0.17078399999999991</v>
      </c>
      <c r="AO36" s="117">
        <f>(AN42-AN46)*'Develop Model'!$I74</f>
        <v>0.100303832</v>
      </c>
    </row>
    <row r="37" spans="1:41">
      <c r="A37" s="104" t="s">
        <v>162</v>
      </c>
      <c r="B37" s="117"/>
      <c r="C37" s="117">
        <f>C35+C36</f>
        <v>26.848000000000003</v>
      </c>
      <c r="D37" s="117">
        <f>D35+D36</f>
        <v>27.874500800000003</v>
      </c>
      <c r="E37" s="117">
        <f>E35+E36</f>
        <v>28.944197841279998</v>
      </c>
      <c r="F37" s="117"/>
      <c r="G37" s="7" t="s">
        <v>102</v>
      </c>
      <c r="H37" s="117"/>
      <c r="I37" s="117">
        <f>I35+I36</f>
        <v>26.848000000000003</v>
      </c>
      <c r="J37" s="117">
        <f>J35+J36</f>
        <v>27.874500800000003</v>
      </c>
      <c r="K37" s="117">
        <f>K35+K36</f>
        <v>28.944197841279998</v>
      </c>
      <c r="M37" s="7" t="s">
        <v>102</v>
      </c>
      <c r="N37" s="117"/>
      <c r="O37" s="117">
        <f>O35+O36</f>
        <v>46.847999999999992</v>
      </c>
      <c r="P37" s="117">
        <f>P35+P36</f>
        <v>46.708420799999992</v>
      </c>
      <c r="Q37" s="117">
        <f>Q35+Q36</f>
        <v>46.581833713279991</v>
      </c>
      <c r="S37" s="7" t="s">
        <v>102</v>
      </c>
      <c r="T37" s="117"/>
      <c r="U37" s="117">
        <f>U35+U36</f>
        <v>36.847999999999999</v>
      </c>
      <c r="V37" s="117">
        <f>V35+V36</f>
        <v>41.443700799999995</v>
      </c>
      <c r="W37" s="117">
        <f>W35+W36</f>
        <v>46.617149761280004</v>
      </c>
      <c r="Y37" s="7" t="s">
        <v>102</v>
      </c>
      <c r="Z37" s="117"/>
      <c r="AA37" s="117">
        <f>AA35+AA36</f>
        <v>6.8480000000000008</v>
      </c>
      <c r="AB37" s="117">
        <f>AB35+AB36</f>
        <v>6.8529007999999996</v>
      </c>
      <c r="AC37" s="117">
        <f>AC35+AC36</f>
        <v>6.8658856812799982</v>
      </c>
      <c r="AE37" s="110" t="s">
        <v>102</v>
      </c>
      <c r="AF37" s="117"/>
      <c r="AG37" s="117">
        <f>AG35+AG36</f>
        <v>26.288</v>
      </c>
      <c r="AH37" s="117">
        <f>AH35+AH36</f>
        <v>27.274630953846156</v>
      </c>
      <c r="AI37" s="117">
        <f>AI35+AI36</f>
        <v>28.33626816798769</v>
      </c>
      <c r="AK37" s="7" t="s">
        <v>102</v>
      </c>
      <c r="AL37" s="117"/>
      <c r="AM37" s="117">
        <f>AM35+AM36</f>
        <v>46.847999999999992</v>
      </c>
      <c r="AN37" s="117">
        <f>AN35+AN36</f>
        <v>46.16498399999999</v>
      </c>
      <c r="AO37" s="117">
        <f>AO35+AO36</f>
        <v>45.496579231999995</v>
      </c>
    </row>
    <row r="38" spans="1:41">
      <c r="A38" s="104" t="s">
        <v>100</v>
      </c>
      <c r="B38" s="117"/>
      <c r="C38" s="117">
        <f>C37*'Develop Model'!$F67</f>
        <v>11.276160000000001</v>
      </c>
      <c r="D38" s="117">
        <f>D37*'Develop Model'!$F67</f>
        <v>11.707290336000002</v>
      </c>
      <c r="E38" s="117">
        <f>E37*'Develop Model'!$F67</f>
        <v>12.156563093337599</v>
      </c>
      <c r="F38" s="117"/>
      <c r="G38" s="7" t="s">
        <v>100</v>
      </c>
      <c r="H38" s="117"/>
      <c r="I38" s="117">
        <f>I37*'Develop Model'!$H67</f>
        <v>11.276160000000001</v>
      </c>
      <c r="J38" s="117">
        <f>J37*'Develop Model'!$H67</f>
        <v>11.707290336000002</v>
      </c>
      <c r="K38" s="117">
        <f>K37*'Develop Model'!$H67</f>
        <v>12.156563093337599</v>
      </c>
      <c r="M38" s="7" t="s">
        <v>100</v>
      </c>
      <c r="N38" s="117"/>
      <c r="O38" s="117">
        <f>O37*'Develop Model'!$I67</f>
        <v>19.676159999999996</v>
      </c>
      <c r="P38" s="117">
        <f>P37*'Develop Model'!$I67</f>
        <v>19.617536735999995</v>
      </c>
      <c r="Q38" s="117">
        <f>Q37*'Develop Model'!$I67</f>
        <v>19.564370159577596</v>
      </c>
      <c r="S38" s="7" t="s">
        <v>100</v>
      </c>
      <c r="T38" s="117"/>
      <c r="U38" s="117">
        <f>U37*'Develop Model'!$J67</f>
        <v>15.476159999999998</v>
      </c>
      <c r="V38" s="117">
        <f>V37*'Develop Model'!$J67</f>
        <v>17.406354335999996</v>
      </c>
      <c r="W38" s="117">
        <f>W37*'Develop Model'!$J67</f>
        <v>19.579202899737602</v>
      </c>
      <c r="Y38" s="7" t="s">
        <v>100</v>
      </c>
      <c r="Z38" s="117"/>
      <c r="AA38" s="117">
        <f>AA37*'Develop Model'!$K67</f>
        <v>2.87616</v>
      </c>
      <c r="AB38" s="117">
        <f>AB37*'Develop Model'!$K67</f>
        <v>2.8782183359999998</v>
      </c>
      <c r="AC38" s="117">
        <f>AC37*'Develop Model'!$K67</f>
        <v>2.8836719861375992</v>
      </c>
      <c r="AE38" s="110" t="s">
        <v>100</v>
      </c>
      <c r="AF38" s="117"/>
      <c r="AG38" s="117">
        <f>AG37*'Develop Model'!$L67</f>
        <v>11.04096</v>
      </c>
      <c r="AH38" s="117">
        <f>AH37*'Develop Model'!$L67</f>
        <v>11.455345000615385</v>
      </c>
      <c r="AI38" s="117">
        <f>AI37*'Develop Model'!$L67</f>
        <v>11.90123263055483</v>
      </c>
      <c r="AK38" s="7" t="s">
        <v>100</v>
      </c>
      <c r="AL38" s="117"/>
      <c r="AM38" s="117">
        <f>AM37*'Develop Model'!$I67</f>
        <v>19.676159999999996</v>
      </c>
      <c r="AN38" s="117">
        <f>AN37*'Develop Model'!$I67</f>
        <v>19.389293279999993</v>
      </c>
      <c r="AO38" s="117">
        <f>AO37*'Develop Model'!$I67</f>
        <v>19.108563277439998</v>
      </c>
    </row>
    <row r="39" spans="1:41">
      <c r="A39" s="104" t="s">
        <v>163</v>
      </c>
      <c r="B39" s="117"/>
      <c r="C39" s="117">
        <f>C35+C36-C38</f>
        <v>15.571840000000002</v>
      </c>
      <c r="D39" s="117">
        <f>D35+D36-D38</f>
        <v>16.167210464</v>
      </c>
      <c r="E39" s="117">
        <f>E35+E36-E38</f>
        <v>16.787634747942398</v>
      </c>
      <c r="F39" s="117"/>
      <c r="G39" s="7" t="s">
        <v>101</v>
      </c>
      <c r="H39" s="117"/>
      <c r="I39" s="117">
        <f>I35+I36-I38</f>
        <v>15.571840000000002</v>
      </c>
      <c r="J39" s="117">
        <f>J35+J36-J38</f>
        <v>16.167210464</v>
      </c>
      <c r="K39" s="117">
        <f>K35+K36-K38</f>
        <v>16.787634747942398</v>
      </c>
      <c r="M39" s="7" t="s">
        <v>101</v>
      </c>
      <c r="N39" s="117"/>
      <c r="O39" s="117">
        <f>O35+O36-O38</f>
        <v>27.171839999999996</v>
      </c>
      <c r="P39" s="117">
        <f>P35+P36-P38</f>
        <v>27.090884063999997</v>
      </c>
      <c r="Q39" s="117">
        <f>Q35+Q36-Q38</f>
        <v>27.017463553702395</v>
      </c>
      <c r="S39" s="7" t="s">
        <v>101</v>
      </c>
      <c r="T39" s="117"/>
      <c r="U39" s="117">
        <f>U35+U36-U38</f>
        <v>21.371839999999999</v>
      </c>
      <c r="V39" s="117">
        <f>V35+V36-V38</f>
        <v>24.037346463999999</v>
      </c>
      <c r="W39" s="117">
        <f>W35+W36-W38</f>
        <v>27.037946861542402</v>
      </c>
      <c r="Y39" s="7" t="s">
        <v>101</v>
      </c>
      <c r="Z39" s="117"/>
      <c r="AA39" s="117">
        <f>AA35+AA36-AA38</f>
        <v>3.9718400000000007</v>
      </c>
      <c r="AB39" s="117">
        <f>AB35+AB36-AB38</f>
        <v>3.9746824639999998</v>
      </c>
      <c r="AC39" s="117">
        <f>AC35+AC36-AC38</f>
        <v>3.982213695142399</v>
      </c>
      <c r="AE39" s="110" t="s">
        <v>101</v>
      </c>
      <c r="AF39" s="117"/>
      <c r="AG39" s="117">
        <f>AG35+AG36-AG38</f>
        <v>15.24704</v>
      </c>
      <c r="AH39" s="117">
        <f>AH35+AH36-AH38</f>
        <v>15.819285953230771</v>
      </c>
      <c r="AI39" s="117">
        <f>AI35+AI36-AI38</f>
        <v>16.43503553743286</v>
      </c>
      <c r="AK39" s="7" t="s">
        <v>101</v>
      </c>
      <c r="AL39" s="117"/>
      <c r="AM39" s="117">
        <f>AM35+AM36-AM38</f>
        <v>27.171839999999996</v>
      </c>
      <c r="AN39" s="117">
        <f>AN35+AN36-AN38</f>
        <v>26.775690719999997</v>
      </c>
      <c r="AO39" s="117">
        <f>AO35+AO36-AO38</f>
        <v>26.388015954559997</v>
      </c>
    </row>
    <row r="40" spans="1:41">
      <c r="A40" s="7"/>
      <c r="B40" s="117"/>
      <c r="C40" s="117"/>
      <c r="D40" s="117"/>
      <c r="E40" s="117"/>
      <c r="F40" s="117"/>
      <c r="G40" s="7"/>
      <c r="H40" s="117"/>
      <c r="I40" s="117"/>
      <c r="J40" s="117"/>
      <c r="K40" s="117"/>
      <c r="M40" s="7"/>
      <c r="N40" s="117"/>
      <c r="O40" s="117"/>
      <c r="P40" s="117"/>
      <c r="Q40" s="117"/>
      <c r="S40" s="7"/>
      <c r="T40" s="117"/>
      <c r="U40" s="117"/>
      <c r="V40" s="117"/>
      <c r="W40" s="117"/>
      <c r="Y40" s="7"/>
      <c r="Z40" s="117"/>
      <c r="AA40" s="117"/>
      <c r="AB40" s="117"/>
      <c r="AC40" s="117"/>
      <c r="AE40" s="110"/>
      <c r="AF40" s="117"/>
      <c r="AG40" s="117"/>
      <c r="AH40" s="117"/>
      <c r="AI40" s="117"/>
      <c r="AK40" s="7"/>
      <c r="AL40" s="117"/>
      <c r="AM40" s="117"/>
      <c r="AN40" s="117"/>
      <c r="AO40" s="117"/>
    </row>
    <row r="41" spans="1:41">
      <c r="A41" s="94" t="s">
        <v>4</v>
      </c>
      <c r="B41" s="117"/>
      <c r="C41" s="117"/>
      <c r="D41" s="117"/>
      <c r="E41" s="117"/>
      <c r="F41" s="117"/>
      <c r="G41" s="7"/>
      <c r="H41" s="117"/>
      <c r="I41" s="117"/>
      <c r="J41" s="117"/>
      <c r="K41" s="117"/>
      <c r="M41" s="7"/>
      <c r="N41" s="117"/>
      <c r="O41" s="117"/>
      <c r="P41" s="117"/>
      <c r="Q41" s="117"/>
      <c r="S41" s="7"/>
      <c r="T41" s="117"/>
      <c r="U41" s="117"/>
      <c r="V41" s="117"/>
      <c r="W41" s="117"/>
      <c r="Y41" s="7"/>
      <c r="Z41" s="117"/>
      <c r="AA41" s="117"/>
      <c r="AB41" s="117"/>
      <c r="AC41" s="117"/>
      <c r="AE41" s="110"/>
      <c r="AF41" s="117"/>
      <c r="AG41" s="117"/>
      <c r="AH41" s="117"/>
      <c r="AI41" s="117"/>
      <c r="AK41" s="7"/>
      <c r="AL41" s="117"/>
      <c r="AM41" s="117"/>
      <c r="AN41" s="117"/>
      <c r="AO41" s="117"/>
    </row>
    <row r="42" spans="1:41">
      <c r="A42" s="104" t="s">
        <v>9</v>
      </c>
      <c r="B42" s="117">
        <f>'Develop Model'!$F54</f>
        <v>12.4</v>
      </c>
      <c r="C42" s="117">
        <f>B42+C57</f>
        <v>19.835040000000003</v>
      </c>
      <c r="D42" s="117">
        <f>C42+D57</f>
        <v>27.981522064000004</v>
      </c>
      <c r="E42" s="117">
        <f>D42+E57</f>
        <v>36.844486042742403</v>
      </c>
      <c r="F42" s="117"/>
      <c r="G42" s="7" t="s">
        <v>105</v>
      </c>
      <c r="H42" s="117">
        <f>'Develop Model'!$H54</f>
        <v>12.4</v>
      </c>
      <c r="I42" s="117">
        <f>H42+I57</f>
        <v>19.835040000000003</v>
      </c>
      <c r="J42" s="117">
        <f>I42+J57</f>
        <v>27.981522064000004</v>
      </c>
      <c r="K42" s="117">
        <f>J42+K57</f>
        <v>36.844486042742403</v>
      </c>
      <c r="M42" s="7" t="s">
        <v>105</v>
      </c>
      <c r="N42" s="117">
        <f>'Develop Model'!$I54</f>
        <v>12.4</v>
      </c>
      <c r="O42" s="117">
        <f>N42+O57</f>
        <v>35.71103999999999</v>
      </c>
      <c r="P42" s="117">
        <f>O42+P57</f>
        <v>59.277915663999991</v>
      </c>
      <c r="Q42" s="116">
        <f>P42+Q57</f>
        <v>83.086014852502387</v>
      </c>
      <c r="S42" s="7" t="s">
        <v>105</v>
      </c>
      <c r="T42" s="117">
        <f>'Develop Model'!$J54</f>
        <v>12.4</v>
      </c>
      <c r="U42" s="117">
        <f>T42+U57</f>
        <v>17.095039999999997</v>
      </c>
      <c r="V42" s="117">
        <f>U42+V57</f>
        <v>22.991418063999994</v>
      </c>
      <c r="W42" s="117">
        <f>V42+W57</f>
        <v>30.207736576342395</v>
      </c>
      <c r="Y42" s="7" t="s">
        <v>105</v>
      </c>
      <c r="Z42" s="117">
        <f>'Develop Model'!$K54</f>
        <v>12.4</v>
      </c>
      <c r="AA42" s="117">
        <f>Z42+AA57</f>
        <v>8.3550399999999989</v>
      </c>
      <c r="AB42" s="117">
        <f>AA42+AB57</f>
        <v>4.6585140640000002</v>
      </c>
      <c r="AC42" s="116">
        <f>AB42+AC57</f>
        <v>1.2917154299423999</v>
      </c>
      <c r="AE42" s="110" t="s">
        <v>105</v>
      </c>
      <c r="AF42" s="117">
        <f>'Develop Model'!$L54</f>
        <v>12.4</v>
      </c>
      <c r="AG42" s="117">
        <f>AF42+AG57</f>
        <v>17.841547692307696</v>
      </c>
      <c r="AH42" s="117">
        <f>AG42+AH57</f>
        <v>25.585038399384622</v>
      </c>
      <c r="AI42" s="117">
        <f>AH42+AI57</f>
        <v>34.038519115540559</v>
      </c>
      <c r="AK42" s="7" t="s">
        <v>105</v>
      </c>
      <c r="AL42" s="117">
        <f>'Develop Model'!$I54</f>
        <v>12.4</v>
      </c>
      <c r="AM42" s="117">
        <f>AL42+AM57</f>
        <v>8.5391999999999957</v>
      </c>
      <c r="AN42" s="117">
        <f>AM42+AN57</f>
        <v>5.0151915999999996</v>
      </c>
      <c r="AO42" s="117">
        <f>AN42+AO57</f>
        <v>1.8058272347999971</v>
      </c>
    </row>
    <row r="43" spans="1:41">
      <c r="A43" s="104" t="s">
        <v>5</v>
      </c>
      <c r="B43" s="117">
        <f>'Develop Model'!F55</f>
        <v>20</v>
      </c>
      <c r="C43" s="117">
        <f>B43*(1+'Develop Model'!$F$63)</f>
        <v>20.659999999999997</v>
      </c>
      <c r="D43" s="117">
        <f>C43*(1+'Develop Model'!$F$63)</f>
        <v>21.341779999999996</v>
      </c>
      <c r="E43" s="117">
        <f>D43*(1+'Develop Model'!$F$63)</f>
        <v>22.046058739999996</v>
      </c>
      <c r="F43" s="117"/>
      <c r="G43" s="7" t="s">
        <v>5</v>
      </c>
      <c r="H43" s="117">
        <f>$B43</f>
        <v>20</v>
      </c>
      <c r="I43" s="117">
        <f>H43*(I30/H30)</f>
        <v>20.659999999999997</v>
      </c>
      <c r="J43" s="117">
        <f t="shared" ref="J43:K43" si="17">I43*(J30/I30)</f>
        <v>21.341779999999996</v>
      </c>
      <c r="K43" s="117">
        <f t="shared" si="17"/>
        <v>22.046058739999996</v>
      </c>
      <c r="M43" s="7" t="s">
        <v>5</v>
      </c>
      <c r="N43" s="117">
        <f>$B43</f>
        <v>20</v>
      </c>
      <c r="O43" s="117">
        <f>N43*(O30/N30)</f>
        <v>19.739999999999998</v>
      </c>
      <c r="P43" s="117">
        <f t="shared" ref="P43:Q43" si="18">O43*(P30/O30)</f>
        <v>19.483379999999997</v>
      </c>
      <c r="Q43" s="117">
        <f t="shared" si="18"/>
        <v>19.230096059999997</v>
      </c>
      <c r="S43" s="7" t="s">
        <v>5</v>
      </c>
      <c r="T43" s="117">
        <f>$B43</f>
        <v>20</v>
      </c>
      <c r="U43" s="117">
        <f>T43*(U30/T30)</f>
        <v>22.46</v>
      </c>
      <c r="V43" s="117">
        <f t="shared" ref="V43:W43" si="19">U43*(V30/U30)</f>
        <v>25.222580000000001</v>
      </c>
      <c r="W43" s="117">
        <f t="shared" si="19"/>
        <v>28.324957340000001</v>
      </c>
      <c r="Y43" s="7" t="s">
        <v>5</v>
      </c>
      <c r="Z43" s="117">
        <f>$B43</f>
        <v>20</v>
      </c>
      <c r="AA43" s="117">
        <f>Z43*(AA30/Z30)</f>
        <v>20.259999999999998</v>
      </c>
      <c r="AB43" s="117">
        <f t="shared" ref="AB43:AC43" si="20">AA43*(AB30/AA30)</f>
        <v>20.523379999999996</v>
      </c>
      <c r="AC43" s="117">
        <f t="shared" si="20"/>
        <v>20.790183939999995</v>
      </c>
      <c r="AE43" s="110" t="s">
        <v>5</v>
      </c>
      <c r="AF43" s="117">
        <f>$B43</f>
        <v>20</v>
      </c>
      <c r="AG43" s="117">
        <f>AF43*(AG30/AF30)</f>
        <v>20.659999999999997</v>
      </c>
      <c r="AH43" s="117">
        <f t="shared" ref="AH43:AI43" si="21">AG43*(AH30/AG30)</f>
        <v>21.341779999999996</v>
      </c>
      <c r="AI43" s="117">
        <f t="shared" si="21"/>
        <v>22.046058739999996</v>
      </c>
      <c r="AK43" s="7" t="s">
        <v>5</v>
      </c>
      <c r="AL43" s="117">
        <f>$B43</f>
        <v>20</v>
      </c>
      <c r="AM43" s="117">
        <f>AL43*(AM30/AL30)</f>
        <v>19.739999999999998</v>
      </c>
      <c r="AN43" s="117">
        <f t="shared" ref="AN43:AO43" si="22">AM43*(AN30/AM30)</f>
        <v>19.483379999999997</v>
      </c>
      <c r="AO43" s="117">
        <f t="shared" si="22"/>
        <v>19.230096059999997</v>
      </c>
    </row>
    <row r="44" spans="1:41">
      <c r="A44" s="104" t="s">
        <v>79</v>
      </c>
      <c r="B44" s="117">
        <f>'Develop Model'!$F56</f>
        <v>52.6</v>
      </c>
      <c r="C44" s="117">
        <f>B44-C51-C55</f>
        <v>60.538800000000002</v>
      </c>
      <c r="D44" s="117">
        <f>C44-D51-D55</f>
        <v>68.354994399999995</v>
      </c>
      <c r="E44" s="117">
        <f>D44-E51-E55</f>
        <v>76.068381547199991</v>
      </c>
      <c r="F44" s="117"/>
      <c r="G44" s="7" t="s">
        <v>79</v>
      </c>
      <c r="H44" s="117">
        <f>'Develop Model'!$H56</f>
        <v>52.6</v>
      </c>
      <c r="I44" s="117">
        <f>H44-I51-I55</f>
        <v>60.538800000000002</v>
      </c>
      <c r="J44" s="117">
        <f>I44-J51-J55</f>
        <v>68.354994399999995</v>
      </c>
      <c r="K44" s="117">
        <f>J44-K51-K55</f>
        <v>76.068381547199991</v>
      </c>
      <c r="M44" s="7" t="s">
        <v>79</v>
      </c>
      <c r="N44" s="117">
        <f>'Develop Model'!$I56</f>
        <v>52.6</v>
      </c>
      <c r="O44" s="117">
        <f>N44-O51-O55</f>
        <v>56.538800000000002</v>
      </c>
      <c r="P44" s="117">
        <f>O44-P51-P55</f>
        <v>60.1397944</v>
      </c>
      <c r="Q44" s="117">
        <f>P44-Q51-Q55</f>
        <v>63.425143947199999</v>
      </c>
      <c r="S44" s="7" t="s">
        <v>79</v>
      </c>
      <c r="T44" s="117">
        <f>'Develop Model'!$J56</f>
        <v>52.6</v>
      </c>
      <c r="U44" s="117">
        <f>T44-U51-U55</f>
        <v>68.538799999999995</v>
      </c>
      <c r="V44" s="117">
        <f>U44-V51-V55</f>
        <v>85.85099439999999</v>
      </c>
      <c r="W44" s="117">
        <f>V44-W51-W55</f>
        <v>104.7419095472</v>
      </c>
      <c r="Y44" s="7" t="s">
        <v>79</v>
      </c>
      <c r="Z44" s="117">
        <f>'Develop Model'!$K56</f>
        <v>52.6</v>
      </c>
      <c r="AA44" s="117">
        <f>Z44-AA51-AA55</f>
        <v>60.538800000000002</v>
      </c>
      <c r="AB44" s="117">
        <f>AA44-AB51-AB55</f>
        <v>68.130994399999992</v>
      </c>
      <c r="AC44" s="117">
        <f>AB44-AC51-AC55</f>
        <v>75.399965547199983</v>
      </c>
      <c r="AE44" s="110" t="s">
        <v>79</v>
      </c>
      <c r="AF44" s="117">
        <f>'Develop Model'!$L56</f>
        <v>52.6</v>
      </c>
      <c r="AG44" s="117">
        <f>AF44-AG51-AG55</f>
        <v>60.538800000000002</v>
      </c>
      <c r="AH44" s="117">
        <f>AG44-AH51-AH55</f>
        <v>68.354994399999995</v>
      </c>
      <c r="AI44" s="117">
        <f>AH44-AI51-AI55</f>
        <v>76.068381547199991</v>
      </c>
      <c r="AK44" s="7" t="s">
        <v>79</v>
      </c>
      <c r="AL44" s="117">
        <f>'Develop Model'!$I56</f>
        <v>52.6</v>
      </c>
      <c r="AM44" s="117">
        <f>AL44-AM51-AM55</f>
        <v>56.538800000000002</v>
      </c>
      <c r="AN44" s="117">
        <f>AM44-AN51-AN55</f>
        <v>60.1397944</v>
      </c>
      <c r="AO44" s="117">
        <f>AN44-AO51-AO55</f>
        <v>63.425143947199999</v>
      </c>
    </row>
    <row r="45" spans="1:41">
      <c r="A45" s="104" t="s">
        <v>6</v>
      </c>
      <c r="B45" s="117">
        <f>'Develop Model'!F57</f>
        <v>14</v>
      </c>
      <c r="C45" s="117">
        <f>B45*(1+'Develop Model'!$F$63)</f>
        <v>14.462</v>
      </c>
      <c r="D45" s="117">
        <f>C45*(1+'Develop Model'!$F$63)</f>
        <v>14.939245999999999</v>
      </c>
      <c r="E45" s="117">
        <f>D45*(1+'Develop Model'!$F$63)</f>
        <v>15.432241117999999</v>
      </c>
      <c r="F45" s="117"/>
      <c r="G45" s="7" t="s">
        <v>6</v>
      </c>
      <c r="H45" s="117">
        <f>$B45</f>
        <v>14</v>
      </c>
      <c r="I45" s="117">
        <f>H45*I31/H31</f>
        <v>14.462</v>
      </c>
      <c r="J45" s="117">
        <f t="shared" ref="J45:K45" si="23">I45*J31/I31</f>
        <v>14.939246000000001</v>
      </c>
      <c r="K45" s="117">
        <f t="shared" si="23"/>
        <v>15.432241117999999</v>
      </c>
      <c r="M45" s="7" t="s">
        <v>6</v>
      </c>
      <c r="N45" s="117">
        <f>$B45</f>
        <v>14</v>
      </c>
      <c r="O45" s="117">
        <f>N45*O31/N31</f>
        <v>13.818</v>
      </c>
      <c r="P45" s="117">
        <f t="shared" ref="P45:Q45" si="24">O45*P31/O31</f>
        <v>13.638366000000001</v>
      </c>
      <c r="Q45" s="117">
        <f t="shared" si="24"/>
        <v>13.461067242</v>
      </c>
      <c r="S45" s="7" t="s">
        <v>6</v>
      </c>
      <c r="T45" s="117">
        <f>$B45</f>
        <v>14</v>
      </c>
      <c r="U45" s="117">
        <f>T45*U31/T31</f>
        <v>15.722</v>
      </c>
      <c r="V45" s="117">
        <f t="shared" ref="V45:W45" si="25">U45*V31/U31</f>
        <v>17.655805999999998</v>
      </c>
      <c r="W45" s="117">
        <f t="shared" si="25"/>
        <v>19.827470137999999</v>
      </c>
      <c r="Y45" s="7" t="s">
        <v>6</v>
      </c>
      <c r="Z45" s="117">
        <f>$B45</f>
        <v>14</v>
      </c>
      <c r="AA45" s="117">
        <f>Z45*AA31/Z31</f>
        <v>14.181999999999997</v>
      </c>
      <c r="AB45" s="117">
        <f t="shared" ref="AB45:AC45" si="26">AA45*AB31/AA31</f>
        <v>14.366365999999994</v>
      </c>
      <c r="AC45" s="117">
        <f t="shared" si="26"/>
        <v>14.553128757999993</v>
      </c>
      <c r="AE45" s="110" t="s">
        <v>6</v>
      </c>
      <c r="AF45" s="117">
        <f>$B45</f>
        <v>14</v>
      </c>
      <c r="AG45" s="117">
        <f>AF45*AG31/AF31</f>
        <v>12.793307692307691</v>
      </c>
      <c r="AH45" s="117">
        <f t="shared" ref="AH45:AI45" si="27">AG45*AH31/AG31</f>
        <v>13.215486846153846</v>
      </c>
      <c r="AI45" s="117">
        <f t="shared" si="27"/>
        <v>13.651597912076921</v>
      </c>
      <c r="AK45" s="7" t="s">
        <v>6</v>
      </c>
      <c r="AL45" s="117">
        <f>$B45</f>
        <v>14</v>
      </c>
      <c r="AM45" s="117">
        <f>AL45*AM31/AL31</f>
        <v>13.818</v>
      </c>
      <c r="AN45" s="117">
        <f t="shared" ref="AN45:AO45" si="28">AM45*AN31/AM31</f>
        <v>13.638366000000001</v>
      </c>
      <c r="AO45" s="117">
        <f t="shared" si="28"/>
        <v>13.461067241999999</v>
      </c>
    </row>
    <row r="46" spans="1:41">
      <c r="A46" s="104" t="s">
        <v>7</v>
      </c>
      <c r="B46" s="117">
        <f>'Develop Model'!$F58</f>
        <v>0</v>
      </c>
      <c r="C46" s="117">
        <f>B46</f>
        <v>0</v>
      </c>
      <c r="D46" s="117">
        <f t="shared" ref="D46:E46" si="29">C46</f>
        <v>0</v>
      </c>
      <c r="E46" s="117">
        <f t="shared" si="29"/>
        <v>0</v>
      </c>
      <c r="F46" s="117"/>
      <c r="G46" s="7" t="s">
        <v>106</v>
      </c>
      <c r="H46" s="117">
        <f>'Develop Model'!$H58</f>
        <v>0</v>
      </c>
      <c r="I46" s="117">
        <f>H46</f>
        <v>0</v>
      </c>
      <c r="J46" s="117">
        <f t="shared" ref="J46:K46" si="30">I46</f>
        <v>0</v>
      </c>
      <c r="K46" s="117">
        <f t="shared" si="30"/>
        <v>0</v>
      </c>
      <c r="M46" s="7" t="s">
        <v>106</v>
      </c>
      <c r="N46" s="117">
        <f>'Develop Model'!$I58</f>
        <v>0</v>
      </c>
      <c r="O46" s="117">
        <f>N46</f>
        <v>0</v>
      </c>
      <c r="P46" s="117">
        <f t="shared" ref="P46:Q46" si="31">O46</f>
        <v>0</v>
      </c>
      <c r="Q46" s="117">
        <f t="shared" si="31"/>
        <v>0</v>
      </c>
      <c r="S46" s="7" t="s">
        <v>106</v>
      </c>
      <c r="T46" s="117">
        <f>'Develop Model'!$J58</f>
        <v>0</v>
      </c>
      <c r="U46" s="117">
        <f>T46</f>
        <v>0</v>
      </c>
      <c r="V46" s="117">
        <f t="shared" ref="V46:W46" si="32">U46</f>
        <v>0</v>
      </c>
      <c r="W46" s="117">
        <f t="shared" si="32"/>
        <v>0</v>
      </c>
      <c r="Y46" s="7" t="s">
        <v>106</v>
      </c>
      <c r="Z46" s="117">
        <f>'Develop Model'!$K58</f>
        <v>0</v>
      </c>
      <c r="AA46" s="117">
        <f>Z46</f>
        <v>0</v>
      </c>
      <c r="AB46" s="117">
        <f t="shared" ref="AB46:AC46" si="33">AA46</f>
        <v>0</v>
      </c>
      <c r="AC46" s="117">
        <f t="shared" si="33"/>
        <v>0</v>
      </c>
      <c r="AE46" s="110" t="s">
        <v>106</v>
      </c>
      <c r="AF46" s="117">
        <f>'Develop Model'!$L58</f>
        <v>28.000000000000004</v>
      </c>
      <c r="AG46" s="117">
        <f>AF46</f>
        <v>28.000000000000004</v>
      </c>
      <c r="AH46" s="117">
        <f t="shared" ref="AH46:AI46" si="34">AG46</f>
        <v>28.000000000000004</v>
      </c>
      <c r="AI46" s="117">
        <f t="shared" si="34"/>
        <v>28.000000000000004</v>
      </c>
      <c r="AK46" s="7" t="s">
        <v>106</v>
      </c>
      <c r="AL46" s="117">
        <f>'Develop Model'!$I58</f>
        <v>0</v>
      </c>
      <c r="AM46" s="117">
        <f>AL46</f>
        <v>0</v>
      </c>
      <c r="AN46" s="117">
        <f t="shared" ref="AN46:AO46" si="35">AM46</f>
        <v>0</v>
      </c>
      <c r="AO46" s="117">
        <f t="shared" si="35"/>
        <v>0</v>
      </c>
    </row>
    <row r="47" spans="1:41">
      <c r="A47" s="104" t="s">
        <v>8</v>
      </c>
      <c r="B47" s="117">
        <f>'Develop Model'!$F59</f>
        <v>51.8</v>
      </c>
      <c r="C47" s="116">
        <f>B47+C39+C56</f>
        <v>67.371839999999992</v>
      </c>
      <c r="D47" s="117">
        <f t="shared" ref="D47:E47" si="36">C47+D39+D56</f>
        <v>83.539050463999985</v>
      </c>
      <c r="E47" s="116">
        <f t="shared" si="36"/>
        <v>100.32668521194239</v>
      </c>
      <c r="F47" s="117"/>
      <c r="G47" s="7" t="s">
        <v>107</v>
      </c>
      <c r="H47" s="117">
        <f>'Develop Model'!$H59</f>
        <v>51.8</v>
      </c>
      <c r="I47" s="117">
        <f>H47+I39</f>
        <v>67.371839999999992</v>
      </c>
      <c r="J47" s="117">
        <f>I47+J39</f>
        <v>83.539050463999985</v>
      </c>
      <c r="K47" s="117">
        <f>J47+K39</f>
        <v>100.32668521194239</v>
      </c>
      <c r="M47" s="7" t="s">
        <v>107</v>
      </c>
      <c r="N47" s="117">
        <f>'Develop Model'!$I59</f>
        <v>51.8</v>
      </c>
      <c r="O47" s="117">
        <f>N47+O39</f>
        <v>78.971839999999986</v>
      </c>
      <c r="P47" s="117">
        <f>O47+P39</f>
        <v>106.06272406399998</v>
      </c>
      <c r="Q47" s="116">
        <f>P47+Q39</f>
        <v>133.08018761770236</v>
      </c>
      <c r="S47" s="7" t="s">
        <v>107</v>
      </c>
      <c r="T47" s="117">
        <f>'Develop Model'!$J59</f>
        <v>51.8</v>
      </c>
      <c r="U47" s="117">
        <f>T47+U39</f>
        <v>73.171840000000003</v>
      </c>
      <c r="V47" s="117">
        <f>U47+V39</f>
        <v>97.209186463999998</v>
      </c>
      <c r="W47" s="117">
        <f>V47+W39</f>
        <v>124.24713332554239</v>
      </c>
      <c r="Y47" s="7" t="s">
        <v>107</v>
      </c>
      <c r="Z47" s="117">
        <f>'Develop Model'!$K59</f>
        <v>51.8</v>
      </c>
      <c r="AA47" s="117">
        <f>Z47+AA39</f>
        <v>55.771839999999997</v>
      </c>
      <c r="AB47" s="117">
        <f>AA47+AB39</f>
        <v>59.746522463999995</v>
      </c>
      <c r="AC47" s="116">
        <f>AB47+AC39</f>
        <v>63.728736159142393</v>
      </c>
      <c r="AE47" s="110" t="s">
        <v>107</v>
      </c>
      <c r="AF47" s="117">
        <f>'Develop Model'!$L59</f>
        <v>26.8</v>
      </c>
      <c r="AG47" s="117">
        <f>AF47+AG39</f>
        <v>42.047040000000003</v>
      </c>
      <c r="AH47" s="117">
        <f>AG47+AH39</f>
        <v>57.866325953230771</v>
      </c>
      <c r="AI47" s="117">
        <f>AH47+AI39</f>
        <v>74.301361490663623</v>
      </c>
      <c r="AK47" s="7" t="s">
        <v>107</v>
      </c>
      <c r="AL47" s="117">
        <f>'Develop Model'!$I59</f>
        <v>51.8</v>
      </c>
      <c r="AM47" s="117">
        <f>AL47+AM39+AM56</f>
        <v>51.79999999999999</v>
      </c>
      <c r="AN47" s="117">
        <f t="shared" ref="AN47:AO47" si="37">AM47+AN39+AN56</f>
        <v>51.799999999999983</v>
      </c>
      <c r="AO47" s="117">
        <f t="shared" si="37"/>
        <v>51.799999999999976</v>
      </c>
    </row>
    <row r="48" spans="1:41">
      <c r="A48" s="7"/>
      <c r="B48" s="117"/>
      <c r="C48" s="117"/>
      <c r="D48" s="117"/>
      <c r="E48" s="117"/>
      <c r="F48" s="117"/>
      <c r="G48" s="7"/>
      <c r="H48" s="117"/>
      <c r="I48" s="117"/>
      <c r="J48" s="117"/>
      <c r="K48" s="117"/>
      <c r="M48" s="7"/>
      <c r="N48" s="117"/>
      <c r="O48" s="117"/>
      <c r="P48" s="117"/>
      <c r="Q48" s="117"/>
      <c r="S48" s="7"/>
      <c r="T48" s="117"/>
      <c r="U48" s="117"/>
      <c r="V48" s="117"/>
      <c r="W48" s="117"/>
      <c r="Y48" s="7"/>
      <c r="Z48" s="117"/>
      <c r="AA48" s="117"/>
      <c r="AB48" s="117"/>
      <c r="AC48" s="117"/>
      <c r="AE48" s="110"/>
      <c r="AF48" s="117"/>
      <c r="AG48" s="117"/>
      <c r="AH48" s="117"/>
      <c r="AI48" s="117"/>
      <c r="AK48" s="7"/>
      <c r="AL48" s="117"/>
      <c r="AM48" s="117"/>
      <c r="AN48" s="117"/>
      <c r="AO48" s="117"/>
    </row>
    <row r="49" spans="1:41">
      <c r="A49" s="94" t="s">
        <v>10</v>
      </c>
      <c r="B49" s="117"/>
      <c r="C49" s="117"/>
      <c r="D49" s="117"/>
      <c r="E49" s="117"/>
      <c r="F49" s="117"/>
      <c r="G49" s="7"/>
      <c r="H49" s="117"/>
      <c r="I49" s="117"/>
      <c r="J49" s="117"/>
      <c r="K49" s="117"/>
      <c r="M49" s="7"/>
      <c r="N49" s="117"/>
      <c r="O49" s="117"/>
      <c r="P49" s="117"/>
      <c r="Q49" s="117"/>
      <c r="S49" s="7"/>
      <c r="T49" s="117"/>
      <c r="U49" s="117"/>
      <c r="V49" s="117"/>
      <c r="W49" s="117"/>
      <c r="Y49" s="7"/>
      <c r="Z49" s="117"/>
      <c r="AA49" s="117"/>
      <c r="AB49" s="117"/>
      <c r="AC49" s="117"/>
      <c r="AE49" s="110"/>
      <c r="AF49" s="117"/>
      <c r="AG49" s="117"/>
      <c r="AH49" s="117"/>
      <c r="AI49" s="117"/>
      <c r="AK49" s="7"/>
      <c r="AL49" s="117"/>
      <c r="AM49" s="117"/>
      <c r="AN49" s="117"/>
      <c r="AO49" s="117"/>
    </row>
    <row r="50" spans="1:41">
      <c r="A50" s="104" t="s">
        <v>163</v>
      </c>
      <c r="B50" s="117"/>
      <c r="C50" s="117">
        <f>C39</f>
        <v>15.571840000000002</v>
      </c>
      <c r="D50" s="117">
        <f>D39</f>
        <v>16.167210464</v>
      </c>
      <c r="E50" s="117">
        <f>E39</f>
        <v>16.787634747942398</v>
      </c>
      <c r="F50" s="117"/>
      <c r="G50" s="7" t="s">
        <v>104</v>
      </c>
      <c r="H50" s="117"/>
      <c r="I50" s="117">
        <f>I39</f>
        <v>15.571840000000002</v>
      </c>
      <c r="J50" s="117">
        <f>J39</f>
        <v>16.167210464</v>
      </c>
      <c r="K50" s="117">
        <f>K39</f>
        <v>16.787634747942398</v>
      </c>
      <c r="M50" s="7" t="s">
        <v>104</v>
      </c>
      <c r="N50" s="117"/>
      <c r="O50" s="117">
        <f>O39</f>
        <v>27.171839999999996</v>
      </c>
      <c r="P50" s="117">
        <f>P39</f>
        <v>27.090884063999997</v>
      </c>
      <c r="Q50" s="117">
        <f>Q39</f>
        <v>27.017463553702395</v>
      </c>
      <c r="S50" s="7" t="s">
        <v>104</v>
      </c>
      <c r="T50" s="117"/>
      <c r="U50" s="117">
        <f>U39</f>
        <v>21.371839999999999</v>
      </c>
      <c r="V50" s="117">
        <f>V39</f>
        <v>24.037346463999999</v>
      </c>
      <c r="W50" s="117">
        <f>W39</f>
        <v>27.037946861542402</v>
      </c>
      <c r="Y50" s="7" t="s">
        <v>104</v>
      </c>
      <c r="Z50" s="117"/>
      <c r="AA50" s="117">
        <f>AA39</f>
        <v>3.9718400000000007</v>
      </c>
      <c r="AB50" s="117">
        <f>AB39</f>
        <v>3.9746824639999998</v>
      </c>
      <c r="AC50" s="117">
        <f>AC39</f>
        <v>3.982213695142399</v>
      </c>
      <c r="AE50" s="110" t="s">
        <v>104</v>
      </c>
      <c r="AF50" s="117"/>
      <c r="AG50" s="117">
        <f>AG39</f>
        <v>15.24704</v>
      </c>
      <c r="AH50" s="117">
        <f>AH39</f>
        <v>15.819285953230771</v>
      </c>
      <c r="AI50" s="117">
        <f>AI39</f>
        <v>16.43503553743286</v>
      </c>
      <c r="AK50" s="7" t="s">
        <v>104</v>
      </c>
      <c r="AL50" s="117"/>
      <c r="AM50" s="117">
        <f>AM39</f>
        <v>27.171839999999996</v>
      </c>
      <c r="AN50" s="117">
        <f>AN39</f>
        <v>26.775690719999997</v>
      </c>
      <c r="AO50" s="117">
        <f>AO39</f>
        <v>26.388015954559997</v>
      </c>
    </row>
    <row r="51" spans="1:41">
      <c r="A51" s="104" t="s">
        <v>3</v>
      </c>
      <c r="B51" s="117"/>
      <c r="C51" s="117">
        <f>B44*'Develop Model'!$F73</f>
        <v>3.2612000000000001</v>
      </c>
      <c r="D51" s="117">
        <f>C44*'Develop Model'!$F73</f>
        <v>3.7534056000000002</v>
      </c>
      <c r="E51" s="117">
        <f>D44*'Develop Model'!$F73</f>
        <v>4.2380096527999997</v>
      </c>
      <c r="F51" s="117"/>
      <c r="G51" s="7" t="s">
        <v>3</v>
      </c>
      <c r="H51" s="117"/>
      <c r="I51" s="117">
        <f>H44*'Develop Model'!$H73</f>
        <v>3.2612000000000001</v>
      </c>
      <c r="J51" s="117">
        <f>I44*'Develop Model'!$H73</f>
        <v>3.7534056000000002</v>
      </c>
      <c r="K51" s="117">
        <f>J44*'Develop Model'!$H73</f>
        <v>4.2380096527999997</v>
      </c>
      <c r="M51" s="7" t="s">
        <v>3</v>
      </c>
      <c r="N51" s="117"/>
      <c r="O51" s="117">
        <f>N44*'Develop Model'!$I73</f>
        <v>3.2612000000000001</v>
      </c>
      <c r="P51" s="117">
        <f>O44*'Develop Model'!$I73</f>
        <v>3.5054056</v>
      </c>
      <c r="Q51" s="117">
        <f>P44*'Develop Model'!$I73</f>
        <v>3.7286672527999998</v>
      </c>
      <c r="S51" s="7" t="s">
        <v>3</v>
      </c>
      <c r="T51" s="117"/>
      <c r="U51" s="117">
        <f>T44*'Develop Model'!$J73</f>
        <v>3.2612000000000001</v>
      </c>
      <c r="V51" s="117">
        <f>U44*'Develop Model'!$J73</f>
        <v>4.2494055999999993</v>
      </c>
      <c r="W51" s="117">
        <f>V44*'Develop Model'!$J73</f>
        <v>5.3227616527999997</v>
      </c>
      <c r="Y51" s="7" t="s">
        <v>3</v>
      </c>
      <c r="Z51" s="117"/>
      <c r="AA51" s="117">
        <f>Z44*'Develop Model'!$K73</f>
        <v>3.2612000000000001</v>
      </c>
      <c r="AB51" s="117">
        <f>AA44*'Develop Model'!$K73</f>
        <v>3.7534056000000002</v>
      </c>
      <c r="AC51" s="117">
        <f>AB44*'Develop Model'!$K73</f>
        <v>4.2241216527999992</v>
      </c>
      <c r="AE51" s="110" t="s">
        <v>3</v>
      </c>
      <c r="AF51" s="117"/>
      <c r="AG51" s="117">
        <f>AF44*'Develop Model'!$L73</f>
        <v>3.2612000000000001</v>
      </c>
      <c r="AH51" s="117">
        <f>AG44*'Develop Model'!$L73</f>
        <v>3.7534056000000002</v>
      </c>
      <c r="AI51" s="117">
        <f>AH44*'Develop Model'!$L73</f>
        <v>4.2380096527999997</v>
      </c>
      <c r="AK51" s="7" t="s">
        <v>3</v>
      </c>
      <c r="AL51" s="117"/>
      <c r="AM51" s="117">
        <f>AL44*'Develop Model'!$I73</f>
        <v>3.2612000000000001</v>
      </c>
      <c r="AN51" s="117">
        <f>AM44*'Develop Model'!$I73</f>
        <v>3.5054056</v>
      </c>
      <c r="AO51" s="117">
        <f>AN44*'Develop Model'!$I73</f>
        <v>3.7286672527999998</v>
      </c>
    </row>
    <row r="52" spans="1:41">
      <c r="A52" s="104" t="s">
        <v>164</v>
      </c>
      <c r="B52" s="117"/>
      <c r="C52" s="117">
        <f>C53+C54</f>
        <v>-0.19799999999999685</v>
      </c>
      <c r="D52" s="117">
        <f t="shared" ref="D52:E52" si="38">D53+D54</f>
        <v>-0.20453400000000066</v>
      </c>
      <c r="E52" s="117">
        <f t="shared" si="38"/>
        <v>-0.21128362199999984</v>
      </c>
      <c r="F52" s="117"/>
      <c r="G52" s="104" t="s">
        <v>164</v>
      </c>
      <c r="H52" s="117"/>
      <c r="I52" s="117">
        <f>I53+I54</f>
        <v>-0.19799999999999685</v>
      </c>
      <c r="J52" s="117">
        <f t="shared" ref="J52" si="39">J53+J54</f>
        <v>-0.20453399999999888</v>
      </c>
      <c r="K52" s="117">
        <f t="shared" ref="K52" si="40">K53+K54</f>
        <v>-0.21128362200000161</v>
      </c>
      <c r="M52" s="104" t="s">
        <v>164</v>
      </c>
      <c r="N52" s="117"/>
      <c r="O52" s="117">
        <f>O53+O54</f>
        <v>7.800000000000118E-2</v>
      </c>
      <c r="P52" s="117">
        <f t="shared" ref="P52" si="41">P53+P54</f>
        <v>7.698600000000333E-2</v>
      </c>
      <c r="Q52" s="117">
        <f t="shared" ref="Q52" si="42">Q53+Q54</f>
        <v>7.5985181999998375E-2</v>
      </c>
      <c r="S52" s="104" t="s">
        <v>164</v>
      </c>
      <c r="T52" s="117"/>
      <c r="U52" s="117">
        <f>U53+U54</f>
        <v>-0.73800000000000132</v>
      </c>
      <c r="V52" s="117">
        <f t="shared" ref="V52" si="43">V53+V54</f>
        <v>-0.82877400000000101</v>
      </c>
      <c r="W52" s="117">
        <f t="shared" ref="W52" si="44">W53+W54</f>
        <v>-0.93071320199999974</v>
      </c>
      <c r="Y52" s="104" t="s">
        <v>164</v>
      </c>
      <c r="Z52" s="117"/>
      <c r="AA52" s="117">
        <f>AA53+AA54</f>
        <v>-7.800000000000118E-2</v>
      </c>
      <c r="AB52" s="117">
        <f t="shared" ref="AB52" si="45">AB53+AB54</f>
        <v>-7.9014000000000806E-2</v>
      </c>
      <c r="AC52" s="117">
        <f t="shared" ref="AC52" si="46">AC53+AC54</f>
        <v>-8.0041182000000433E-2</v>
      </c>
      <c r="AE52" s="104" t="s">
        <v>164</v>
      </c>
      <c r="AF52" s="117"/>
      <c r="AG52" s="117">
        <f>AG53+AG54</f>
        <v>-1.8666923076923059</v>
      </c>
      <c r="AH52" s="117">
        <f t="shared" ref="AH52" si="47">AH53+AH54</f>
        <v>-0.2596008461538446</v>
      </c>
      <c r="AI52" s="117">
        <f t="shared" ref="AI52" si="48">AI53+AI54</f>
        <v>-0.2681676740769241</v>
      </c>
      <c r="AK52" s="104" t="s">
        <v>164</v>
      </c>
      <c r="AL52" s="117"/>
      <c r="AM52" s="117">
        <f>AM53+AM54</f>
        <v>7.800000000000118E-2</v>
      </c>
      <c r="AN52" s="117">
        <f t="shared" ref="AN52" si="49">AN53+AN54</f>
        <v>7.698600000000333E-2</v>
      </c>
      <c r="AO52" s="117">
        <f t="shared" ref="AO52" si="50">AO53+AO54</f>
        <v>7.5985181999996598E-2</v>
      </c>
    </row>
    <row r="53" spans="1:41">
      <c r="A53" s="161" t="s">
        <v>174</v>
      </c>
      <c r="B53" s="117"/>
      <c r="C53" s="117">
        <f>-(C43-B43)</f>
        <v>-0.65999999999999659</v>
      </c>
      <c r="D53" s="117">
        <f t="shared" ref="D53:E53" si="51">-(D43-C43)</f>
        <v>-0.68177999999999983</v>
      </c>
      <c r="E53" s="117">
        <f t="shared" si="51"/>
        <v>-0.70427873999999946</v>
      </c>
      <c r="F53" s="117"/>
      <c r="G53" s="161" t="s">
        <v>174</v>
      </c>
      <c r="H53" s="117"/>
      <c r="I53" s="117">
        <f>-(I43-H43)</f>
        <v>-0.65999999999999659</v>
      </c>
      <c r="J53" s="117">
        <f t="shared" ref="J53:K53" si="52">-(J43-I43)</f>
        <v>-0.68177999999999983</v>
      </c>
      <c r="K53" s="117">
        <f t="shared" si="52"/>
        <v>-0.70427873999999946</v>
      </c>
      <c r="M53" s="161" t="s">
        <v>174</v>
      </c>
      <c r="N53" s="117"/>
      <c r="O53" s="117">
        <f>-(O43-N43)</f>
        <v>0.26000000000000156</v>
      </c>
      <c r="P53" s="117">
        <f t="shared" ref="P53:Q53" si="53">-(P43-O43)</f>
        <v>0.25662000000000162</v>
      </c>
      <c r="Q53" s="117">
        <f t="shared" si="53"/>
        <v>0.25328393999999932</v>
      </c>
      <c r="S53" s="161" t="s">
        <v>174</v>
      </c>
      <c r="T53" s="117"/>
      <c r="U53" s="117">
        <f>-(U43-T43)</f>
        <v>-2.4600000000000009</v>
      </c>
      <c r="V53" s="117">
        <f t="shared" ref="V53:W53" si="54">-(V43-U43)</f>
        <v>-2.7625799999999998</v>
      </c>
      <c r="W53" s="117">
        <f t="shared" si="54"/>
        <v>-3.1023773400000003</v>
      </c>
      <c r="Y53" s="161" t="s">
        <v>174</v>
      </c>
      <c r="Z53" s="117"/>
      <c r="AA53" s="117">
        <f>-(AA43-Z43)</f>
        <v>-0.25999999999999801</v>
      </c>
      <c r="AB53" s="117">
        <f t="shared" ref="AB53:AC53" si="55">-(AB43-AA43)</f>
        <v>-0.26337999999999795</v>
      </c>
      <c r="AC53" s="117">
        <f t="shared" si="55"/>
        <v>-0.26680393999999907</v>
      </c>
      <c r="AE53" s="161" t="s">
        <v>174</v>
      </c>
      <c r="AF53" s="117"/>
      <c r="AG53" s="117">
        <f>-(AG43-AF43)</f>
        <v>-0.65999999999999659</v>
      </c>
      <c r="AH53" s="117">
        <f t="shared" ref="AH53:AI53" si="56">-(AH43-AG43)</f>
        <v>-0.68177999999999983</v>
      </c>
      <c r="AI53" s="117">
        <f t="shared" si="56"/>
        <v>-0.70427873999999946</v>
      </c>
      <c r="AK53" s="161" t="s">
        <v>174</v>
      </c>
      <c r="AL53" s="117"/>
      <c r="AM53" s="117">
        <f>-(AM43-AL43)</f>
        <v>0.26000000000000156</v>
      </c>
      <c r="AN53" s="117">
        <f t="shared" ref="AN53:AO53" si="57">-(AN43-AM43)</f>
        <v>0.25662000000000162</v>
      </c>
      <c r="AO53" s="117">
        <f t="shared" si="57"/>
        <v>0.25328393999999932</v>
      </c>
    </row>
    <row r="54" spans="1:41">
      <c r="A54" s="161" t="s">
        <v>175</v>
      </c>
      <c r="B54" s="117"/>
      <c r="C54" s="117">
        <f>C45-B45</f>
        <v>0.46199999999999974</v>
      </c>
      <c r="D54" s="117">
        <f t="shared" ref="D54:E54" si="58">D45-C45</f>
        <v>0.47724599999999917</v>
      </c>
      <c r="E54" s="117">
        <f t="shared" si="58"/>
        <v>0.49299511799999962</v>
      </c>
      <c r="F54" s="117"/>
      <c r="G54" s="161" t="s">
        <v>175</v>
      </c>
      <c r="H54" s="117"/>
      <c r="I54" s="117">
        <f>I45-H45</f>
        <v>0.46199999999999974</v>
      </c>
      <c r="J54" s="117">
        <f t="shared" ref="J54:K54" si="59">J45-I45</f>
        <v>0.47724600000000095</v>
      </c>
      <c r="K54" s="117">
        <f t="shared" si="59"/>
        <v>0.49299511799999785</v>
      </c>
      <c r="M54" s="161" t="s">
        <v>175</v>
      </c>
      <c r="N54" s="117"/>
      <c r="O54" s="117">
        <f>O45-N45</f>
        <v>-0.18200000000000038</v>
      </c>
      <c r="P54" s="117">
        <f t="shared" ref="P54:Q54" si="60">P45-O45</f>
        <v>-0.1796339999999983</v>
      </c>
      <c r="Q54" s="117">
        <f t="shared" si="60"/>
        <v>-0.17729875800000094</v>
      </c>
      <c r="S54" s="161" t="s">
        <v>175</v>
      </c>
      <c r="T54" s="117"/>
      <c r="U54" s="117">
        <f>U45-T45</f>
        <v>1.7219999999999995</v>
      </c>
      <c r="V54" s="117">
        <f t="shared" ref="V54:W54" si="61">V45-U45</f>
        <v>1.9338059999999988</v>
      </c>
      <c r="W54" s="117">
        <f t="shared" si="61"/>
        <v>2.1716641380000006</v>
      </c>
      <c r="Y54" s="161" t="s">
        <v>175</v>
      </c>
      <c r="Z54" s="117"/>
      <c r="AA54" s="117">
        <f>AA45-Z45</f>
        <v>0.18199999999999683</v>
      </c>
      <c r="AB54" s="117">
        <f t="shared" ref="AB54:AC54" si="62">AB45-AA45</f>
        <v>0.18436599999999714</v>
      </c>
      <c r="AC54" s="117">
        <f t="shared" si="62"/>
        <v>0.18676275799999864</v>
      </c>
      <c r="AE54" s="161" t="s">
        <v>175</v>
      </c>
      <c r="AF54" s="117"/>
      <c r="AG54" s="117">
        <f>AG45-AF45</f>
        <v>-1.2066923076923093</v>
      </c>
      <c r="AH54" s="117">
        <f t="shared" ref="AH54:AI54" si="63">AH45-AG45</f>
        <v>0.42217915384615523</v>
      </c>
      <c r="AI54" s="117">
        <f t="shared" si="63"/>
        <v>0.43611106592307536</v>
      </c>
      <c r="AK54" s="161" t="s">
        <v>175</v>
      </c>
      <c r="AL54" s="117"/>
      <c r="AM54" s="117">
        <f>AM45-AL45</f>
        <v>-0.18200000000000038</v>
      </c>
      <c r="AN54" s="117">
        <f t="shared" ref="AN54:AO54" si="64">AN45-AM45</f>
        <v>-0.1796339999999983</v>
      </c>
      <c r="AO54" s="117">
        <f t="shared" si="64"/>
        <v>-0.17729875800000272</v>
      </c>
    </row>
    <row r="55" spans="1:41">
      <c r="A55" s="104" t="s">
        <v>82</v>
      </c>
      <c r="B55" s="117"/>
      <c r="C55" s="117">
        <f>-C30*'Develop Model'!$F69</f>
        <v>-11.200000000000001</v>
      </c>
      <c r="D55" s="117">
        <f>-D30*'Develop Model'!$F69</f>
        <v>-11.569599999999999</v>
      </c>
      <c r="E55" s="117">
        <f>-E30*'Develop Model'!$F69</f>
        <v>-11.951396799999999</v>
      </c>
      <c r="F55" s="117"/>
      <c r="G55" s="7" t="s">
        <v>103</v>
      </c>
      <c r="H55" s="117"/>
      <c r="I55" s="117">
        <f>-I30*'Develop Model'!$H69</f>
        <v>-11.200000000000001</v>
      </c>
      <c r="J55" s="117">
        <f>-J30*'Develop Model'!$H69</f>
        <v>-11.569599999999999</v>
      </c>
      <c r="K55" s="117">
        <f>-K30*'Develop Model'!$H69</f>
        <v>-11.951396799999999</v>
      </c>
      <c r="M55" s="7" t="s">
        <v>103</v>
      </c>
      <c r="N55" s="117"/>
      <c r="O55" s="117">
        <f>-O30*'Develop Model'!$I69</f>
        <v>-7.2000000000000011</v>
      </c>
      <c r="P55" s="117">
        <f>-P30*'Develop Model'!$I69</f>
        <v>-7.1064000000000007</v>
      </c>
      <c r="Q55" s="117">
        <f>-Q30*'Develop Model'!$I69</f>
        <v>-7.0140168000000003</v>
      </c>
      <c r="S55" s="7" t="s">
        <v>103</v>
      </c>
      <c r="T55" s="117"/>
      <c r="U55" s="117">
        <f>-U30*'Develop Model'!$J69</f>
        <v>-19.2</v>
      </c>
      <c r="V55" s="117">
        <f>-V30*'Develop Model'!$J69</f>
        <v>-21.561599999999999</v>
      </c>
      <c r="W55" s="117">
        <f>-W30*'Develop Model'!$J69</f>
        <v>-24.213676799999998</v>
      </c>
      <c r="Y55" s="7" t="s">
        <v>103</v>
      </c>
      <c r="Z55" s="117"/>
      <c r="AA55" s="117">
        <f>-AA30*'Develop Model'!$K69</f>
        <v>-11.200000000000001</v>
      </c>
      <c r="AB55" s="117">
        <f>-AB30*'Develop Model'!$K69</f>
        <v>-11.345599999999997</v>
      </c>
      <c r="AC55" s="117">
        <f>-AC30*'Develop Model'!$K69</f>
        <v>-11.493092799999998</v>
      </c>
      <c r="AE55" s="110" t="s">
        <v>103</v>
      </c>
      <c r="AF55" s="117"/>
      <c r="AG55" s="117">
        <f>-AG30*'Develop Model'!$L69</f>
        <v>-11.200000000000001</v>
      </c>
      <c r="AH55" s="117">
        <f>-AH30*'Develop Model'!$L69</f>
        <v>-11.569599999999999</v>
      </c>
      <c r="AI55" s="117">
        <f>-AI30*'Develop Model'!$L69</f>
        <v>-11.951396799999999</v>
      </c>
      <c r="AK55" s="7" t="s">
        <v>103</v>
      </c>
      <c r="AL55" s="117"/>
      <c r="AM55" s="117">
        <f>-AM30*'Develop Model'!$I69</f>
        <v>-7.2000000000000011</v>
      </c>
      <c r="AN55" s="117">
        <f>-AN30*'Develop Model'!$I69</f>
        <v>-7.1064000000000007</v>
      </c>
      <c r="AO55" s="117">
        <f>-AO30*'Develop Model'!$I69</f>
        <v>-7.0140168000000003</v>
      </c>
    </row>
    <row r="56" spans="1:41">
      <c r="A56" s="104" t="s">
        <v>123</v>
      </c>
      <c r="B56" s="7"/>
      <c r="C56" s="7">
        <f>-C50*'Develop Model'!$F$68</f>
        <v>0</v>
      </c>
      <c r="D56" s="7">
        <f>-D50*'Develop Model'!$F$68</f>
        <v>0</v>
      </c>
      <c r="E56" s="7">
        <f>-E50*'Develop Model'!$F$68</f>
        <v>0</v>
      </c>
      <c r="F56" s="181"/>
      <c r="G56" s="7" t="s">
        <v>123</v>
      </c>
      <c r="H56" s="7"/>
      <c r="I56" s="7"/>
      <c r="J56" s="7"/>
      <c r="K56" s="7"/>
      <c r="M56" s="7" t="s">
        <v>123</v>
      </c>
      <c r="N56" s="7"/>
      <c r="O56" s="7"/>
      <c r="P56" s="7"/>
      <c r="Q56" s="7"/>
      <c r="S56" s="7" t="s">
        <v>123</v>
      </c>
      <c r="T56" s="7"/>
      <c r="U56" s="7"/>
      <c r="V56" s="7"/>
      <c r="W56" s="7"/>
      <c r="Y56" s="7" t="s">
        <v>123</v>
      </c>
      <c r="Z56" s="7"/>
      <c r="AA56" s="7"/>
      <c r="AB56" s="7"/>
      <c r="AC56" s="7"/>
      <c r="AE56" s="7" t="s">
        <v>123</v>
      </c>
      <c r="AF56" s="7"/>
      <c r="AG56" s="7"/>
      <c r="AH56" s="7"/>
      <c r="AI56" s="7"/>
      <c r="AK56" s="7" t="s">
        <v>123</v>
      </c>
      <c r="AL56" s="7"/>
      <c r="AM56" s="181">
        <f>-AM39</f>
        <v>-27.171839999999996</v>
      </c>
      <c r="AN56" s="181">
        <f t="shared" ref="AN56:AO56" si="65">-AN39</f>
        <v>-26.775690719999997</v>
      </c>
      <c r="AO56" s="181">
        <f t="shared" si="65"/>
        <v>-26.388015954559997</v>
      </c>
    </row>
    <row r="57" spans="1:41">
      <c r="A57" s="104" t="s">
        <v>165</v>
      </c>
      <c r="B57" s="117">
        <v>8.0196327074169691</v>
      </c>
      <c r="C57" s="117">
        <f>SUM(C50:C52,C55:C56)</f>
        <v>7.4350400000000025</v>
      </c>
      <c r="D57" s="117">
        <f t="shared" ref="D57:E57" si="66">SUM(D50:D52,D55:D56)</f>
        <v>8.1464820639999989</v>
      </c>
      <c r="E57" s="117">
        <f t="shared" si="66"/>
        <v>8.8629639787423979</v>
      </c>
      <c r="F57" s="117"/>
      <c r="G57" s="7" t="s">
        <v>108</v>
      </c>
      <c r="H57" s="117"/>
      <c r="I57" s="117">
        <f>SUM(I50:I52,I55:I56)</f>
        <v>7.4350400000000025</v>
      </c>
      <c r="J57" s="117">
        <f t="shared" ref="J57" si="67">SUM(J50:J52,J55:J56)</f>
        <v>8.1464820640000024</v>
      </c>
      <c r="K57" s="117">
        <f t="shared" ref="K57" si="68">SUM(K50:K52,K55:K56)</f>
        <v>8.8629639787423979</v>
      </c>
      <c r="M57" s="7" t="s">
        <v>108</v>
      </c>
      <c r="N57" s="117"/>
      <c r="O57" s="117">
        <f>SUM(O50:O52,O55:O56)</f>
        <v>23.311039999999991</v>
      </c>
      <c r="P57" s="117">
        <f t="shared" ref="P57" si="69">SUM(P50:P52,P55:P56)</f>
        <v>23.566875664000001</v>
      </c>
      <c r="Q57" s="117">
        <f t="shared" ref="Q57" si="70">SUM(Q50:Q52,Q55:Q56)</f>
        <v>23.808099188502396</v>
      </c>
      <c r="S57" s="7" t="s">
        <v>108</v>
      </c>
      <c r="T57" s="117"/>
      <c r="U57" s="117">
        <f>SUM(U50:U52,U55:U56)</f>
        <v>4.6950399999999952</v>
      </c>
      <c r="V57" s="117">
        <f t="shared" ref="V57" si="71">SUM(V50:V52,V55:V56)</f>
        <v>5.8963780639999968</v>
      </c>
      <c r="W57" s="117">
        <f t="shared" ref="W57" si="72">SUM(W50:W52,W55:W56)</f>
        <v>7.2163185123424007</v>
      </c>
      <c r="Y57" s="7" t="s">
        <v>108</v>
      </c>
      <c r="Z57" s="117"/>
      <c r="AA57" s="117">
        <f>SUM(AA50:AA52,AA55:AA56)</f>
        <v>-4.0449600000000014</v>
      </c>
      <c r="AB57" s="117">
        <f t="shared" ref="AB57" si="73">SUM(AB50:AB52,AB55:AB56)</f>
        <v>-3.6965259359999987</v>
      </c>
      <c r="AC57" s="117">
        <f t="shared" ref="AC57" si="74">SUM(AC50:AC52,AC55:AC56)</f>
        <v>-3.3667986340576004</v>
      </c>
      <c r="AE57" s="110" t="s">
        <v>108</v>
      </c>
      <c r="AF57" s="117"/>
      <c r="AG57" s="117">
        <f>SUM(AG50:AG52,AG55:AG56)</f>
        <v>5.4415476923076955</v>
      </c>
      <c r="AH57" s="117">
        <f t="shared" ref="AH57" si="75">SUM(AH50:AH52,AH55:AH56)</f>
        <v>7.7434907070769281</v>
      </c>
      <c r="AI57" s="117">
        <f t="shared" ref="AI57" si="76">SUM(AI50:AI52,AI55:AI56)</f>
        <v>8.4534807161559353</v>
      </c>
      <c r="AK57" s="7" t="s">
        <v>108</v>
      </c>
      <c r="AL57" s="117"/>
      <c r="AM57" s="117">
        <f>SUM(AM50:AM52,AM55:AM56)</f>
        <v>-3.8608000000000047</v>
      </c>
      <c r="AN57" s="117">
        <f t="shared" ref="AN57" si="77">SUM(AN50:AN52,AN55:AN56)</f>
        <v>-3.524008399999996</v>
      </c>
      <c r="AO57" s="117">
        <f t="shared" ref="AO57" si="78">SUM(AO50:AO52,AO55:AO56)</f>
        <v>-3.2093643652000026</v>
      </c>
    </row>
    <row r="58" spans="1:41">
      <c r="A58" s="7"/>
      <c r="B58" s="117"/>
      <c r="C58" s="117"/>
      <c r="D58" s="117"/>
      <c r="E58" s="117"/>
      <c r="F58" s="117"/>
      <c r="G58" s="7"/>
      <c r="H58" s="117"/>
      <c r="I58" s="117"/>
      <c r="J58" s="117"/>
      <c r="K58" s="117"/>
      <c r="M58" s="7"/>
      <c r="N58" s="117"/>
      <c r="O58" s="117"/>
      <c r="P58" s="117"/>
      <c r="Q58" s="117"/>
      <c r="S58" s="7"/>
      <c r="T58" s="117"/>
      <c r="U58" s="117"/>
      <c r="V58" s="117"/>
      <c r="W58" s="117"/>
      <c r="Y58" s="7"/>
      <c r="Z58" s="117"/>
      <c r="AA58" s="117"/>
      <c r="AB58" s="117"/>
      <c r="AC58" s="117"/>
      <c r="AE58" s="110"/>
      <c r="AF58" s="117"/>
      <c r="AG58" s="117"/>
      <c r="AH58" s="117"/>
      <c r="AI58" s="117"/>
      <c r="AK58" s="7"/>
      <c r="AL58" s="117"/>
      <c r="AM58" s="117"/>
      <c r="AN58" s="117"/>
      <c r="AO58" s="117"/>
    </row>
    <row r="59" spans="1:41">
      <c r="A59" s="94" t="s">
        <v>166</v>
      </c>
      <c r="B59" s="117"/>
      <c r="C59" s="119">
        <f>C39/B47</f>
        <v>0.30061467181467189</v>
      </c>
      <c r="D59" s="119">
        <f t="shared" ref="D59:E59" si="79">D39/C47</f>
        <v>0.2399698518550184</v>
      </c>
      <c r="E59" s="119">
        <f t="shared" si="79"/>
        <v>0.20095553701770646</v>
      </c>
      <c r="F59" s="119"/>
      <c r="G59" s="7" t="s">
        <v>116</v>
      </c>
      <c r="H59" s="117"/>
      <c r="I59" s="119">
        <f>I39/H47</f>
        <v>0.30061467181467189</v>
      </c>
      <c r="J59" s="119">
        <f t="shared" ref="J59" si="80">J39/I47</f>
        <v>0.2399698518550184</v>
      </c>
      <c r="K59" s="119">
        <f t="shared" ref="K59" si="81">K39/J47</f>
        <v>0.20095553701770646</v>
      </c>
      <c r="M59" s="7" t="s">
        <v>116</v>
      </c>
      <c r="N59" s="117"/>
      <c r="O59" s="119">
        <f>O39/N47</f>
        <v>0.52455289575289565</v>
      </c>
      <c r="P59" s="119">
        <f t="shared" ref="P59" si="82">P39/O47</f>
        <v>0.34304486338421392</v>
      </c>
      <c r="Q59" s="119">
        <f t="shared" ref="Q59" si="83">Q39/P47</f>
        <v>0.25473099802150673</v>
      </c>
      <c r="S59" s="7" t="s">
        <v>116</v>
      </c>
      <c r="T59" s="117"/>
      <c r="U59" s="119">
        <f>U39/T47</f>
        <v>0.4125837837837838</v>
      </c>
      <c r="V59" s="119">
        <f t="shared" ref="V59" si="84">V39/U47</f>
        <v>0.32850542591248216</v>
      </c>
      <c r="W59" s="119">
        <f t="shared" ref="W59" si="85">W39/V47</f>
        <v>0.27814189013458629</v>
      </c>
      <c r="Y59" s="7" t="s">
        <v>116</v>
      </c>
      <c r="Z59" s="117"/>
      <c r="AA59" s="119">
        <f>AA39/Z47</f>
        <v>7.6676447876447895E-2</v>
      </c>
      <c r="AB59" s="119">
        <f t="shared" ref="AB59" si="86">AB39/AA47</f>
        <v>7.1266834015158903E-2</v>
      </c>
      <c r="AC59" s="119">
        <f t="shared" ref="AC59" si="87">AC39/AB47</f>
        <v>6.6651807183286102E-2</v>
      </c>
      <c r="AE59" s="110" t="s">
        <v>116</v>
      </c>
      <c r="AF59" s="117"/>
      <c r="AG59" s="119">
        <f>AG39/AF47</f>
        <v>0.5689194029850746</v>
      </c>
      <c r="AH59" s="119">
        <f t="shared" ref="AH59" si="88">AH39/AG47</f>
        <v>0.37622828986846091</v>
      </c>
      <c r="AI59" s="119">
        <f t="shared" ref="AI59" si="89">AI39/AH47</f>
        <v>0.2840172633513337</v>
      </c>
      <c r="AK59" s="7" t="s">
        <v>116</v>
      </c>
      <c r="AL59" s="117"/>
      <c r="AM59" s="119">
        <f>AM39/AL47</f>
        <v>0.52455289575289565</v>
      </c>
      <c r="AN59" s="119">
        <f t="shared" ref="AN59" si="90">AN39/AM47</f>
        <v>0.51690522625482627</v>
      </c>
      <c r="AO59" s="119">
        <f t="shared" ref="AO59" si="91">AO39/AN47</f>
        <v>0.50942115742393834</v>
      </c>
    </row>
    <row r="62" spans="1:41">
      <c r="D62" s="130" t="str">
        <f>'Develop Model'!H52</f>
        <v>Baseline</v>
      </c>
      <c r="E62" s="130" t="str">
        <f>'Develop Model'!I52</f>
        <v>Cash Cow</v>
      </c>
      <c r="F62" s="130" t="str">
        <f>'Develop Model'!J52</f>
        <v>Star</v>
      </c>
      <c r="G62" s="130" t="str">
        <f>'Develop Model'!K52</f>
        <v>Dog</v>
      </c>
      <c r="H62" s="130" t="str">
        <f>'Develop Model'!L52</f>
        <v>Leverage</v>
      </c>
      <c r="I62" s="130" t="str">
        <f>AK26</f>
        <v>Cash Cow With Dividends</v>
      </c>
    </row>
    <row r="63" spans="1:41">
      <c r="C63" s="130" t="s">
        <v>80</v>
      </c>
      <c r="D63" s="131">
        <f>K30</f>
        <v>213.41779999999997</v>
      </c>
      <c r="E63" s="131">
        <f>Q30</f>
        <v>194.8338</v>
      </c>
      <c r="F63" s="131">
        <f>W30</f>
        <v>252.22579999999999</v>
      </c>
      <c r="G63" s="131">
        <f>AC30</f>
        <v>205.23379999999995</v>
      </c>
      <c r="H63" s="131">
        <f>AI30</f>
        <v>213.41779999999997</v>
      </c>
      <c r="I63" s="131">
        <f>AO30</f>
        <v>194.8338</v>
      </c>
    </row>
    <row r="64" spans="1:41">
      <c r="C64" s="130" t="s">
        <v>2</v>
      </c>
      <c r="D64" s="131">
        <f>K39</f>
        <v>16.787634747942398</v>
      </c>
      <c r="E64" s="131">
        <f>Q39</f>
        <v>27.017463553702395</v>
      </c>
      <c r="F64" s="131">
        <f>W39</f>
        <v>27.037946861542402</v>
      </c>
      <c r="G64" s="131">
        <f>AC39</f>
        <v>3.982213695142399</v>
      </c>
      <c r="H64" s="131">
        <f>AI39</f>
        <v>16.43503553743286</v>
      </c>
      <c r="I64" s="131">
        <f>AO39</f>
        <v>26.388015954559997</v>
      </c>
    </row>
    <row r="65" spans="3:10">
      <c r="C65" s="130" t="s">
        <v>9</v>
      </c>
      <c r="D65" s="131">
        <f>K42</f>
        <v>36.844486042742403</v>
      </c>
      <c r="E65" s="131">
        <f>Q42</f>
        <v>83.086014852502387</v>
      </c>
      <c r="F65" s="131">
        <f>W42</f>
        <v>30.207736576342395</v>
      </c>
      <c r="G65" s="131">
        <f>AC42</f>
        <v>1.2917154299423999</v>
      </c>
      <c r="H65" s="131">
        <f>AI42</f>
        <v>34.038519115540559</v>
      </c>
      <c r="I65" s="131">
        <f>AO42</f>
        <v>1.8058272347999971</v>
      </c>
    </row>
    <row r="66" spans="3:10">
      <c r="C66" s="130" t="s">
        <v>8</v>
      </c>
      <c r="D66" s="131">
        <f>K47</f>
        <v>100.32668521194239</v>
      </c>
      <c r="E66" s="131">
        <f>Q47</f>
        <v>133.08018761770236</v>
      </c>
      <c r="F66" s="131">
        <f>W47</f>
        <v>124.24713332554239</v>
      </c>
      <c r="G66" s="131">
        <f>AC47</f>
        <v>63.728736159142393</v>
      </c>
      <c r="H66" s="131">
        <f>AI47</f>
        <v>74.301361490663623</v>
      </c>
      <c r="I66" s="131">
        <f>AO47</f>
        <v>51.799999999999976</v>
      </c>
    </row>
    <row r="67" spans="3:10">
      <c r="C67" s="130" t="s">
        <v>125</v>
      </c>
      <c r="D67" s="131">
        <f>K57</f>
        <v>8.8629639787423979</v>
      </c>
      <c r="E67" s="131">
        <f>Q57</f>
        <v>23.808099188502396</v>
      </c>
      <c r="F67" s="131">
        <f>W57</f>
        <v>7.2163185123424007</v>
      </c>
      <c r="G67" s="131">
        <f>AC57</f>
        <v>-3.3667986340576004</v>
      </c>
      <c r="H67" s="131">
        <f>AI57</f>
        <v>8.4534807161559353</v>
      </c>
      <c r="I67" s="131">
        <f>AO57</f>
        <v>-3.2093643652000026</v>
      </c>
    </row>
    <row r="68" spans="3:10">
      <c r="C68" s="130" t="s">
        <v>116</v>
      </c>
      <c r="D68" s="132">
        <f>K59</f>
        <v>0.20095553701770646</v>
      </c>
      <c r="E68" s="132">
        <f>Q59</f>
        <v>0.25473099802150673</v>
      </c>
      <c r="F68" s="132">
        <f>W59</f>
        <v>0.27814189013458629</v>
      </c>
      <c r="G68" s="132">
        <f>AC59</f>
        <v>6.6651807183286102E-2</v>
      </c>
      <c r="H68" s="132">
        <f>AI59</f>
        <v>0.2840172633513337</v>
      </c>
      <c r="I68" s="132">
        <f>AO59</f>
        <v>0.50942115742393834</v>
      </c>
    </row>
    <row r="69" spans="3:10">
      <c r="D69" s="129"/>
      <c r="E69" s="129"/>
      <c r="F69" s="129"/>
      <c r="G69" s="129"/>
      <c r="H69" s="129"/>
      <c r="I69" s="129"/>
      <c r="J69" t="s">
        <v>161</v>
      </c>
    </row>
    <row r="70" spans="3:10">
      <c r="C70" s="130" t="s">
        <v>80</v>
      </c>
      <c r="D70" s="129">
        <f>IF(AND('Analyze Using Model'!C58&lt;&gt;"",ABS('Analyze Using Model'!C58-D63)&gt;1),1,0)</f>
        <v>0</v>
      </c>
      <c r="E70" s="129">
        <f>IF(AND('Analyze Using Model'!D58&lt;&gt;"",ABS('Analyze Using Model'!D58-E63)&gt;1),1,0)</f>
        <v>0</v>
      </c>
      <c r="F70" s="129">
        <f>IF(AND('Analyze Using Model'!E58&lt;&gt;"",ABS('Analyze Using Model'!E58-F63)&gt;1),1,0)</f>
        <v>0</v>
      </c>
      <c r="G70" s="129">
        <f>IF(AND('Analyze Using Model'!F58&lt;&gt;"",ABS('Analyze Using Model'!F58-G63)&gt;1),1,0)</f>
        <v>0</v>
      </c>
      <c r="H70" s="129">
        <f>IF(AND('Analyze Using Model'!G58&lt;&gt;"",ABS('Analyze Using Model'!G58-H63)&gt;1),1,0)</f>
        <v>0</v>
      </c>
      <c r="I70" s="129">
        <f>IF(AND('Analyze Using Model'!H58&lt;&gt;"",ABS('Analyze Using Model'!H58-I63)&gt;1),1,0)</f>
        <v>0</v>
      </c>
      <c r="J70">
        <f>COUNTBLANK('Analyze Using Model'!C58:H58)</f>
        <v>0</v>
      </c>
    </row>
    <row r="71" spans="3:10">
      <c r="C71" s="130" t="s">
        <v>2</v>
      </c>
      <c r="D71" s="129">
        <f>IF(AND('Analyze Using Model'!C59&lt;&gt;"",ABS('Analyze Using Model'!C59-D64)&gt;1),1,0)</f>
        <v>0</v>
      </c>
      <c r="E71" s="129">
        <f>IF(AND('Analyze Using Model'!D59&lt;&gt;"",ABS('Analyze Using Model'!D59-E64)&gt;1),1,0)</f>
        <v>0</v>
      </c>
      <c r="F71" s="129">
        <f>IF(AND('Analyze Using Model'!E59&lt;&gt;"",ABS('Analyze Using Model'!E59-F64)&gt;1),1,0)</f>
        <v>0</v>
      </c>
      <c r="G71" s="129">
        <f>IF(AND('Analyze Using Model'!F59&lt;&gt;"",ABS('Analyze Using Model'!F59-G64)&gt;1),1,0)</f>
        <v>0</v>
      </c>
      <c r="H71" s="129">
        <f>IF(AND('Analyze Using Model'!G59&lt;&gt;"",ABS('Analyze Using Model'!G59-H64)&gt;1),1,0)</f>
        <v>0</v>
      </c>
      <c r="I71" s="129">
        <f>IF(AND('Analyze Using Model'!H59&lt;&gt;"",ABS('Analyze Using Model'!H59-I64)&gt;1),1,0)</f>
        <v>0</v>
      </c>
      <c r="J71">
        <f>COUNTBLANK('Analyze Using Model'!C59:H59)</f>
        <v>0</v>
      </c>
    </row>
    <row r="72" spans="3:10">
      <c r="C72" s="130" t="s">
        <v>9</v>
      </c>
      <c r="D72" s="129">
        <f>IF(AND('Analyze Using Model'!C60&lt;&gt;"",ABS('Analyze Using Model'!C60-D65)&gt;1),1,0)</f>
        <v>0</v>
      </c>
      <c r="E72" s="129">
        <f>IF(AND('Analyze Using Model'!D60&lt;&gt;"",ABS('Analyze Using Model'!D60-E65)&gt;1),1,0)</f>
        <v>0</v>
      </c>
      <c r="F72" s="129">
        <f>IF(AND('Analyze Using Model'!E60&lt;&gt;"",ABS('Analyze Using Model'!E60-F65)&gt;1),1,0)</f>
        <v>0</v>
      </c>
      <c r="G72" s="129">
        <f>IF(AND('Analyze Using Model'!F60&lt;&gt;"",ABS('Analyze Using Model'!F60-G65)&gt;1),1,0)</f>
        <v>0</v>
      </c>
      <c r="H72" s="129">
        <f>IF(AND('Analyze Using Model'!G60&lt;&gt;"",ABS('Analyze Using Model'!G60-H65)&gt;1),1,0)</f>
        <v>1</v>
      </c>
      <c r="I72" s="129">
        <f>IF(AND('Analyze Using Model'!H60&lt;&gt;"",ABS('Analyze Using Model'!H60-I65)&gt;1),1,0)</f>
        <v>0</v>
      </c>
      <c r="J72">
        <f>COUNTBLANK('Analyze Using Model'!C60:H60)</f>
        <v>0</v>
      </c>
    </row>
    <row r="73" spans="3:10">
      <c r="C73" s="130" t="s">
        <v>8</v>
      </c>
      <c r="D73" s="129">
        <f>IF(AND('Analyze Using Model'!C61&lt;&gt;"",ABS('Analyze Using Model'!C61-D66)&gt;1),1,0)</f>
        <v>0</v>
      </c>
      <c r="E73" s="129">
        <f>IF(AND('Analyze Using Model'!D61&lt;&gt;"",ABS('Analyze Using Model'!D61-E66)&gt;1),1,0)</f>
        <v>0</v>
      </c>
      <c r="F73" s="129">
        <f>IF(AND('Analyze Using Model'!E61&lt;&gt;"",ABS('Analyze Using Model'!E61-F66)&gt;1),1,0)</f>
        <v>0</v>
      </c>
      <c r="G73" s="129">
        <f>IF(AND('Analyze Using Model'!F61&lt;&gt;"",ABS('Analyze Using Model'!F61-G66)&gt;1),1,0)</f>
        <v>0</v>
      </c>
      <c r="H73" s="129">
        <f>IF(AND('Analyze Using Model'!G61&lt;&gt;"",ABS('Analyze Using Model'!G61-H66)&gt;1),1,0)</f>
        <v>0</v>
      </c>
      <c r="I73" s="129">
        <f>IF(AND('Analyze Using Model'!H61&lt;&gt;"",ABS('Analyze Using Model'!H61-I66)&gt;1),1,0)</f>
        <v>0</v>
      </c>
      <c r="J73">
        <f>COUNTBLANK('Analyze Using Model'!C61:H61)</f>
        <v>0</v>
      </c>
    </row>
    <row r="74" spans="3:10">
      <c r="C74" s="130" t="s">
        <v>125</v>
      </c>
      <c r="D74" s="129">
        <f>IF(AND('Analyze Using Model'!C62&lt;&gt;"",ABS('Analyze Using Model'!C62-D67)&gt;1),1,0)</f>
        <v>0</v>
      </c>
      <c r="E74" s="129">
        <f>IF(AND('Analyze Using Model'!D62&lt;&gt;"",ABS('Analyze Using Model'!D62-E67)&gt;1),1,0)</f>
        <v>0</v>
      </c>
      <c r="F74" s="129">
        <f>IF(AND('Analyze Using Model'!E62&lt;&gt;"",ABS('Analyze Using Model'!E62-F67)&gt;1),1,0)</f>
        <v>0</v>
      </c>
      <c r="G74" s="129">
        <f>IF(AND('Analyze Using Model'!F62&lt;&gt;"",ABS('Analyze Using Model'!F62-G67)&gt;1),1,0)</f>
        <v>0</v>
      </c>
      <c r="H74" s="129">
        <f>IF(AND('Analyze Using Model'!G62&lt;&gt;"",ABS('Analyze Using Model'!G62-H67)&gt;1),1,0)</f>
        <v>0</v>
      </c>
      <c r="I74" s="129">
        <f>IF(AND('Analyze Using Model'!H62&lt;&gt;"",ABS('Analyze Using Model'!H62-I67)&gt;1),1,0)</f>
        <v>0</v>
      </c>
      <c r="J74">
        <f>COUNTBLANK('Analyze Using Model'!C62:H62)</f>
        <v>0</v>
      </c>
    </row>
    <row r="75" spans="3:10">
      <c r="C75" s="130" t="s">
        <v>116</v>
      </c>
      <c r="D75" s="129">
        <f>IF(AND('Analyze Using Model'!C63&lt;&gt;"",ABS('Analyze Using Model'!C63-D68)&gt;1),1,0)</f>
        <v>0</v>
      </c>
      <c r="E75" s="129">
        <f>IF(AND('Analyze Using Model'!D63&lt;&gt;"",ABS('Analyze Using Model'!D63-E68)&gt;1),1,0)</f>
        <v>0</v>
      </c>
      <c r="F75" s="129">
        <f>IF(AND('Analyze Using Model'!E63&lt;&gt;"",ABS('Analyze Using Model'!E63-F68)&gt;1),1,0)</f>
        <v>0</v>
      </c>
      <c r="G75" s="129">
        <f>IF(AND('Analyze Using Model'!F63&lt;&gt;"",ABS('Analyze Using Model'!F63-G68)&gt;1),1,0)</f>
        <v>0</v>
      </c>
      <c r="H75" s="129">
        <f>IF(AND('Analyze Using Model'!G63&lt;&gt;"",ABS('Analyze Using Model'!G63-H68)&gt;1),1,0)</f>
        <v>0</v>
      </c>
      <c r="I75" s="129">
        <f>IF(AND('Analyze Using Model'!H63&lt;&gt;"",ABS('Analyze Using Model'!H63-I68)&gt;1),1,0)</f>
        <v>0</v>
      </c>
      <c r="J75">
        <f>COUNTBLANK('Analyze Using Model'!C63:H63)</f>
        <v>0</v>
      </c>
    </row>
    <row r="76" spans="3:10">
      <c r="D76" s="129"/>
      <c r="E76" s="129">
        <f t="shared" ref="E76:I76" si="92">SUM(E70:E74)</f>
        <v>0</v>
      </c>
      <c r="F76" s="129">
        <f t="shared" si="92"/>
        <v>0</v>
      </c>
      <c r="G76" s="129">
        <f t="shared" si="92"/>
        <v>0</v>
      </c>
      <c r="H76" s="129">
        <f t="shared" si="92"/>
        <v>1</v>
      </c>
      <c r="I76" s="129">
        <f t="shared" si="92"/>
        <v>0</v>
      </c>
    </row>
  </sheetData>
  <conditionalFormatting sqref="C60:H62">
    <cfRule type="expression" dxfId="12" priority="23">
      <formula>D73</formula>
    </cfRule>
  </conditionalFormatting>
  <conditionalFormatting sqref="C59:K59">
    <cfRule type="expression" dxfId="11" priority="1">
      <formula>D72</formula>
    </cfRule>
  </conditionalFormatting>
  <conditionalFormatting sqref="O59:Q59">
    <cfRule type="expression" dxfId="8" priority="13">
      <formula>P72</formula>
    </cfRule>
  </conditionalFormatting>
  <conditionalFormatting sqref="U59:W59">
    <cfRule type="expression" dxfId="6" priority="11">
      <formula>V72</formula>
    </cfRule>
  </conditionalFormatting>
  <conditionalFormatting sqref="AA59:AC59">
    <cfRule type="expression" dxfId="4" priority="9">
      <formula>AB72</formula>
    </cfRule>
  </conditionalFormatting>
  <conditionalFormatting sqref="AG59:AI59">
    <cfRule type="expression" dxfId="2" priority="7">
      <formula>AH72</formula>
    </cfRule>
  </conditionalFormatting>
  <conditionalFormatting sqref="AM59:AO59">
    <cfRule type="expression" dxfId="1" priority="5">
      <formula>AN72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2" id="{63D22C75-EC82-8040-AC17-EDA37E151DDC}">
            <xm:f>'Develop Model'!$B$17="No Template"</xm:f>
            <x14:dxf>
              <font>
                <color theme="0"/>
              </font>
              <numFmt numFmtId="173" formatCode="\:"/>
              <fill>
                <patternFill>
                  <bgColor theme="0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A32:A34</xm:sqref>
        </x14:conditionalFormatting>
        <x14:conditionalFormatting xmlns:xm="http://schemas.microsoft.com/office/excel/2006/main">
          <x14:cfRule type="expression" priority="21" id="{BEB1BDFB-F2AD-764D-AD14-3D338B03E095}">
            <xm:f>'Develop Model'!$B$17="No Template"</xm:f>
            <x14:dxf>
              <font>
                <color theme="0"/>
              </font>
              <numFmt numFmtId="173" formatCode="\:"/>
              <fill>
                <patternFill>
                  <bgColor theme="0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G32:G34</xm:sqref>
        </x14:conditionalFormatting>
        <x14:conditionalFormatting xmlns:xm="http://schemas.microsoft.com/office/excel/2006/main">
          <x14:cfRule type="expression" priority="20" id="{55B662CF-4AD1-0745-9B0F-82B7C0904884}">
            <xm:f>'Develop Model'!$B$17="No Template"</xm:f>
            <x14:dxf>
              <font>
                <color theme="0"/>
              </font>
              <numFmt numFmtId="173" formatCode="\:"/>
              <fill>
                <patternFill>
                  <bgColor theme="0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M32:M34</xm:sqref>
        </x14:conditionalFormatting>
        <x14:conditionalFormatting xmlns:xm="http://schemas.microsoft.com/office/excel/2006/main">
          <x14:cfRule type="expression" priority="19" id="{112D4FCA-046D-8E40-B7BE-0337D4CF3B99}">
            <xm:f>'Develop Model'!$B$17="No Template"</xm:f>
            <x14:dxf>
              <font>
                <color theme="0"/>
              </font>
              <numFmt numFmtId="173" formatCode="\:"/>
              <fill>
                <patternFill>
                  <bgColor theme="0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S32:S34</xm:sqref>
        </x14:conditionalFormatting>
        <x14:conditionalFormatting xmlns:xm="http://schemas.microsoft.com/office/excel/2006/main">
          <x14:cfRule type="expression" priority="18" id="{16841723-4B6D-E345-A375-73A51365008F}">
            <xm:f>'Develop Model'!$B$17="No Template"</xm:f>
            <x14:dxf>
              <font>
                <color theme="0"/>
              </font>
              <numFmt numFmtId="173" formatCode="\:"/>
              <fill>
                <patternFill>
                  <bgColor theme="0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Y32:Y34</xm:sqref>
        </x14:conditionalFormatting>
        <x14:conditionalFormatting xmlns:xm="http://schemas.microsoft.com/office/excel/2006/main">
          <x14:cfRule type="expression" priority="17" id="{F2FABDF0-B14B-2642-858D-233C94C83105}">
            <xm:f>'Develop Model'!$B$17="No Template"</xm:f>
            <x14:dxf>
              <font>
                <color theme="0"/>
              </font>
              <numFmt numFmtId="173" formatCode="\:"/>
              <fill>
                <patternFill>
                  <bgColor theme="0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AE32:AE34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D736-E42B-FF43-B2F4-46957683A2AA}">
  <sheetPr>
    <tabColor rgb="FFFF0000"/>
  </sheetPr>
  <dimension ref="A1:EC104"/>
  <sheetViews>
    <sheetView topLeftCell="A70" zoomScale="105" zoomScaleNormal="105" workbookViewId="0">
      <selection activeCell="AM57" sqref="AM57:AO57"/>
    </sheetView>
  </sheetViews>
  <sheetFormatPr defaultColWidth="10.875" defaultRowHeight="12.75"/>
  <cols>
    <col min="1" max="1" width="11.125" style="23" customWidth="1"/>
    <col min="2" max="2" width="10.375" style="23" customWidth="1"/>
    <col min="3" max="3" width="13.125" style="23" customWidth="1"/>
    <col min="4" max="4" width="10" style="23" customWidth="1"/>
    <col min="5" max="6" width="9.5" style="23"/>
    <col min="7" max="7" width="10.625" style="23" customWidth="1"/>
    <col min="8" max="8" width="10.875" style="23"/>
    <col min="9" max="81" width="10.875" style="26"/>
    <col min="82" max="82" width="10.625" style="26" customWidth="1"/>
    <col min="83" max="16384" width="10.875" style="26"/>
  </cols>
  <sheetData>
    <row r="1" spans="1:133" s="56" customFormat="1" ht="15.75">
      <c r="A1" s="23"/>
      <c r="B1" s="23"/>
      <c r="C1" s="54"/>
      <c r="D1" s="40"/>
      <c r="E1" s="23"/>
      <c r="F1" s="23"/>
      <c r="G1" s="23"/>
      <c r="H1" s="23"/>
      <c r="CA1" s="56">
        <v>4</v>
      </c>
      <c r="CB1" s="56">
        <f>'ENTER SFAM ID'!C8</f>
        <v>23472093</v>
      </c>
      <c r="CC1" s="56" t="b">
        <f ca="1">TODAY()&gt;44550</f>
        <v>1</v>
      </c>
      <c r="CD1" s="56">
        <v>2</v>
      </c>
      <c r="CE1" s="56">
        <v>3</v>
      </c>
      <c r="CF1" s="56">
        <v>4</v>
      </c>
      <c r="CG1" s="56">
        <v>5</v>
      </c>
      <c r="CH1" s="56">
        <v>6</v>
      </c>
      <c r="CI1" s="56">
        <v>7</v>
      </c>
      <c r="CJ1" s="56">
        <v>8</v>
      </c>
      <c r="CK1" s="56">
        <v>9</v>
      </c>
      <c r="CL1" s="56">
        <v>10</v>
      </c>
      <c r="CM1" s="56">
        <v>11</v>
      </c>
      <c r="CN1" s="56">
        <v>12</v>
      </c>
      <c r="CO1" s="56">
        <v>13</v>
      </c>
      <c r="CP1" s="55">
        <v>14</v>
      </c>
      <c r="CW1" s="71">
        <v>1</v>
      </c>
      <c r="CX1" s="71" t="s">
        <v>61</v>
      </c>
      <c r="CY1" s="23"/>
      <c r="DD1" s="57">
        <v>1</v>
      </c>
      <c r="DE1" s="57">
        <v>2</v>
      </c>
      <c r="DF1" s="57">
        <v>3</v>
      </c>
      <c r="DG1" s="57">
        <v>4</v>
      </c>
      <c r="DH1" s="57">
        <v>5</v>
      </c>
      <c r="DI1" s="57">
        <v>6</v>
      </c>
      <c r="DJ1" s="57">
        <v>7</v>
      </c>
      <c r="DK1" s="57">
        <v>8</v>
      </c>
      <c r="DL1" s="57">
        <v>9</v>
      </c>
      <c r="DM1" s="57">
        <v>10</v>
      </c>
      <c r="DN1" s="57">
        <v>11</v>
      </c>
      <c r="DO1" s="57">
        <v>12</v>
      </c>
      <c r="DP1" s="57">
        <v>13</v>
      </c>
      <c r="DQ1" s="57">
        <v>14</v>
      </c>
      <c r="DR1" s="57">
        <v>15</v>
      </c>
      <c r="DS1" s="57">
        <v>16</v>
      </c>
      <c r="DT1" s="57">
        <v>17</v>
      </c>
      <c r="DU1" s="57">
        <v>18</v>
      </c>
      <c r="DV1" s="57">
        <v>19</v>
      </c>
      <c r="DW1" s="57">
        <v>20</v>
      </c>
      <c r="DX1" s="57">
        <v>21</v>
      </c>
      <c r="DY1" s="57">
        <v>22</v>
      </c>
      <c r="DZ1" s="57">
        <v>23</v>
      </c>
      <c r="EA1" s="57">
        <v>24</v>
      </c>
      <c r="EB1" s="57">
        <v>25</v>
      </c>
      <c r="EC1" s="57">
        <v>26</v>
      </c>
    </row>
    <row r="2" spans="1:133" s="7" customFormat="1">
      <c r="CA2" s="28">
        <v>16</v>
      </c>
      <c r="CB2" s="29">
        <f>MOD($CB$1,CA2)+1</f>
        <v>14</v>
      </c>
      <c r="CC2" s="24">
        <f>CB2</f>
        <v>14</v>
      </c>
      <c r="CD2" s="7">
        <f>RANK($CC2,$CC$2:$CC$3)</f>
        <v>1</v>
      </c>
      <c r="CE2" s="7">
        <f>RANK($CC2,$CC$2:$CC$4)</f>
        <v>1</v>
      </c>
      <c r="CF2" s="7">
        <f>RANK($CC2,$CC$2:$CC$5)</f>
        <v>2</v>
      </c>
      <c r="CG2" s="7">
        <f>RANK($CC2,$CC$2:$CC$6)</f>
        <v>3</v>
      </c>
      <c r="CH2" s="7">
        <f>RANK($CC2,$CC$2:$CC$7)</f>
        <v>4</v>
      </c>
      <c r="CI2" s="7">
        <f>RANK($CC2,$CC$2:$CC$8)</f>
        <v>4</v>
      </c>
      <c r="CJ2" s="7">
        <f>RANK($CC2,$CC$2:$CC$9)</f>
        <v>5</v>
      </c>
      <c r="CK2" s="7">
        <f>RANK($CC2,$CC$2:$CC$10)</f>
        <v>6</v>
      </c>
      <c r="CL2" s="7">
        <f>RANK($CC2,$CC$2:$CC$11)</f>
        <v>7</v>
      </c>
      <c r="CM2" s="7">
        <f>RANK($CC2,$CC$2:$CC$12)</f>
        <v>8</v>
      </c>
      <c r="CN2" s="7">
        <f>RANK($CC2,$CC$2:$CC$13)</f>
        <v>9</v>
      </c>
      <c r="CO2" s="7">
        <f t="shared" ref="CO2:CO14" si="0">RANK($CC2,$CC$2:$CC$14)</f>
        <v>9</v>
      </c>
      <c r="CP2" s="48">
        <f t="shared" ref="CP2:CP15" si="1">RANK($CC2,$CC$2:$CC$15)</f>
        <v>10</v>
      </c>
      <c r="CT2" s="25"/>
      <c r="CW2" s="71">
        <v>2</v>
      </c>
      <c r="CX2" s="71" t="s">
        <v>32</v>
      </c>
      <c r="CY2" s="23"/>
      <c r="DD2" s="58" t="s">
        <v>12</v>
      </c>
      <c r="DE2" s="59" t="s">
        <v>38</v>
      </c>
      <c r="DF2" s="58" t="s">
        <v>39</v>
      </c>
      <c r="DG2" s="59" t="s">
        <v>13</v>
      </c>
      <c r="DH2" s="68" t="s">
        <v>60</v>
      </c>
      <c r="DI2" s="59" t="s">
        <v>11</v>
      </c>
      <c r="DJ2" s="58" t="s">
        <v>40</v>
      </c>
      <c r="DK2" s="59" t="s">
        <v>41</v>
      </c>
      <c r="DL2" s="59" t="s">
        <v>42</v>
      </c>
      <c r="DM2" s="59" t="s">
        <v>43</v>
      </c>
      <c r="DN2" s="59" t="s">
        <v>14</v>
      </c>
      <c r="DO2" s="59" t="s">
        <v>44</v>
      </c>
      <c r="DP2" s="59" t="s">
        <v>15</v>
      </c>
      <c r="DQ2" s="59" t="s">
        <v>45</v>
      </c>
      <c r="DR2" s="59" t="s">
        <v>46</v>
      </c>
      <c r="DS2" s="59" t="s">
        <v>47</v>
      </c>
      <c r="DT2" s="59" t="s">
        <v>48</v>
      </c>
      <c r="DU2" s="59" t="s">
        <v>49</v>
      </c>
      <c r="DV2" s="59" t="s">
        <v>50</v>
      </c>
      <c r="DW2" s="59" t="s">
        <v>16</v>
      </c>
      <c r="DX2" s="59" t="s">
        <v>51</v>
      </c>
      <c r="DY2" s="59" t="s">
        <v>17</v>
      </c>
      <c r="DZ2" s="59" t="s">
        <v>52</v>
      </c>
      <c r="EA2" s="59" t="s">
        <v>21</v>
      </c>
      <c r="EB2" s="59" t="s">
        <v>53</v>
      </c>
      <c r="EC2" s="59" t="s">
        <v>54</v>
      </c>
    </row>
    <row r="3" spans="1:133">
      <c r="CA3" s="28">
        <v>17</v>
      </c>
      <c r="CB3" s="29">
        <f t="shared" ref="CB3:CB15" si="2">MOD($CB$1,CA3)+1</f>
        <v>7</v>
      </c>
      <c r="CC3" s="24">
        <f>IF(COUNTIF(CC$2:CC2,CB3)&gt;0,CB3+0.1*COUNTIF(CB$2:CB2,CB3),CB3)</f>
        <v>7</v>
      </c>
      <c r="CD3" s="26">
        <f>RANK(CC3,CC$2:CC$3)</f>
        <v>2</v>
      </c>
      <c r="CE3" s="26">
        <f t="shared" ref="CE3:CE4" si="3">RANK($CC3,$CC$2:$CC$4)</f>
        <v>3</v>
      </c>
      <c r="CF3" s="26">
        <f t="shared" ref="CF3:CF5" si="4">RANK($CC3,$CC$2:$CC$5)</f>
        <v>4</v>
      </c>
      <c r="CG3" s="26">
        <f t="shared" ref="CG3:CG6" si="5">RANK($CC3,$CC$2:$CC$6)</f>
        <v>5</v>
      </c>
      <c r="CH3" s="26">
        <f t="shared" ref="CH3:CH7" si="6">RANK($CC3,$CC$2:$CC$7)</f>
        <v>6</v>
      </c>
      <c r="CI3" s="26">
        <f t="shared" ref="CI3:CI8" si="7">RANK($CC3,$CC$2:$CC$8)</f>
        <v>7</v>
      </c>
      <c r="CJ3" s="26">
        <f t="shared" ref="CJ3:CJ9" si="8">RANK($CC3,$CC$2:$CC$9)</f>
        <v>8</v>
      </c>
      <c r="CK3" s="26">
        <f t="shared" ref="CK3:CK10" si="9">RANK($CC3,$CC$2:$CC$10)</f>
        <v>9</v>
      </c>
      <c r="CL3" s="26">
        <f t="shared" ref="CL3:CL11" si="10">RANK($CC3,$CC$2:$CC$11)</f>
        <v>10</v>
      </c>
      <c r="CM3" s="7">
        <f t="shared" ref="CM3:CM12" si="11">RANK($CC3,$CC$2:$CC$12)</f>
        <v>11</v>
      </c>
      <c r="CN3" s="7">
        <f t="shared" ref="CN3:CN13" si="12">RANK($CC3,$CC$2:$CC$13)</f>
        <v>12</v>
      </c>
      <c r="CO3" s="7">
        <f t="shared" si="0"/>
        <v>12</v>
      </c>
      <c r="CP3" s="48">
        <f t="shared" si="1"/>
        <v>13</v>
      </c>
      <c r="CT3" s="25"/>
      <c r="CW3" s="71">
        <v>3</v>
      </c>
      <c r="CX3" s="71" t="s">
        <v>23</v>
      </c>
      <c r="CY3" s="23"/>
    </row>
    <row r="4" spans="1:133">
      <c r="C4" s="53"/>
      <c r="D4" s="40"/>
      <c r="E4" s="27"/>
      <c r="F4" s="27"/>
      <c r="G4" s="27"/>
      <c r="H4" s="27"/>
      <c r="CA4" s="28">
        <v>19</v>
      </c>
      <c r="CB4" s="29">
        <f t="shared" si="2"/>
        <v>7</v>
      </c>
      <c r="CC4" s="24">
        <f>IF(COUNTIF(CC$2:CC3,CB4)&gt;0,CB4+0.1*COUNTIF(CB$2:CB3,CB4),CB4)</f>
        <v>7.1</v>
      </c>
      <c r="CE4" s="26">
        <f t="shared" si="3"/>
        <v>2</v>
      </c>
      <c r="CF4" s="26">
        <f t="shared" si="4"/>
        <v>3</v>
      </c>
      <c r="CG4" s="26">
        <f t="shared" si="5"/>
        <v>4</v>
      </c>
      <c r="CH4" s="26">
        <f t="shared" si="6"/>
        <v>5</v>
      </c>
      <c r="CI4" s="26">
        <f t="shared" si="7"/>
        <v>6</v>
      </c>
      <c r="CJ4" s="26">
        <f t="shared" si="8"/>
        <v>7</v>
      </c>
      <c r="CK4" s="26">
        <f t="shared" si="9"/>
        <v>8</v>
      </c>
      <c r="CL4" s="26">
        <f t="shared" si="10"/>
        <v>9</v>
      </c>
      <c r="CM4" s="7">
        <f t="shared" si="11"/>
        <v>10</v>
      </c>
      <c r="CN4" s="7">
        <f t="shared" si="12"/>
        <v>11</v>
      </c>
      <c r="CO4" s="7">
        <f t="shared" si="0"/>
        <v>11</v>
      </c>
      <c r="CP4" s="48">
        <f t="shared" si="1"/>
        <v>12</v>
      </c>
      <c r="CT4" s="25"/>
      <c r="CW4" s="71">
        <v>4</v>
      </c>
      <c r="CX4" s="71" t="s">
        <v>26</v>
      </c>
      <c r="CY4" s="23"/>
    </row>
    <row r="5" spans="1:133">
      <c r="CA5" s="28">
        <v>23</v>
      </c>
      <c r="CB5" s="29">
        <f t="shared" si="2"/>
        <v>19</v>
      </c>
      <c r="CC5" s="24">
        <f>IF(COUNTIF(CC$2:CC4,CB5)&gt;0,CB5+0.1*COUNTIF(CB$2:CB4,CB5),CB5)</f>
        <v>19</v>
      </c>
      <c r="CF5" s="26">
        <f t="shared" si="4"/>
        <v>1</v>
      </c>
      <c r="CG5" s="26">
        <f t="shared" si="5"/>
        <v>1</v>
      </c>
      <c r="CH5" s="26">
        <f t="shared" si="6"/>
        <v>1</v>
      </c>
      <c r="CI5" s="26">
        <f t="shared" si="7"/>
        <v>1</v>
      </c>
      <c r="CJ5" s="26">
        <f t="shared" si="8"/>
        <v>2</v>
      </c>
      <c r="CK5" s="26">
        <f t="shared" si="9"/>
        <v>3</v>
      </c>
      <c r="CL5" s="26">
        <f t="shared" si="10"/>
        <v>4</v>
      </c>
      <c r="CM5" s="7">
        <f t="shared" si="11"/>
        <v>5</v>
      </c>
      <c r="CN5" s="7">
        <f t="shared" si="12"/>
        <v>6</v>
      </c>
      <c r="CO5" s="7">
        <f t="shared" si="0"/>
        <v>6</v>
      </c>
      <c r="CP5" s="48">
        <f t="shared" si="1"/>
        <v>6</v>
      </c>
      <c r="CT5" s="25"/>
      <c r="CW5" s="71">
        <v>5</v>
      </c>
      <c r="CX5" s="71" t="s">
        <v>25</v>
      </c>
      <c r="CY5" s="23"/>
    </row>
    <row r="6" spans="1:133">
      <c r="B6" s="42"/>
      <c r="CA6" s="28">
        <v>20</v>
      </c>
      <c r="CB6" s="29">
        <f t="shared" si="2"/>
        <v>14</v>
      </c>
      <c r="CC6" s="24">
        <f>IF(COUNTIF(CC$2:CC5,CB6)&gt;0,CB6+0.1*COUNTIF(CB$2:CB5,CB6),CB6)</f>
        <v>14.1</v>
      </c>
      <c r="CG6" s="26">
        <f t="shared" si="5"/>
        <v>2</v>
      </c>
      <c r="CH6" s="26">
        <f t="shared" si="6"/>
        <v>3</v>
      </c>
      <c r="CI6" s="26">
        <f t="shared" si="7"/>
        <v>3</v>
      </c>
      <c r="CJ6" s="26">
        <f t="shared" si="8"/>
        <v>4</v>
      </c>
      <c r="CK6" s="26">
        <f t="shared" si="9"/>
        <v>5</v>
      </c>
      <c r="CL6" s="26">
        <f t="shared" si="10"/>
        <v>6</v>
      </c>
      <c r="CM6" s="7">
        <f t="shared" si="11"/>
        <v>7</v>
      </c>
      <c r="CN6" s="7">
        <f t="shared" si="12"/>
        <v>8</v>
      </c>
      <c r="CO6" s="7">
        <f t="shared" si="0"/>
        <v>8</v>
      </c>
      <c r="CP6" s="48">
        <f t="shared" si="1"/>
        <v>9</v>
      </c>
      <c r="CT6" s="25"/>
      <c r="CW6" s="71">
        <v>6</v>
      </c>
      <c r="CX6" s="72" t="s">
        <v>24</v>
      </c>
      <c r="CY6" s="27"/>
    </row>
    <row r="7" spans="1:133">
      <c r="B7" s="43"/>
      <c r="C7" s="30"/>
      <c r="D7" s="44"/>
      <c r="E7" s="30"/>
      <c r="F7" s="45"/>
      <c r="CA7" s="28">
        <v>21</v>
      </c>
      <c r="CB7" s="29">
        <f t="shared" si="2"/>
        <v>16</v>
      </c>
      <c r="CC7" s="24">
        <f>IF(COUNTIF(CC$2:CC6,CB7)&gt;0,CB7+0.1*COUNTIF(CB$2:CB6,CB7),CB7)</f>
        <v>16</v>
      </c>
      <c r="CH7" s="26">
        <f t="shared" si="6"/>
        <v>2</v>
      </c>
      <c r="CI7" s="26">
        <f t="shared" si="7"/>
        <v>2</v>
      </c>
      <c r="CJ7" s="26">
        <f t="shared" si="8"/>
        <v>3</v>
      </c>
      <c r="CK7" s="26">
        <f t="shared" si="9"/>
        <v>4</v>
      </c>
      <c r="CL7" s="26">
        <f t="shared" si="10"/>
        <v>5</v>
      </c>
      <c r="CM7" s="7">
        <f t="shared" si="11"/>
        <v>6</v>
      </c>
      <c r="CN7" s="7">
        <f t="shared" si="12"/>
        <v>7</v>
      </c>
      <c r="CO7" s="7">
        <f t="shared" si="0"/>
        <v>7</v>
      </c>
      <c r="CP7" s="48">
        <f t="shared" si="1"/>
        <v>8</v>
      </c>
      <c r="CT7" s="25"/>
      <c r="CW7" s="71">
        <v>7</v>
      </c>
      <c r="CX7" s="72" t="s">
        <v>29</v>
      </c>
      <c r="CY7" s="27"/>
    </row>
    <row r="8" spans="1:133">
      <c r="CA8" s="28">
        <v>22</v>
      </c>
      <c r="CB8" s="29">
        <f t="shared" si="2"/>
        <v>8</v>
      </c>
      <c r="CC8" s="24">
        <f>IF(COUNTIF(CC$2:CC7,CB8)&gt;0,CB8+0.1*COUNTIF(CB$2:CB7,CB8),CB8)</f>
        <v>8</v>
      </c>
      <c r="CI8" s="26">
        <f t="shared" si="7"/>
        <v>5</v>
      </c>
      <c r="CJ8" s="26">
        <f t="shared" si="8"/>
        <v>6</v>
      </c>
      <c r="CK8" s="26">
        <f t="shared" si="9"/>
        <v>7</v>
      </c>
      <c r="CL8" s="26">
        <f t="shared" si="10"/>
        <v>8</v>
      </c>
      <c r="CM8" s="7">
        <f t="shared" si="11"/>
        <v>9</v>
      </c>
      <c r="CN8" s="7">
        <f t="shared" si="12"/>
        <v>10</v>
      </c>
      <c r="CO8" s="7">
        <f t="shared" si="0"/>
        <v>10</v>
      </c>
      <c r="CP8" s="48">
        <f t="shared" si="1"/>
        <v>11</v>
      </c>
      <c r="CT8" s="25"/>
      <c r="CW8" s="71">
        <v>8</v>
      </c>
      <c r="CX8" s="72" t="s">
        <v>62</v>
      </c>
      <c r="CY8" s="27"/>
    </row>
    <row r="9" spans="1:133">
      <c r="B9" s="27"/>
      <c r="CA9" s="28">
        <v>23</v>
      </c>
      <c r="CB9" s="29">
        <f t="shared" si="2"/>
        <v>19</v>
      </c>
      <c r="CC9" s="24">
        <f>IF(COUNTIF(CC$2:CC8,CB9)&gt;0,CB9+0.1*COUNTIF(CB$2:CB8,CB9),CB9)</f>
        <v>19.100000000000001</v>
      </c>
      <c r="CJ9" s="26">
        <f t="shared" si="8"/>
        <v>1</v>
      </c>
      <c r="CK9" s="26">
        <f t="shared" si="9"/>
        <v>2</v>
      </c>
      <c r="CL9" s="26">
        <f t="shared" si="10"/>
        <v>3</v>
      </c>
      <c r="CM9" s="7">
        <f t="shared" si="11"/>
        <v>4</v>
      </c>
      <c r="CN9" s="7">
        <f t="shared" si="12"/>
        <v>5</v>
      </c>
      <c r="CO9" s="7">
        <f t="shared" si="0"/>
        <v>5</v>
      </c>
      <c r="CP9" s="48">
        <f t="shared" si="1"/>
        <v>5</v>
      </c>
      <c r="CT9" s="25"/>
      <c r="CW9" s="71">
        <v>9</v>
      </c>
      <c r="CX9" s="72" t="s">
        <v>30</v>
      </c>
      <c r="CY9" s="27"/>
    </row>
    <row r="10" spans="1:133">
      <c r="A10" s="27"/>
      <c r="B10" s="27"/>
      <c r="C10" s="27"/>
      <c r="D10" s="27"/>
      <c r="E10" s="27"/>
      <c r="F10" s="27"/>
      <c r="G10" s="27"/>
      <c r="H10" s="27"/>
      <c r="CA10" s="28">
        <v>24</v>
      </c>
      <c r="CB10" s="29">
        <f t="shared" si="2"/>
        <v>22</v>
      </c>
      <c r="CC10" s="24">
        <f>IF(COUNTIF(CC$2:CC9,CB10)&gt;0,CB10+0.1*COUNTIF(CB$2:CB9,CB10),CB10)</f>
        <v>22</v>
      </c>
      <c r="CK10" s="26">
        <f t="shared" si="9"/>
        <v>1</v>
      </c>
      <c r="CL10" s="26">
        <f t="shared" si="10"/>
        <v>1</v>
      </c>
      <c r="CM10" s="7">
        <f t="shared" si="11"/>
        <v>2</v>
      </c>
      <c r="CN10" s="7">
        <f t="shared" si="12"/>
        <v>3</v>
      </c>
      <c r="CO10" s="7">
        <f t="shared" si="0"/>
        <v>3</v>
      </c>
      <c r="CP10" s="48">
        <f t="shared" si="1"/>
        <v>3</v>
      </c>
      <c r="CT10" s="25"/>
      <c r="CW10" s="71">
        <v>10</v>
      </c>
      <c r="CX10" s="72" t="s">
        <v>31</v>
      </c>
      <c r="CY10" s="27"/>
    </row>
    <row r="11" spans="1:133">
      <c r="A11" s="27"/>
      <c r="B11" s="27"/>
      <c r="C11" s="27"/>
      <c r="D11" s="27"/>
      <c r="E11" s="27"/>
      <c r="F11" s="27"/>
      <c r="G11" s="113"/>
      <c r="H11" s="27"/>
      <c r="CA11" s="28">
        <v>25</v>
      </c>
      <c r="CB11" s="29">
        <f t="shared" si="2"/>
        <v>19</v>
      </c>
      <c r="CC11" s="24">
        <f>IF(COUNTIF(CC$2:CC10,CB11)&gt;0,CB11+0.1*COUNTIF(CB$2:CB10,CB11),CB11)</f>
        <v>19.2</v>
      </c>
      <c r="CL11" s="26">
        <f t="shared" si="10"/>
        <v>2</v>
      </c>
      <c r="CM11" s="7">
        <f t="shared" si="11"/>
        <v>3</v>
      </c>
      <c r="CN11" s="7">
        <f t="shared" si="12"/>
        <v>4</v>
      </c>
      <c r="CO11" s="7">
        <f t="shared" si="0"/>
        <v>4</v>
      </c>
      <c r="CP11" s="48">
        <f t="shared" si="1"/>
        <v>4</v>
      </c>
      <c r="CT11" s="25"/>
      <c r="CW11" s="71">
        <v>11</v>
      </c>
      <c r="CX11" s="72" t="s">
        <v>63</v>
      </c>
      <c r="CY11" s="27"/>
    </row>
    <row r="12" spans="1:133">
      <c r="A12" s="27"/>
      <c r="B12" s="27"/>
      <c r="C12" s="27"/>
      <c r="D12" s="27"/>
      <c r="E12" s="27"/>
      <c r="F12" s="27"/>
      <c r="G12" s="27"/>
      <c r="H12" s="27"/>
      <c r="CA12" s="28">
        <v>26</v>
      </c>
      <c r="CB12" s="29">
        <f t="shared" si="2"/>
        <v>22</v>
      </c>
      <c r="CC12" s="24">
        <f>IF(COUNTIF(CC$2:CC11,CB12)&gt;0,CB12+0.1*COUNTIF(CB$2:CB11,CB12),CB12)</f>
        <v>22.1</v>
      </c>
      <c r="CM12" s="7">
        <f t="shared" si="11"/>
        <v>1</v>
      </c>
      <c r="CN12" s="7">
        <f t="shared" si="12"/>
        <v>2</v>
      </c>
      <c r="CO12" s="7">
        <f t="shared" si="0"/>
        <v>2</v>
      </c>
      <c r="CP12" s="48">
        <f t="shared" si="1"/>
        <v>2</v>
      </c>
      <c r="CT12" s="25"/>
      <c r="CW12" s="71">
        <v>12</v>
      </c>
      <c r="CX12" s="72" t="s">
        <v>64</v>
      </c>
      <c r="CY12" s="27"/>
    </row>
    <row r="13" spans="1:133">
      <c r="A13" s="51" t="s">
        <v>18</v>
      </c>
      <c r="B13" s="41" t="str">
        <f>TEXT(B15,"0000000")&amp;TEXT(B14,"00")</f>
        <v>2347209304</v>
      </c>
      <c r="C13" s="27"/>
      <c r="D13" s="27"/>
      <c r="E13" s="27"/>
      <c r="F13" s="27"/>
      <c r="G13" s="113"/>
      <c r="H13" s="27"/>
      <c r="CA13" s="28">
        <v>27</v>
      </c>
      <c r="CB13" s="29">
        <f t="shared" si="2"/>
        <v>22</v>
      </c>
      <c r="CC13" s="24">
        <f>IF(COUNTIF(CC$2:CC12,CB13)&gt;0,CB13+0.1*COUNTIF(CB$2:CB12,CB13),CB13)</f>
        <v>22.2</v>
      </c>
      <c r="CN13" s="7">
        <f t="shared" si="12"/>
        <v>1</v>
      </c>
      <c r="CO13" s="7">
        <f t="shared" si="0"/>
        <v>1</v>
      </c>
      <c r="CP13" s="48">
        <f t="shared" si="1"/>
        <v>1</v>
      </c>
      <c r="CT13" s="25"/>
      <c r="CW13" s="71">
        <v>13</v>
      </c>
      <c r="CX13" s="72" t="s">
        <v>65</v>
      </c>
      <c r="CY13" s="27"/>
    </row>
    <row r="14" spans="1:133">
      <c r="A14" s="23" t="s">
        <v>19</v>
      </c>
      <c r="B14" s="27">
        <v>4</v>
      </c>
      <c r="C14" s="27"/>
      <c r="D14" s="27"/>
      <c r="E14" s="27"/>
      <c r="F14" s="27"/>
      <c r="G14" s="27"/>
      <c r="H14" s="27"/>
      <c r="CA14" s="28">
        <v>28</v>
      </c>
      <c r="CB14" s="29">
        <f t="shared" si="2"/>
        <v>2</v>
      </c>
      <c r="CC14" s="24">
        <f>IF(COUNTIF(CC$2:CC13,CB14)&gt;0,CB14+0.1*COUNTIF(CB$2:CB13,CB14),CB14)</f>
        <v>2</v>
      </c>
      <c r="CO14" s="7">
        <f t="shared" si="0"/>
        <v>13</v>
      </c>
      <c r="CP14" s="48">
        <f t="shared" si="1"/>
        <v>14</v>
      </c>
      <c r="CT14" s="25"/>
      <c r="CW14" s="71">
        <v>14</v>
      </c>
      <c r="CX14" s="72" t="s">
        <v>66</v>
      </c>
      <c r="CY14" s="27"/>
    </row>
    <row r="15" spans="1:133">
      <c r="A15" s="52" t="s">
        <v>37</v>
      </c>
      <c r="B15" s="27">
        <f>CB1</f>
        <v>23472093</v>
      </c>
      <c r="C15" s="27"/>
      <c r="D15" s="27"/>
      <c r="E15" s="27"/>
      <c r="F15" s="27"/>
      <c r="G15" s="27"/>
      <c r="H15" s="27"/>
      <c r="CA15" s="48">
        <v>29</v>
      </c>
      <c r="CB15" s="49">
        <f t="shared" si="2"/>
        <v>16</v>
      </c>
      <c r="CC15" s="50">
        <f>IF(COUNTIF(CC$2:CC14,CB15)&gt;0,CB15+0.1*COUNTIF(CB$2:CB14,CB15),CB15)</f>
        <v>16.100000000000001</v>
      </c>
      <c r="CO15" s="7"/>
      <c r="CP15" s="48">
        <f t="shared" si="1"/>
        <v>7</v>
      </c>
      <c r="CW15" s="71">
        <v>15</v>
      </c>
      <c r="CX15" s="71" t="s">
        <v>67</v>
      </c>
      <c r="CY15" s="23"/>
    </row>
    <row r="16" spans="1:133">
      <c r="A16" s="40" t="s">
        <v>22</v>
      </c>
      <c r="B16" s="27">
        <v>2</v>
      </c>
      <c r="C16" s="27"/>
      <c r="D16" s="27"/>
      <c r="E16" s="27"/>
      <c r="F16" s="27"/>
      <c r="G16" s="27"/>
      <c r="H16" s="27"/>
      <c r="CB16" s="28"/>
      <c r="CW16" s="71">
        <v>16</v>
      </c>
      <c r="CX16" s="71"/>
      <c r="CY16" s="23"/>
    </row>
    <row r="17" spans="1:103">
      <c r="A17" s="51" t="s">
        <v>33</v>
      </c>
      <c r="B17" s="27">
        <f>IF(CC17="Template",SUM(E46:E69),SUM(E23:E36))</f>
        <v>47</v>
      </c>
      <c r="C17" s="170" t="s">
        <v>204</v>
      </c>
      <c r="D17" s="27"/>
      <c r="E17" s="27"/>
      <c r="F17" s="27"/>
      <c r="G17" s="27"/>
      <c r="H17" s="27"/>
      <c r="CB17" s="28"/>
      <c r="CC17" s="26" t="str">
        <f>'Develop Model'!B17</f>
        <v>Template</v>
      </c>
      <c r="CW17" s="71">
        <v>17</v>
      </c>
      <c r="CX17" s="71"/>
      <c r="CY17" s="23"/>
    </row>
    <row r="18" spans="1:103">
      <c r="A18" s="51" t="s">
        <v>34</v>
      </c>
      <c r="B18" s="27">
        <f>SUM(F23:F36)</f>
        <v>70</v>
      </c>
      <c r="C18" s="27"/>
      <c r="D18" s="27"/>
      <c r="E18" s="27"/>
      <c r="F18" s="27"/>
      <c r="G18" s="27"/>
      <c r="H18" s="27"/>
      <c r="CW18" s="71">
        <v>18</v>
      </c>
      <c r="CX18" s="72" t="s">
        <v>27</v>
      </c>
      <c r="CY18" s="23"/>
    </row>
    <row r="19" spans="1:103">
      <c r="A19" s="52" t="s">
        <v>35</v>
      </c>
      <c r="B19" s="27">
        <f>SUM(G23:G73)</f>
        <v>44</v>
      </c>
      <c r="E19" s="27"/>
      <c r="F19" s="27"/>
      <c r="G19" s="27"/>
      <c r="H19" s="27"/>
      <c r="CW19" s="71">
        <v>19</v>
      </c>
      <c r="CX19" s="71" t="s">
        <v>28</v>
      </c>
      <c r="CY19" s="23"/>
    </row>
    <row r="20" spans="1:103">
      <c r="A20" s="52" t="s">
        <v>36</v>
      </c>
      <c r="B20" s="27">
        <f>SUM(H23:H73)</f>
        <v>45</v>
      </c>
      <c r="E20" s="26"/>
      <c r="F20" s="26"/>
      <c r="G20" s="26"/>
      <c r="H20" s="26"/>
      <c r="CW20" s="71">
        <v>20</v>
      </c>
      <c r="CX20" s="71" t="s">
        <v>68</v>
      </c>
      <c r="CY20" s="23"/>
    </row>
    <row r="21" spans="1:103">
      <c r="A21" s="65" t="s">
        <v>58</v>
      </c>
      <c r="B21" s="27"/>
      <c r="E21" s="27"/>
      <c r="F21" s="27"/>
      <c r="G21" s="27"/>
      <c r="H21" s="27"/>
      <c r="CW21" s="23"/>
      <c r="CX21" s="23"/>
      <c r="CY21" s="23"/>
    </row>
    <row r="22" spans="1:103">
      <c r="A22" s="65" t="s">
        <v>59</v>
      </c>
      <c r="B22" s="27"/>
      <c r="E22" s="27"/>
      <c r="F22" s="27"/>
      <c r="G22" s="27"/>
      <c r="H22" s="27"/>
      <c r="CW22" s="23"/>
      <c r="CX22" s="23"/>
      <c r="CY22" s="23"/>
    </row>
    <row r="23" spans="1:103">
      <c r="A23" s="23">
        <v>1</v>
      </c>
      <c r="B23" s="7" t="b">
        <f t="shared" ref="B23:B69" si="13">IF(E23+G23=F23+H23,TRUE,FALSE)</f>
        <v>0</v>
      </c>
      <c r="C23" s="89" t="s">
        <v>86</v>
      </c>
      <c r="D23" s="26">
        <f>ROW('Develop Model'!B85)</f>
        <v>85</v>
      </c>
      <c r="E23" s="2">
        <f>IFERROR(IF(ABS(CD23-X!CK23)&lt;1,F23,0),0)</f>
        <v>0</v>
      </c>
      <c r="F23" s="31">
        <v>5</v>
      </c>
      <c r="CA23" s="7">
        <v>1</v>
      </c>
      <c r="CB23" s="27"/>
      <c r="CC23" s="30"/>
      <c r="CD23" s="46">
        <f>'Develop Model'!B85</f>
        <v>0</v>
      </c>
      <c r="CH23" s="31"/>
      <c r="CI23" s="31"/>
      <c r="CJ23" s="31"/>
      <c r="CK23" s="115">
        <f>100*('Develop Model'!F64-'Develop Model'!F66-'Develop Model'!F65)</f>
        <v>13.3</v>
      </c>
      <c r="CL23" s="31"/>
    </row>
    <row r="24" spans="1:103">
      <c r="A24" s="23">
        <v>2</v>
      </c>
      <c r="B24" s="7" t="b">
        <f t="shared" si="13"/>
        <v>0</v>
      </c>
      <c r="C24" s="89" t="s">
        <v>86</v>
      </c>
      <c r="D24" s="26">
        <f>ROW('Develop Model'!B88)</f>
        <v>88</v>
      </c>
      <c r="E24" s="2">
        <f>IFERROR(IF(ABS(CD24-X!CK24)&lt;1,F24,0),0)</f>
        <v>0</v>
      </c>
      <c r="F24" s="31">
        <v>5</v>
      </c>
      <c r="CA24" s="7">
        <v>2</v>
      </c>
      <c r="CB24" s="30"/>
      <c r="CC24" s="30"/>
      <c r="CD24" s="46">
        <f>'Develop Model'!B88</f>
        <v>0</v>
      </c>
      <c r="CH24" s="31"/>
      <c r="CI24" s="31"/>
      <c r="CJ24" s="31"/>
      <c r="CK24" s="115">
        <f>(CK23+('Develop Model'!F54-'Develop Model'!F58)*'Develop Model'!F74)*(1-'Develop Model'!F67)</f>
        <v>7.8578400000000013</v>
      </c>
      <c r="CL24" s="31"/>
    </row>
    <row r="25" spans="1:103">
      <c r="A25" s="23">
        <v>3</v>
      </c>
      <c r="B25" s="7" t="b">
        <f t="shared" si="13"/>
        <v>0</v>
      </c>
      <c r="C25" s="89" t="s">
        <v>86</v>
      </c>
      <c r="D25" s="26">
        <f>ROW('Develop Model'!B91)</f>
        <v>91</v>
      </c>
      <c r="E25" s="2">
        <f>IFERROR(IF(ABS(CD25-X!CK25)&lt;1,F25,0),0)</f>
        <v>0</v>
      </c>
      <c r="F25" s="31">
        <v>5</v>
      </c>
      <c r="CA25" s="7">
        <v>3</v>
      </c>
      <c r="CB25" s="27"/>
      <c r="CC25" s="30"/>
      <c r="CD25" s="46">
        <f>'Develop Model'!B91</f>
        <v>0</v>
      </c>
      <c r="CH25" s="32"/>
      <c r="CI25" s="32"/>
      <c r="CJ25" s="32"/>
      <c r="CK25" s="115">
        <f>'Scratch Sheet'!C57</f>
        <v>7.4350400000000025</v>
      </c>
      <c r="CL25" s="33"/>
    </row>
    <row r="26" spans="1:103">
      <c r="A26" s="23">
        <v>4</v>
      </c>
      <c r="B26" s="7" t="b">
        <f t="shared" si="13"/>
        <v>0</v>
      </c>
      <c r="C26" s="89" t="s">
        <v>86</v>
      </c>
      <c r="D26" s="26">
        <f>ROW('Develop Model'!B94)</f>
        <v>94</v>
      </c>
      <c r="E26" s="2">
        <f>IFERROR(IF(ABS(CD26-X!CK26)&lt;1,F26,0),0)</f>
        <v>0</v>
      </c>
      <c r="F26" s="31">
        <v>5</v>
      </c>
      <c r="CA26" s="7">
        <v>4</v>
      </c>
      <c r="CB26" s="27"/>
      <c r="CC26" s="30"/>
      <c r="CD26" s="46">
        <f>'Develop Model'!B94</f>
        <v>0</v>
      </c>
      <c r="CH26" s="32"/>
      <c r="CI26" s="32"/>
      <c r="CJ26" s="32"/>
      <c r="CK26" s="115">
        <f>'Develop Model'!F54+CK25</f>
        <v>19.835040000000003</v>
      </c>
      <c r="CL26" s="34"/>
    </row>
    <row r="27" spans="1:103">
      <c r="A27" s="23">
        <v>5</v>
      </c>
      <c r="B27" s="7" t="b">
        <f t="shared" si="13"/>
        <v>0</v>
      </c>
      <c r="C27" s="89" t="s">
        <v>86</v>
      </c>
      <c r="D27" s="26">
        <f>ROW('Develop Model'!B97)</f>
        <v>97</v>
      </c>
      <c r="E27" s="2">
        <f>IFERROR(IF(ABS(CD27-X!CK27)&lt;1,F27,0),0)</f>
        <v>0</v>
      </c>
      <c r="F27" s="31">
        <v>5</v>
      </c>
      <c r="CA27" s="7">
        <v>5</v>
      </c>
      <c r="CB27" s="27"/>
      <c r="CC27" s="30"/>
      <c r="CD27" s="46">
        <f>'Develop Model'!B97</f>
        <v>0</v>
      </c>
      <c r="CH27" s="32"/>
      <c r="CI27" s="32"/>
      <c r="CJ27" s="32"/>
      <c r="CK27" s="115">
        <f>'Scratch Sheet'!C43</f>
        <v>20.659999999999997</v>
      </c>
      <c r="CL27" s="34"/>
    </row>
    <row r="28" spans="1:103">
      <c r="A28" s="23">
        <v>6</v>
      </c>
      <c r="B28" s="7" t="b">
        <f t="shared" si="13"/>
        <v>0</v>
      </c>
      <c r="C28" s="89" t="s">
        <v>86</v>
      </c>
      <c r="D28" s="26">
        <f>ROW('Develop Model'!B100)</f>
        <v>100</v>
      </c>
      <c r="E28" s="2">
        <f>IFERROR(IF(ABS(CD28-X!CK28)&lt;1,F28,0),0)</f>
        <v>0</v>
      </c>
      <c r="F28" s="31">
        <v>5</v>
      </c>
      <c r="CA28" s="7">
        <v>6</v>
      </c>
      <c r="CB28" s="27"/>
      <c r="CC28" s="30"/>
      <c r="CD28" s="46">
        <f>'Develop Model'!B100</f>
        <v>0</v>
      </c>
      <c r="CH28" s="32"/>
      <c r="CI28" s="32"/>
      <c r="CJ28" s="32"/>
      <c r="CK28" s="115">
        <f>'Develop Model'!F56*(1-'Develop Model'!F73)+100*'Develop Model'!F69</f>
        <v>54.938800000000001</v>
      </c>
      <c r="CL28" s="34"/>
    </row>
    <row r="29" spans="1:103">
      <c r="A29" s="23">
        <v>7</v>
      </c>
      <c r="B29" s="7" t="b">
        <f t="shared" si="13"/>
        <v>0</v>
      </c>
      <c r="C29" s="89" t="s">
        <v>86</v>
      </c>
      <c r="D29" s="26">
        <f>ROW('Develop Model'!B103)</f>
        <v>103</v>
      </c>
      <c r="E29" s="2">
        <f>IFERROR(IF(ABS(CD29-X!CK29)&lt;1,F29,0),0)</f>
        <v>0</v>
      </c>
      <c r="F29" s="31">
        <v>5</v>
      </c>
      <c r="CA29" s="7">
        <v>7</v>
      </c>
      <c r="CB29" s="27"/>
      <c r="CC29" s="30"/>
      <c r="CD29" s="46">
        <f>'Develop Model'!B103</f>
        <v>0</v>
      </c>
      <c r="CH29" s="32"/>
      <c r="CI29" s="32"/>
      <c r="CJ29" s="32"/>
      <c r="CK29" s="115">
        <f>'Scratch Sheet'!C47</f>
        <v>67.371839999999992</v>
      </c>
      <c r="CL29" s="34"/>
    </row>
    <row r="30" spans="1:103">
      <c r="A30" s="23">
        <v>8</v>
      </c>
      <c r="B30" s="7" t="b">
        <f t="shared" si="13"/>
        <v>0</v>
      </c>
      <c r="C30" s="89" t="s">
        <v>86</v>
      </c>
      <c r="D30" s="26">
        <f>ROW('Develop Model'!B106)</f>
        <v>106</v>
      </c>
      <c r="E30" s="2">
        <f>IFERROR(IF(ABS(CD30-X!CK30)&lt;0.01,F30,0),0)</f>
        <v>0</v>
      </c>
      <c r="F30" s="31">
        <v>5</v>
      </c>
      <c r="CA30" s="7">
        <v>8</v>
      </c>
      <c r="CB30" s="27"/>
      <c r="CC30" s="30"/>
      <c r="CD30" s="47">
        <f>'Develop Model'!B106</f>
        <v>0</v>
      </c>
      <c r="CH30" s="32"/>
      <c r="CI30" s="32"/>
      <c r="CJ30" s="32"/>
      <c r="CK30" s="144">
        <f>'Scratch Sheet'!C59</f>
        <v>0.30061467181467189</v>
      </c>
      <c r="CL30" s="34"/>
    </row>
    <row r="31" spans="1:103">
      <c r="A31" s="23">
        <v>9</v>
      </c>
      <c r="B31" s="7" t="b">
        <f t="shared" si="13"/>
        <v>0</v>
      </c>
      <c r="C31" s="89" t="s">
        <v>86</v>
      </c>
      <c r="D31" s="26">
        <f>ROW('Develop Model'!B115)</f>
        <v>115</v>
      </c>
      <c r="E31" s="2">
        <f>IFERROR(IF(ABS(CD31-X!CK31)&lt;1,F31,0),0)</f>
        <v>0</v>
      </c>
      <c r="F31" s="31">
        <v>5</v>
      </c>
      <c r="CA31" s="7">
        <v>9</v>
      </c>
      <c r="CB31" s="27"/>
      <c r="CC31" s="30"/>
      <c r="CD31" s="46">
        <f>'Develop Model'!B115</f>
        <v>0</v>
      </c>
      <c r="CH31" s="32"/>
      <c r="CI31" s="32"/>
      <c r="CJ31" s="32"/>
      <c r="CK31" s="115">
        <f>100*(1+'Develop Model'!F63)*('Develop Model'!F64-'Develop Model'!F66-'Develop Model'!F65)</f>
        <v>13.738900000000001</v>
      </c>
      <c r="CL31" s="34"/>
    </row>
    <row r="32" spans="1:103">
      <c r="A32" s="23">
        <v>10</v>
      </c>
      <c r="B32" s="7" t="b">
        <f t="shared" si="13"/>
        <v>0</v>
      </c>
      <c r="C32" s="89" t="s">
        <v>86</v>
      </c>
      <c r="D32" s="26">
        <f>ROW('Develop Model'!B118)</f>
        <v>118</v>
      </c>
      <c r="E32" s="2">
        <f>IFERROR(IF(ABS(CD32-X!CK32)&lt;1,F32,0),0)</f>
        <v>0</v>
      </c>
      <c r="F32" s="31">
        <v>5</v>
      </c>
      <c r="CA32" s="7">
        <v>10</v>
      </c>
      <c r="CB32" s="27"/>
      <c r="CC32" s="30"/>
      <c r="CD32" s="46">
        <f>'Develop Model'!B118</f>
        <v>0</v>
      </c>
      <c r="CH32" s="32"/>
      <c r="CI32" s="32"/>
      <c r="CJ32" s="32"/>
      <c r="CK32" s="115">
        <f>(CK31+(CK26-'Develop Model'!F58)*'Develop Model'!F74)*(1-'Develop Model'!F67)</f>
        <v>8.1986484640000015</v>
      </c>
      <c r="CL32" s="32"/>
    </row>
    <row r="33" spans="1:95">
      <c r="A33" s="23">
        <v>11</v>
      </c>
      <c r="B33" s="7" t="b">
        <f t="shared" si="13"/>
        <v>0</v>
      </c>
      <c r="C33" s="89" t="s">
        <v>86</v>
      </c>
      <c r="D33" s="26">
        <f>ROW('Develop Model'!B121)</f>
        <v>121</v>
      </c>
      <c r="E33" s="2">
        <f>IFERROR(IF(ABS(CD33-X!CK33)&lt;1,F33,0),0)</f>
        <v>0</v>
      </c>
      <c r="F33" s="31">
        <v>5</v>
      </c>
      <c r="CA33" s="7">
        <v>11</v>
      </c>
      <c r="CB33" s="27"/>
      <c r="CC33" s="30"/>
      <c r="CD33" s="46">
        <f>'Develop Model'!B121</f>
        <v>0</v>
      </c>
      <c r="CH33" s="32"/>
      <c r="CI33" s="32"/>
      <c r="CJ33" s="32"/>
      <c r="CK33" s="115">
        <f>'Scratch Sheet'!D57</f>
        <v>8.1464820639999989</v>
      </c>
      <c r="CL33" s="84"/>
    </row>
    <row r="34" spans="1:95">
      <c r="A34" s="23">
        <v>12</v>
      </c>
      <c r="B34" s="7" t="b">
        <f t="shared" si="13"/>
        <v>0</v>
      </c>
      <c r="C34" s="89" t="s">
        <v>86</v>
      </c>
      <c r="D34" s="26">
        <f>ROW('Develop Model'!B124)</f>
        <v>124</v>
      </c>
      <c r="E34" s="2">
        <f>IFERROR(IF(ABS(CD34-X!CK34)&lt;1,F34,0),0)</f>
        <v>0</v>
      </c>
      <c r="F34" s="31">
        <v>5</v>
      </c>
      <c r="CA34" s="7">
        <v>12</v>
      </c>
      <c r="CB34" s="27"/>
      <c r="CC34" s="30"/>
      <c r="CD34" s="46">
        <f>'Develop Model'!B124</f>
        <v>0</v>
      </c>
      <c r="CH34" s="32"/>
      <c r="CI34" s="32"/>
      <c r="CJ34" s="32"/>
      <c r="CK34" s="115">
        <f>'Scratch Sheet'!D42</f>
        <v>27.981522064000004</v>
      </c>
      <c r="CL34" s="32"/>
    </row>
    <row r="35" spans="1:95">
      <c r="A35" s="23">
        <v>13</v>
      </c>
      <c r="B35" s="7" t="b">
        <f t="shared" si="13"/>
        <v>0</v>
      </c>
      <c r="C35" s="89" t="s">
        <v>86</v>
      </c>
      <c r="D35" s="26">
        <f>ROW('Develop Model'!B127)</f>
        <v>127</v>
      </c>
      <c r="E35" s="2">
        <f>IFERROR(IF(ABS(CD35-X!CK35)&lt;1,F35,0),0)</f>
        <v>0</v>
      </c>
      <c r="F35" s="31">
        <v>5</v>
      </c>
      <c r="CA35" s="7">
        <v>13</v>
      </c>
      <c r="CB35" s="27"/>
      <c r="CC35" s="30"/>
      <c r="CD35" s="46">
        <f>'Develop Model'!B127</f>
        <v>0</v>
      </c>
      <c r="CH35" s="32"/>
      <c r="CI35" s="32"/>
      <c r="CJ35" s="32"/>
      <c r="CK35" s="115">
        <f>'Scratch Sheet'!D44</f>
        <v>68.354994399999995</v>
      </c>
      <c r="CL35" s="32"/>
    </row>
    <row r="36" spans="1:95">
      <c r="A36" s="23">
        <v>14</v>
      </c>
      <c r="B36" s="7" t="b">
        <f t="shared" si="13"/>
        <v>0</v>
      </c>
      <c r="C36" s="89" t="s">
        <v>86</v>
      </c>
      <c r="D36" s="26">
        <f>ROW('Develop Model'!B130)</f>
        <v>130</v>
      </c>
      <c r="E36" s="2">
        <f>IFERROR(IF(ABS(CD36-X!CK36)&lt;1,F36,0),0)</f>
        <v>0</v>
      </c>
      <c r="F36" s="31">
        <v>5</v>
      </c>
      <c r="CA36" s="7">
        <v>14</v>
      </c>
      <c r="CB36" s="27"/>
      <c r="CC36" s="30"/>
      <c r="CD36" s="46">
        <f>'Develop Model'!B130</f>
        <v>0</v>
      </c>
      <c r="CH36" s="32"/>
      <c r="CI36" s="32"/>
      <c r="CJ36" s="32"/>
      <c r="CK36" s="115">
        <f>'Scratch Sheet'!D47</f>
        <v>83.539050463999985</v>
      </c>
      <c r="CL36" s="32"/>
    </row>
    <row r="37" spans="1:95" ht="15" customHeight="1">
      <c r="A37" s="23">
        <v>15</v>
      </c>
      <c r="B37" s="7" t="b">
        <f t="shared" si="13"/>
        <v>1</v>
      </c>
      <c r="C37" s="89" t="s">
        <v>143</v>
      </c>
      <c r="D37" s="26">
        <f>ROW('Analyze Using Model'!B58)</f>
        <v>58</v>
      </c>
      <c r="G37" s="156">
        <f t="shared" ref="G37:G42" si="14">IFERROR(6-CD37-CE37,0)</f>
        <v>6</v>
      </c>
      <c r="H37" s="31">
        <v>6</v>
      </c>
      <c r="CA37" s="7">
        <v>15</v>
      </c>
      <c r="CB37" s="27"/>
      <c r="CC37" s="30"/>
      <c r="CD37" s="157">
        <f>SUM('Scratch Sheet'!D70:I70)</f>
        <v>0</v>
      </c>
      <c r="CE37" s="39">
        <f>'Scratch Sheet'!J70</f>
        <v>0</v>
      </c>
      <c r="CF37" s="39"/>
      <c r="CG37" s="39"/>
      <c r="CH37" s="39"/>
      <c r="CI37" s="39"/>
      <c r="CJ37" s="32"/>
      <c r="CL37" s="70"/>
      <c r="CM37" s="70"/>
      <c r="CN37" s="70"/>
      <c r="CO37" s="70"/>
      <c r="CP37" s="70"/>
      <c r="CQ37" s="70"/>
    </row>
    <row r="38" spans="1:95" ht="15.75">
      <c r="A38" s="23">
        <v>16</v>
      </c>
      <c r="B38" s="7" t="b">
        <f t="shared" si="13"/>
        <v>1</v>
      </c>
      <c r="C38" s="89" t="s">
        <v>143</v>
      </c>
      <c r="D38" s="26">
        <f>ROW('Analyze Using Model'!B59)</f>
        <v>59</v>
      </c>
      <c r="G38" s="156">
        <f t="shared" si="14"/>
        <v>6</v>
      </c>
      <c r="H38" s="31">
        <v>6</v>
      </c>
      <c r="CA38" s="7">
        <v>16</v>
      </c>
      <c r="CB38" s="27"/>
      <c r="CC38" s="30"/>
      <c r="CD38" s="157">
        <f>SUM('Scratch Sheet'!D71:I71)</f>
        <v>0</v>
      </c>
      <c r="CE38" s="39">
        <f>'Scratch Sheet'!J71</f>
        <v>0</v>
      </c>
      <c r="CF38" s="39"/>
      <c r="CG38" s="39"/>
      <c r="CH38" s="39"/>
      <c r="CI38" s="32"/>
      <c r="CJ38" s="32"/>
      <c r="CK38" s="70"/>
      <c r="CL38" s="70"/>
      <c r="CM38" s="70"/>
      <c r="CN38" s="70"/>
      <c r="CO38" s="70"/>
    </row>
    <row r="39" spans="1:95" ht="15.75">
      <c r="A39" s="23">
        <v>17</v>
      </c>
      <c r="B39" s="7" t="b">
        <f t="shared" si="13"/>
        <v>0</v>
      </c>
      <c r="C39" s="89" t="s">
        <v>143</v>
      </c>
      <c r="D39" s="26">
        <f>ROW('Analyze Using Model'!B60)</f>
        <v>60</v>
      </c>
      <c r="G39" s="156">
        <f t="shared" si="14"/>
        <v>5</v>
      </c>
      <c r="H39" s="31">
        <v>6</v>
      </c>
      <c r="I39" s="85"/>
      <c r="CA39" s="7">
        <v>17</v>
      </c>
      <c r="CB39" s="27"/>
      <c r="CC39" s="30"/>
      <c r="CD39" s="157">
        <f>SUM('Scratch Sheet'!D72:I72)</f>
        <v>1</v>
      </c>
      <c r="CE39" s="39">
        <f>'Scratch Sheet'!J72</f>
        <v>0</v>
      </c>
      <c r="CF39" s="39"/>
      <c r="CG39" s="39"/>
      <c r="CH39" s="39"/>
      <c r="CI39" s="32"/>
      <c r="CJ39" s="32"/>
      <c r="CK39" s="70"/>
      <c r="CL39" s="70"/>
      <c r="CM39" s="70"/>
      <c r="CN39" s="70"/>
      <c r="CO39" s="70"/>
    </row>
    <row r="40" spans="1:95" ht="15.75">
      <c r="A40" s="23">
        <v>18</v>
      </c>
      <c r="B40" s="7" t="b">
        <f t="shared" si="13"/>
        <v>1</v>
      </c>
      <c r="C40" s="89" t="s">
        <v>143</v>
      </c>
      <c r="D40" s="26">
        <f>ROW('Analyze Using Model'!B61)</f>
        <v>61</v>
      </c>
      <c r="G40" s="156">
        <f t="shared" si="14"/>
        <v>6</v>
      </c>
      <c r="H40" s="31">
        <v>6</v>
      </c>
      <c r="I40" s="85"/>
      <c r="CA40" s="7">
        <v>18</v>
      </c>
      <c r="CB40" s="27"/>
      <c r="CC40" s="30"/>
      <c r="CD40" s="157">
        <f>SUM('Scratch Sheet'!D73:I73)</f>
        <v>0</v>
      </c>
      <c r="CE40" s="39">
        <f>'Scratch Sheet'!J73</f>
        <v>0</v>
      </c>
      <c r="CF40" s="39"/>
      <c r="CG40" s="39"/>
      <c r="CH40" s="39"/>
      <c r="CI40" s="32"/>
      <c r="CJ40" s="32"/>
      <c r="CK40" s="70"/>
      <c r="CL40" s="70"/>
      <c r="CM40" s="70"/>
      <c r="CN40" s="70"/>
      <c r="CO40" s="70"/>
    </row>
    <row r="41" spans="1:95" ht="15.75">
      <c r="A41" s="23">
        <v>19</v>
      </c>
      <c r="B41" s="7" t="b">
        <f t="shared" si="13"/>
        <v>1</v>
      </c>
      <c r="C41" s="89" t="s">
        <v>143</v>
      </c>
      <c r="D41" s="26">
        <f>ROW('Analyze Using Model'!B62)</f>
        <v>62</v>
      </c>
      <c r="G41" s="156">
        <f t="shared" si="14"/>
        <v>6</v>
      </c>
      <c r="H41" s="31">
        <v>6</v>
      </c>
      <c r="I41" s="23"/>
      <c r="CA41" s="7">
        <v>19</v>
      </c>
      <c r="CB41" s="27"/>
      <c r="CC41" s="30"/>
      <c r="CD41" s="157">
        <f>SUM('Scratch Sheet'!D74:I74)</f>
        <v>0</v>
      </c>
      <c r="CE41" s="39">
        <f>'Scratch Sheet'!J74</f>
        <v>0</v>
      </c>
      <c r="CF41" s="39"/>
      <c r="CG41" s="39"/>
      <c r="CH41" s="39"/>
      <c r="CI41" s="32"/>
      <c r="CJ41" s="32"/>
      <c r="CK41" s="70"/>
      <c r="CL41" s="70"/>
      <c r="CM41" s="70"/>
      <c r="CN41" s="70"/>
      <c r="CO41" s="70"/>
    </row>
    <row r="42" spans="1:95" ht="15.75">
      <c r="A42" s="23">
        <v>20</v>
      </c>
      <c r="B42" s="7" t="b">
        <f t="shared" si="13"/>
        <v>1</v>
      </c>
      <c r="C42" s="89" t="s">
        <v>143</v>
      </c>
      <c r="D42" s="26">
        <f>ROW('Analyze Using Model'!B63)</f>
        <v>63</v>
      </c>
      <c r="G42" s="156">
        <f t="shared" si="14"/>
        <v>6</v>
      </c>
      <c r="H42" s="31">
        <v>6</v>
      </c>
      <c r="I42" s="23"/>
      <c r="CA42" s="7">
        <v>20</v>
      </c>
      <c r="CB42" s="27"/>
      <c r="CC42" s="30"/>
      <c r="CD42" s="157">
        <f>SUM('Scratch Sheet'!D75:I75)</f>
        <v>0</v>
      </c>
      <c r="CE42" s="39">
        <f>'Scratch Sheet'!J75</f>
        <v>0</v>
      </c>
      <c r="CF42" s="39"/>
      <c r="CG42" s="39"/>
      <c r="CH42" s="39"/>
      <c r="CI42" s="32"/>
      <c r="CJ42" s="32"/>
      <c r="CK42" s="70"/>
      <c r="CL42" s="70"/>
      <c r="CM42" s="70"/>
      <c r="CN42" s="70"/>
      <c r="CO42" s="70"/>
    </row>
    <row r="43" spans="1:95" ht="15.75">
      <c r="A43" s="23">
        <v>21</v>
      </c>
      <c r="B43" s="7" t="b">
        <f t="shared" si="13"/>
        <v>1</v>
      </c>
      <c r="C43" s="89" t="s">
        <v>143</v>
      </c>
      <c r="D43" s="26">
        <f>ROW('Analyze Using Model'!B66)</f>
        <v>66</v>
      </c>
      <c r="G43" s="31">
        <f>IFERROR(IF(AND(CD43=CK43,CD43&lt;&gt;0),H43,0),0)</f>
        <v>3</v>
      </c>
      <c r="H43" s="31">
        <v>3</v>
      </c>
      <c r="I43" s="23"/>
      <c r="CA43" s="7">
        <v>21</v>
      </c>
      <c r="CB43" s="27"/>
      <c r="CC43" s="30"/>
      <c r="CD43" s="39" t="str">
        <f>'Analyze Using Model'!B66</f>
        <v>Cash Cow</v>
      </c>
      <c r="CE43" s="39"/>
      <c r="CF43" s="39"/>
      <c r="CG43" s="39"/>
      <c r="CH43" s="39"/>
      <c r="CI43" s="32"/>
      <c r="CJ43" s="32"/>
      <c r="CK43" s="97" t="str" cm="1">
        <f t="array" ref="CK43">INDEX('Analyze Using Model'!D57:H57,,MATCH(MAX('Analyze Using Model'!D62:H62),'Analyze Using Model'!D62:H62,0))</f>
        <v>Cash Cow</v>
      </c>
      <c r="CL43" s="70"/>
      <c r="CM43" s="70"/>
      <c r="CN43" s="70"/>
      <c r="CO43" s="70"/>
    </row>
    <row r="44" spans="1:95" ht="15.75">
      <c r="A44" s="23">
        <v>22</v>
      </c>
      <c r="B44" s="7" t="b">
        <f t="shared" si="13"/>
        <v>1</v>
      </c>
      <c r="C44" s="89" t="s">
        <v>143</v>
      </c>
      <c r="D44" s="26">
        <f>ROW('Analyze Using Model'!B70)</f>
        <v>70</v>
      </c>
      <c r="G44" s="31">
        <f>IFERROR(IF(AND(CD44=CK44,CD44&lt;&gt;0),H44,0),0)</f>
        <v>3</v>
      </c>
      <c r="H44" s="31">
        <v>3</v>
      </c>
      <c r="I44" s="23"/>
      <c r="CA44" s="7">
        <v>22</v>
      </c>
      <c r="CB44" s="27"/>
      <c r="CC44" s="30"/>
      <c r="CD44" s="39" t="str">
        <f>'Analyze Using Model'!B70</f>
        <v>Cash Cow With Dividends</v>
      </c>
      <c r="CE44" s="39"/>
      <c r="CF44" s="39"/>
      <c r="CG44" s="39"/>
      <c r="CH44" s="39"/>
      <c r="CI44" s="32"/>
      <c r="CJ44" s="32"/>
      <c r="CK44" s="97" t="str" cm="1">
        <f t="array" ref="CK44">INDEX('Analyze Using Model'!D57:H57,,MATCH(MAX('Analyze Using Model'!D63:H63),'Analyze Using Model'!D63:H63,0))</f>
        <v>Cash Cow With Dividends</v>
      </c>
      <c r="CL44" s="70"/>
      <c r="CM44" s="70"/>
      <c r="CN44" s="70"/>
      <c r="CO44" s="70"/>
    </row>
    <row r="45" spans="1:95" ht="15.75">
      <c r="A45" s="23">
        <v>23</v>
      </c>
      <c r="B45" s="7" t="b">
        <f t="shared" si="13"/>
        <v>1</v>
      </c>
      <c r="C45" s="89" t="s">
        <v>143</v>
      </c>
      <c r="D45" s="26">
        <f>ROW('Analyze Using Model'!B75)</f>
        <v>75</v>
      </c>
      <c r="G45" s="31">
        <f>IFERROR(IF(AND(CD45=CK45,CD45&lt;&gt;0),H45,0),0)</f>
        <v>3</v>
      </c>
      <c r="H45" s="31">
        <v>3</v>
      </c>
      <c r="I45" s="23"/>
      <c r="CA45" s="7">
        <v>23</v>
      </c>
      <c r="CB45" s="27"/>
      <c r="CC45" s="30"/>
      <c r="CD45" s="39" t="str">
        <f>'Analyze Using Model'!B75</f>
        <v>Dog</v>
      </c>
      <c r="CE45" s="39"/>
      <c r="CF45" s="39"/>
      <c r="CG45" s="39"/>
      <c r="CH45" s="39"/>
      <c r="CI45" s="32"/>
      <c r="CJ45" s="32"/>
      <c r="CK45" s="97" t="str" cm="1">
        <f t="array" ref="CK45">INDEX('Analyze Using Model'!D57:H57,,MATCH(MIN('Analyze Using Model'!D59:H59),'Analyze Using Model'!D59:H59,0))</f>
        <v>Dog</v>
      </c>
      <c r="CL45" s="70"/>
      <c r="CM45" s="70"/>
      <c r="CN45" s="70"/>
      <c r="CO45" s="70"/>
    </row>
    <row r="46" spans="1:95" ht="15.75">
      <c r="A46" s="23">
        <v>24</v>
      </c>
      <c r="B46" s="7" t="b">
        <f t="shared" si="13"/>
        <v>1</v>
      </c>
      <c r="C46" s="89" t="s">
        <v>167</v>
      </c>
      <c r="D46" s="26">
        <f>ROW('MODEL Template'!A15)</f>
        <v>15</v>
      </c>
      <c r="E46" s="171">
        <f>E75</f>
        <v>1</v>
      </c>
      <c r="F46" s="31">
        <v>1</v>
      </c>
      <c r="I46" s="23"/>
      <c r="CA46" s="7"/>
      <c r="CB46" s="27"/>
      <c r="CC46" s="30"/>
      <c r="CD46" s="39"/>
      <c r="CE46" s="39"/>
      <c r="CF46" s="39"/>
      <c r="CG46" s="39"/>
      <c r="CH46" s="39"/>
      <c r="CI46" s="32"/>
      <c r="CJ46" s="32"/>
      <c r="CK46" s="70"/>
      <c r="CL46" s="70"/>
      <c r="CM46" s="70"/>
      <c r="CN46" s="70"/>
      <c r="CO46" s="70"/>
    </row>
    <row r="47" spans="1:95" ht="15.75">
      <c r="A47" s="23">
        <v>25</v>
      </c>
      <c r="B47" s="7" t="b">
        <f t="shared" si="13"/>
        <v>1</v>
      </c>
      <c r="C47" s="89" t="s">
        <v>167</v>
      </c>
      <c r="D47" s="26">
        <f>ROW('MODEL Template'!A16)</f>
        <v>16</v>
      </c>
      <c r="E47" s="31">
        <f t="shared" ref="E47:E50" si="15">SUM(D76:E76)</f>
        <v>2</v>
      </c>
      <c r="F47" s="31">
        <v>2</v>
      </c>
      <c r="I47" s="23"/>
      <c r="CA47" s="7"/>
      <c r="CB47" s="27"/>
      <c r="CC47" s="30"/>
      <c r="CD47" s="39"/>
      <c r="CE47" s="39"/>
      <c r="CF47" s="39"/>
      <c r="CG47" s="39"/>
      <c r="CH47" s="39"/>
      <c r="CI47" s="32"/>
      <c r="CJ47" s="32"/>
      <c r="CK47" s="70"/>
      <c r="CL47" s="70"/>
      <c r="CM47" s="70"/>
      <c r="CN47" s="70"/>
      <c r="CO47" s="70"/>
    </row>
    <row r="48" spans="1:95" ht="15.75">
      <c r="A48" s="23">
        <v>26</v>
      </c>
      <c r="B48" s="7" t="b">
        <f t="shared" si="13"/>
        <v>1</v>
      </c>
      <c r="C48" s="89" t="s">
        <v>167</v>
      </c>
      <c r="D48" s="26">
        <f>ROW('MODEL Template'!A17)</f>
        <v>17</v>
      </c>
      <c r="E48" s="31">
        <f t="shared" si="15"/>
        <v>2</v>
      </c>
      <c r="F48" s="31">
        <v>2</v>
      </c>
      <c r="I48" s="23"/>
      <c r="CA48" s="7"/>
      <c r="CB48" s="27"/>
      <c r="CC48" s="30"/>
      <c r="CD48" s="39"/>
      <c r="CE48" s="39"/>
      <c r="CF48" s="39"/>
      <c r="CG48" s="39"/>
      <c r="CH48" s="39"/>
      <c r="CI48" s="32"/>
      <c r="CJ48" s="32"/>
      <c r="CK48" s="70"/>
      <c r="CL48" s="70"/>
      <c r="CM48" s="70"/>
      <c r="CN48" s="70"/>
      <c r="CO48" s="70"/>
    </row>
    <row r="49" spans="1:102" ht="15.75">
      <c r="A49" s="23">
        <v>27</v>
      </c>
      <c r="B49" s="7" t="b">
        <f t="shared" si="13"/>
        <v>1</v>
      </c>
      <c r="C49" s="89" t="s">
        <v>167</v>
      </c>
      <c r="D49" s="26">
        <f>ROW('MODEL Template'!A18)</f>
        <v>18</v>
      </c>
      <c r="E49" s="31">
        <f t="shared" si="15"/>
        <v>2</v>
      </c>
      <c r="F49" s="31">
        <v>2</v>
      </c>
      <c r="I49" s="23"/>
      <c r="CA49" s="7"/>
      <c r="CB49" s="27"/>
      <c r="CC49" s="30"/>
      <c r="CD49" s="39"/>
      <c r="CE49" s="39"/>
      <c r="CF49" s="39"/>
      <c r="CG49" s="39"/>
      <c r="CH49" s="39"/>
      <c r="CI49" s="32"/>
      <c r="CJ49" s="32"/>
      <c r="CK49" s="70"/>
      <c r="CL49" s="70"/>
      <c r="CM49" s="70"/>
      <c r="CN49" s="70"/>
      <c r="CO49" s="70"/>
    </row>
    <row r="50" spans="1:102" ht="15.75">
      <c r="A50" s="23">
        <v>28</v>
      </c>
      <c r="B50" s="7" t="b">
        <f t="shared" si="13"/>
        <v>1</v>
      </c>
      <c r="C50" s="89" t="s">
        <v>167</v>
      </c>
      <c r="D50" s="26">
        <f>ROW('MODEL Template'!A19)</f>
        <v>19</v>
      </c>
      <c r="E50" s="31">
        <f t="shared" si="15"/>
        <v>2</v>
      </c>
      <c r="F50" s="31">
        <v>2</v>
      </c>
      <c r="I50" s="23"/>
      <c r="CA50" s="7"/>
      <c r="CB50" s="27"/>
      <c r="CC50" s="30"/>
      <c r="CD50" s="39"/>
      <c r="CE50" s="39"/>
      <c r="CF50" s="39"/>
      <c r="CG50" s="39"/>
      <c r="CH50" s="39"/>
      <c r="CI50" s="32"/>
      <c r="CJ50" s="32"/>
      <c r="CK50" s="70"/>
      <c r="CL50" s="70"/>
      <c r="CM50" s="70"/>
      <c r="CN50" s="70"/>
      <c r="CO50" s="70"/>
    </row>
    <row r="51" spans="1:102" ht="15.75">
      <c r="A51" s="23">
        <v>29</v>
      </c>
      <c r="B51" s="7" t="b">
        <f t="shared" si="13"/>
        <v>1</v>
      </c>
      <c r="C51" s="89" t="s">
        <v>167</v>
      </c>
      <c r="D51" s="26">
        <f>ROW('MODEL Template'!A20)</f>
        <v>20</v>
      </c>
      <c r="E51" s="31">
        <f>SUM(D80:E80)</f>
        <v>2</v>
      </c>
      <c r="F51" s="31">
        <v>2</v>
      </c>
      <c r="I51" s="23"/>
      <c r="CA51" s="7"/>
      <c r="CB51" s="27"/>
      <c r="CC51" s="30"/>
      <c r="CD51" s="39"/>
      <c r="CE51" s="39"/>
      <c r="CF51" s="39"/>
      <c r="CG51" s="39"/>
      <c r="CH51" s="39"/>
      <c r="CI51" s="32"/>
      <c r="CJ51" s="32"/>
      <c r="CK51" s="70"/>
      <c r="CL51" s="70"/>
      <c r="CM51" s="70"/>
      <c r="CN51" s="70"/>
      <c r="CO51" s="70"/>
    </row>
    <row r="52" spans="1:102" ht="15.75">
      <c r="A52" s="23">
        <v>30</v>
      </c>
      <c r="B52" s="7" t="b">
        <f t="shared" si="13"/>
        <v>1</v>
      </c>
      <c r="C52" s="89" t="s">
        <v>167</v>
      </c>
      <c r="D52" s="26">
        <f>ROW('MODEL Template'!A21)</f>
        <v>21</v>
      </c>
      <c r="E52" s="31">
        <f t="shared" ref="E52:E54" si="16">SUM(D81:E81)</f>
        <v>2</v>
      </c>
      <c r="F52" s="31">
        <v>2</v>
      </c>
      <c r="G52" s="85"/>
      <c r="I52" s="85"/>
      <c r="CA52" s="7"/>
      <c r="CB52" s="27"/>
      <c r="CC52" s="30"/>
      <c r="CD52" s="39"/>
      <c r="CE52" s="39"/>
      <c r="CF52" s="39"/>
      <c r="CG52" s="39"/>
      <c r="CH52" s="39"/>
      <c r="CI52" s="32"/>
      <c r="CJ52" s="32"/>
      <c r="CK52" s="70"/>
      <c r="CL52" s="70"/>
      <c r="CM52" s="70"/>
      <c r="CN52" s="70"/>
      <c r="CO52" s="70"/>
    </row>
    <row r="53" spans="1:102" ht="15.75">
      <c r="A53" s="23">
        <v>31</v>
      </c>
      <c r="B53" s="7" t="b">
        <f t="shared" si="13"/>
        <v>1</v>
      </c>
      <c r="C53" s="89" t="s">
        <v>167</v>
      </c>
      <c r="D53" s="26">
        <f>ROW('MODEL Template'!A22)</f>
        <v>22</v>
      </c>
      <c r="E53" s="31">
        <f t="shared" si="16"/>
        <v>2</v>
      </c>
      <c r="F53" s="31">
        <v>2</v>
      </c>
      <c r="G53" s="85"/>
      <c r="I53" s="85"/>
      <c r="CA53" s="7"/>
      <c r="CB53" s="27"/>
      <c r="CC53" s="30"/>
      <c r="CD53" s="39"/>
      <c r="CE53" s="39"/>
      <c r="CF53" s="39"/>
      <c r="CG53" s="39"/>
      <c r="CH53" s="39"/>
      <c r="CI53" s="32"/>
      <c r="CJ53" s="32"/>
      <c r="CK53" s="70"/>
      <c r="CL53" s="70"/>
      <c r="CM53" s="70"/>
      <c r="CN53" s="70"/>
      <c r="CO53" s="70"/>
    </row>
    <row r="54" spans="1:102" ht="15.75">
      <c r="A54" s="23">
        <v>32</v>
      </c>
      <c r="B54" s="7" t="b">
        <f t="shared" si="13"/>
        <v>1</v>
      </c>
      <c r="C54" s="89" t="s">
        <v>167</v>
      </c>
      <c r="D54" s="26">
        <f>ROW('MODEL Template'!A23)</f>
        <v>23</v>
      </c>
      <c r="E54" s="31">
        <f t="shared" si="16"/>
        <v>2</v>
      </c>
      <c r="F54" s="31">
        <v>2</v>
      </c>
      <c r="CA54" s="7"/>
      <c r="CB54" s="27"/>
      <c r="CC54" s="30"/>
      <c r="CD54" s="39"/>
      <c r="CE54" s="39"/>
      <c r="CF54" s="39"/>
      <c r="CG54" s="39"/>
      <c r="CH54" s="39"/>
      <c r="CI54" s="32"/>
      <c r="CJ54" s="32"/>
      <c r="CK54" s="70"/>
      <c r="CL54" s="70"/>
      <c r="CM54" s="70"/>
      <c r="CN54" s="70"/>
      <c r="CO54" s="70"/>
    </row>
    <row r="55" spans="1:102">
      <c r="A55" s="23">
        <v>33</v>
      </c>
      <c r="B55" s="7" t="b">
        <f t="shared" si="13"/>
        <v>1</v>
      </c>
      <c r="C55" s="89" t="s">
        <v>167</v>
      </c>
      <c r="D55" s="26">
        <f>ROW('MODEL Template'!A24)</f>
        <v>24</v>
      </c>
      <c r="E55" s="31">
        <f>SUM(D84:E84)</f>
        <v>2</v>
      </c>
      <c r="F55" s="31">
        <v>2</v>
      </c>
      <c r="CA55" s="7"/>
      <c r="CB55" s="27"/>
      <c r="CD55" s="39"/>
      <c r="CH55" s="32"/>
      <c r="CI55" s="32"/>
      <c r="CJ55" s="32"/>
      <c r="CK55" s="35"/>
      <c r="CL55" s="35"/>
    </row>
    <row r="56" spans="1:102">
      <c r="A56" s="23">
        <v>34</v>
      </c>
      <c r="B56" s="7" t="b">
        <f t="shared" si="13"/>
        <v>1</v>
      </c>
      <c r="C56" s="89" t="s">
        <v>167</v>
      </c>
      <c r="D56" s="26">
        <f>ROW('MODEL Template'!A27)</f>
        <v>27</v>
      </c>
      <c r="E56" s="31">
        <f>SUM(D87:E87)</f>
        <v>2</v>
      </c>
      <c r="F56" s="31">
        <v>2</v>
      </c>
      <c r="CA56" s="7"/>
      <c r="CB56" s="27"/>
      <c r="CD56" s="39"/>
      <c r="CH56" s="32"/>
      <c r="CI56" s="32"/>
      <c r="CJ56" s="32"/>
      <c r="CK56" s="36"/>
      <c r="CL56" s="36"/>
    </row>
    <row r="57" spans="1:102">
      <c r="A57" s="23">
        <v>35</v>
      </c>
      <c r="B57" s="7" t="b">
        <f t="shared" si="13"/>
        <v>1</v>
      </c>
      <c r="C57" s="89" t="s">
        <v>167</v>
      </c>
      <c r="D57" s="26">
        <f>ROW('MODEL Template'!A28)</f>
        <v>28</v>
      </c>
      <c r="E57" s="31">
        <f t="shared" ref="E57:E61" si="17">SUM(D88:E88)</f>
        <v>2</v>
      </c>
      <c r="F57" s="31">
        <v>2</v>
      </c>
      <c r="CA57" s="7"/>
      <c r="CB57" s="27"/>
      <c r="CD57" s="39"/>
      <c r="CH57" s="32"/>
      <c r="CI57" s="32"/>
      <c r="CJ57" s="36"/>
      <c r="CK57" s="36"/>
      <c r="CL57" s="36"/>
    </row>
    <row r="58" spans="1:102">
      <c r="A58" s="23">
        <v>36</v>
      </c>
      <c r="B58" s="7" t="b">
        <f t="shared" si="13"/>
        <v>1</v>
      </c>
      <c r="C58" s="89" t="s">
        <v>167</v>
      </c>
      <c r="D58" s="26">
        <f>ROW('MODEL Template'!A29)</f>
        <v>29</v>
      </c>
      <c r="E58" s="31">
        <f t="shared" si="17"/>
        <v>2</v>
      </c>
      <c r="F58" s="31">
        <v>2</v>
      </c>
      <c r="G58" s="2"/>
      <c r="H58" s="2"/>
      <c r="L58" s="2"/>
      <c r="CA58" s="7"/>
      <c r="CB58" s="27"/>
      <c r="CC58" s="7"/>
      <c r="CD58" s="39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</row>
    <row r="59" spans="1:102">
      <c r="A59" s="23">
        <v>37</v>
      </c>
      <c r="B59" s="7" t="b">
        <f t="shared" si="13"/>
        <v>1</v>
      </c>
      <c r="C59" s="89" t="s">
        <v>167</v>
      </c>
      <c r="D59" s="26">
        <f>ROW('MODEL Template'!A30)</f>
        <v>30</v>
      </c>
      <c r="E59" s="31">
        <f t="shared" si="17"/>
        <v>2</v>
      </c>
      <c r="F59" s="31">
        <v>2</v>
      </c>
      <c r="G59" s="2"/>
      <c r="H59" s="2"/>
      <c r="L59" s="2"/>
      <c r="CA59" s="7"/>
      <c r="CB59" s="27"/>
      <c r="CC59" s="7"/>
      <c r="CD59" s="39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</row>
    <row r="60" spans="1:102">
      <c r="A60" s="23">
        <v>38</v>
      </c>
      <c r="B60" s="7" t="b">
        <f t="shared" si="13"/>
        <v>1</v>
      </c>
      <c r="C60" s="89" t="s">
        <v>167</v>
      </c>
      <c r="D60" s="26">
        <f>ROW('MODEL Template'!A31)</f>
        <v>31</v>
      </c>
      <c r="E60" s="31">
        <f t="shared" si="17"/>
        <v>2</v>
      </c>
      <c r="F60" s="31">
        <v>2</v>
      </c>
      <c r="G60" s="2"/>
      <c r="H60" s="2"/>
      <c r="L60" s="2"/>
      <c r="CA60" s="7"/>
      <c r="CB60" s="27"/>
      <c r="CC60" s="7"/>
      <c r="CD60" s="39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</row>
    <row r="61" spans="1:102">
      <c r="A61" s="23">
        <v>39</v>
      </c>
      <c r="B61" s="7" t="b">
        <f t="shared" si="13"/>
        <v>1</v>
      </c>
      <c r="C61" s="89" t="s">
        <v>167</v>
      </c>
      <c r="D61" s="26">
        <f>ROW('MODEL Template'!A32)</f>
        <v>32</v>
      </c>
      <c r="E61" s="31">
        <f t="shared" si="17"/>
        <v>2</v>
      </c>
      <c r="F61" s="31">
        <v>2</v>
      </c>
      <c r="G61" s="2"/>
      <c r="H61" s="2"/>
      <c r="L61" s="2"/>
      <c r="CA61" s="7"/>
      <c r="CB61" s="27"/>
      <c r="CC61" s="7"/>
      <c r="CD61" s="39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</row>
    <row r="62" spans="1:102">
      <c r="A62" s="23">
        <v>40</v>
      </c>
      <c r="B62" s="7" t="b">
        <f t="shared" si="13"/>
        <v>1</v>
      </c>
      <c r="C62" s="89" t="s">
        <v>167</v>
      </c>
      <c r="D62" s="26">
        <f>ROW('MODEL Template'!A35)</f>
        <v>35</v>
      </c>
      <c r="E62" s="31">
        <f>SUM(D95:E95)</f>
        <v>2</v>
      </c>
      <c r="F62" s="31">
        <v>2</v>
      </c>
      <c r="G62" s="2"/>
      <c r="H62" s="2"/>
      <c r="L62" s="64"/>
      <c r="CA62" s="7"/>
      <c r="CB62" s="27"/>
      <c r="CC62" s="7"/>
      <c r="CD62" s="39"/>
      <c r="CL62" s="31"/>
      <c r="CM62" s="31"/>
      <c r="CN62" s="66"/>
      <c r="CO62" s="31"/>
      <c r="CP62" s="31"/>
      <c r="CQ62" s="31"/>
      <c r="CR62" s="67"/>
      <c r="CS62" s="67"/>
      <c r="CT62" s="67"/>
      <c r="CU62" s="67"/>
      <c r="CV62" s="67"/>
      <c r="CW62" s="67"/>
      <c r="CX62" s="31"/>
    </row>
    <row r="63" spans="1:102">
      <c r="A63" s="23">
        <v>41</v>
      </c>
      <c r="B63" s="7" t="b">
        <f t="shared" si="13"/>
        <v>1</v>
      </c>
      <c r="C63" s="89" t="s">
        <v>167</v>
      </c>
      <c r="D63" s="26">
        <f>ROW('MODEL Template'!A36)</f>
        <v>36</v>
      </c>
      <c r="E63" s="31">
        <f>SUM(D96:E96)</f>
        <v>2</v>
      </c>
      <c r="F63" s="31">
        <v>2</v>
      </c>
      <c r="G63" s="2"/>
      <c r="H63" s="2"/>
      <c r="L63" s="64"/>
      <c r="CA63" s="7"/>
      <c r="CB63" s="27"/>
      <c r="CC63" s="7"/>
      <c r="CD63" s="39"/>
      <c r="CL63" s="31"/>
      <c r="CM63" s="31"/>
      <c r="CN63" s="66"/>
      <c r="CO63" s="31"/>
      <c r="CP63" s="31"/>
      <c r="CQ63" s="31"/>
      <c r="CR63" s="67"/>
      <c r="CS63" s="67"/>
      <c r="CT63" s="67"/>
      <c r="CU63" s="67"/>
      <c r="CV63" s="67"/>
      <c r="CW63" s="67"/>
      <c r="CX63" s="31"/>
    </row>
    <row r="64" spans="1:102">
      <c r="A64" s="23">
        <v>42</v>
      </c>
      <c r="B64" s="7" t="b">
        <f t="shared" si="13"/>
        <v>1</v>
      </c>
      <c r="C64" s="89" t="s">
        <v>167</v>
      </c>
      <c r="D64" s="26">
        <f>ROW('MODEL Template'!A38)</f>
        <v>38</v>
      </c>
      <c r="E64" s="31">
        <f>SUM(D98:E98)</f>
        <v>2</v>
      </c>
      <c r="F64" s="31">
        <v>2</v>
      </c>
      <c r="G64" s="2"/>
      <c r="H64" s="2"/>
      <c r="L64" s="64"/>
      <c r="CA64" s="7"/>
      <c r="CB64" s="27"/>
      <c r="CC64" s="7"/>
      <c r="CD64" s="39"/>
      <c r="CL64" s="31"/>
      <c r="CM64" s="31"/>
      <c r="CN64" s="66"/>
      <c r="CO64" s="31"/>
      <c r="CP64" s="31"/>
      <c r="CQ64" s="31"/>
      <c r="CR64" s="67"/>
      <c r="CS64" s="67"/>
      <c r="CT64" s="67"/>
      <c r="CU64" s="67"/>
      <c r="CV64" s="67"/>
      <c r="CW64" s="67"/>
      <c r="CX64" s="31"/>
    </row>
    <row r="65" spans="1:102">
      <c r="A65" s="23">
        <v>43</v>
      </c>
      <c r="B65" s="7" t="b">
        <f t="shared" si="13"/>
        <v>1</v>
      </c>
      <c r="C65" s="89" t="s">
        <v>167</v>
      </c>
      <c r="D65" s="26">
        <f>ROW('MODEL Template'!A39)</f>
        <v>39</v>
      </c>
      <c r="E65" s="31">
        <f t="shared" ref="E65:E68" si="18">SUM(D99:E99)</f>
        <v>2</v>
      </c>
      <c r="F65" s="31">
        <v>2</v>
      </c>
      <c r="G65" s="2"/>
      <c r="H65" s="2"/>
      <c r="L65" s="64"/>
      <c r="CA65" s="7"/>
      <c r="CB65" s="27"/>
      <c r="CC65" s="7"/>
      <c r="CD65" s="39"/>
      <c r="CL65" s="31"/>
      <c r="CM65" s="31"/>
      <c r="CN65" s="66"/>
      <c r="CO65" s="31"/>
      <c r="CP65" s="31"/>
      <c r="CQ65" s="31"/>
      <c r="CR65" s="67"/>
      <c r="CS65" s="67"/>
      <c r="CT65" s="67"/>
      <c r="CU65" s="67"/>
      <c r="CV65" s="67"/>
      <c r="CW65" s="67"/>
      <c r="CX65" s="31"/>
    </row>
    <row r="66" spans="1:102">
      <c r="A66" s="23">
        <v>44</v>
      </c>
      <c r="B66" s="7" t="b">
        <f t="shared" si="13"/>
        <v>1</v>
      </c>
      <c r="C66" s="89" t="s">
        <v>167</v>
      </c>
      <c r="D66" s="26">
        <f>ROW('MODEL Template'!A40)</f>
        <v>40</v>
      </c>
      <c r="E66" s="31">
        <f t="shared" si="18"/>
        <v>2</v>
      </c>
      <c r="F66" s="31">
        <v>2</v>
      </c>
      <c r="G66" s="2"/>
      <c r="H66" s="2"/>
      <c r="L66" s="64"/>
      <c r="CA66" s="7"/>
      <c r="CB66" s="27"/>
      <c r="CC66" s="7"/>
      <c r="CD66" s="39"/>
      <c r="CL66" s="31"/>
      <c r="CM66" s="31"/>
      <c r="CN66" s="66"/>
      <c r="CO66" s="31"/>
      <c r="CP66" s="31"/>
      <c r="CQ66" s="31"/>
      <c r="CR66" s="67"/>
      <c r="CS66" s="67"/>
      <c r="CT66" s="67"/>
      <c r="CU66" s="67"/>
      <c r="CV66" s="67"/>
      <c r="CW66" s="67"/>
      <c r="CX66" s="31"/>
    </row>
    <row r="67" spans="1:102">
      <c r="A67" s="23">
        <v>45</v>
      </c>
      <c r="B67" s="7" t="b">
        <f t="shared" si="13"/>
        <v>1</v>
      </c>
      <c r="C67" s="89" t="s">
        <v>167</v>
      </c>
      <c r="D67" s="26">
        <f>ROW('MODEL Template'!A41)</f>
        <v>41</v>
      </c>
      <c r="E67" s="31">
        <f t="shared" si="18"/>
        <v>2</v>
      </c>
      <c r="F67" s="31">
        <v>2</v>
      </c>
      <c r="G67" s="2"/>
      <c r="H67" s="2"/>
      <c r="L67" s="64"/>
      <c r="CA67" s="7"/>
      <c r="CB67" s="27"/>
      <c r="CC67" s="7"/>
      <c r="CD67" s="39"/>
      <c r="CL67" s="31"/>
      <c r="CM67" s="31"/>
      <c r="CN67" s="66"/>
      <c r="CO67" s="31"/>
      <c r="CP67" s="31"/>
      <c r="CQ67" s="31"/>
      <c r="CR67" s="67"/>
      <c r="CS67" s="67"/>
      <c r="CT67" s="67"/>
      <c r="CU67" s="67"/>
      <c r="CV67" s="67"/>
      <c r="CW67" s="67"/>
      <c r="CX67" s="31"/>
    </row>
    <row r="68" spans="1:102">
      <c r="A68" s="23">
        <v>46</v>
      </c>
      <c r="B68" s="7" t="b">
        <f t="shared" si="13"/>
        <v>1</v>
      </c>
      <c r="C68" s="89" t="s">
        <v>167</v>
      </c>
      <c r="D68" s="26">
        <f>ROW('MODEL Template'!A42)</f>
        <v>42</v>
      </c>
      <c r="E68" s="31">
        <f t="shared" si="18"/>
        <v>2</v>
      </c>
      <c r="F68" s="31">
        <v>2</v>
      </c>
      <c r="G68" s="2"/>
      <c r="H68" s="2"/>
      <c r="L68" s="86"/>
      <c r="CA68" s="7"/>
      <c r="CB68" s="27"/>
      <c r="CC68" s="7"/>
      <c r="CD68" s="39"/>
      <c r="CL68" s="37"/>
      <c r="CM68" s="31"/>
      <c r="CN68" s="66"/>
      <c r="CO68" s="31"/>
      <c r="CP68" s="31"/>
      <c r="CQ68" s="31"/>
      <c r="CR68" s="67"/>
      <c r="CS68" s="67"/>
      <c r="CT68" s="67"/>
      <c r="CU68" s="67"/>
      <c r="CV68" s="67"/>
      <c r="CW68" s="67"/>
      <c r="CX68" s="31"/>
    </row>
    <row r="69" spans="1:102">
      <c r="A69" s="23">
        <v>47</v>
      </c>
      <c r="B69" s="7" t="b">
        <f t="shared" si="13"/>
        <v>1</v>
      </c>
      <c r="C69" s="89" t="s">
        <v>167</v>
      </c>
      <c r="D69" s="26">
        <f>ROW('MODEL Template'!A44)</f>
        <v>44</v>
      </c>
      <c r="E69" s="31">
        <f>SUM(D104:E104)</f>
        <v>2</v>
      </c>
      <c r="F69" s="31">
        <v>2</v>
      </c>
      <c r="G69" s="2"/>
      <c r="H69" s="2"/>
      <c r="L69" s="87"/>
      <c r="CA69" s="7"/>
      <c r="CB69" s="27"/>
      <c r="CC69" s="7"/>
      <c r="CD69" s="46"/>
      <c r="CL69" s="37"/>
      <c r="CM69" s="31"/>
      <c r="CN69" s="66"/>
      <c r="CO69" s="31"/>
      <c r="CP69" s="31"/>
      <c r="CQ69" s="31"/>
      <c r="CR69" s="67"/>
      <c r="CS69" s="67"/>
      <c r="CT69" s="67"/>
      <c r="CU69" s="67"/>
      <c r="CV69" s="67"/>
      <c r="CW69" s="67"/>
      <c r="CX69" s="31"/>
    </row>
    <row r="70" spans="1:102">
      <c r="B70" s="7"/>
      <c r="C70" s="27"/>
      <c r="D70" s="26"/>
      <c r="E70" s="2"/>
      <c r="F70" s="2"/>
      <c r="G70" s="2"/>
      <c r="H70" s="2"/>
      <c r="L70" s="87"/>
      <c r="CA70" s="7"/>
      <c r="CB70" s="27"/>
      <c r="CC70" s="7"/>
      <c r="CD70" s="46"/>
      <c r="CL70" s="37"/>
      <c r="CM70" s="31"/>
      <c r="CN70" s="66"/>
      <c r="CO70" s="31"/>
      <c r="CP70" s="31"/>
      <c r="CQ70" s="31"/>
      <c r="CR70" s="67"/>
      <c r="CS70" s="67"/>
      <c r="CT70" s="67"/>
      <c r="CU70" s="67"/>
      <c r="CV70" s="67"/>
      <c r="CW70" s="67"/>
      <c r="CX70" s="31"/>
    </row>
    <row r="71" spans="1:102">
      <c r="B71" s="7"/>
      <c r="C71" s="27"/>
      <c r="D71" s="26"/>
      <c r="E71" s="2"/>
      <c r="F71" s="2"/>
      <c r="G71" s="2"/>
      <c r="H71" s="2"/>
      <c r="L71" s="87"/>
      <c r="CA71" s="7"/>
      <c r="CB71" s="27"/>
      <c r="CC71" s="7"/>
      <c r="CD71" s="46"/>
      <c r="CL71" s="37"/>
      <c r="CM71" s="31"/>
      <c r="CN71" s="66"/>
      <c r="CO71" s="31"/>
      <c r="CP71" s="31"/>
      <c r="CQ71" s="31"/>
      <c r="CR71" s="67"/>
      <c r="CS71" s="67"/>
      <c r="CT71" s="67"/>
      <c r="CU71" s="67"/>
      <c r="CV71" s="67"/>
      <c r="CW71" s="67"/>
      <c r="CX71" s="31"/>
    </row>
    <row r="72" spans="1:102">
      <c r="B72" s="7"/>
      <c r="C72" s="27"/>
      <c r="D72" s="26"/>
      <c r="E72" s="2"/>
      <c r="F72" s="2"/>
      <c r="G72" s="2"/>
      <c r="H72" s="2"/>
      <c r="L72" s="87"/>
      <c r="CA72" s="7"/>
      <c r="CB72" s="27"/>
      <c r="CC72" s="7"/>
      <c r="CD72" s="46"/>
      <c r="CL72" s="37"/>
      <c r="CM72" s="31"/>
      <c r="CN72" s="66"/>
      <c r="CO72" s="31"/>
      <c r="CP72" s="31"/>
      <c r="CQ72" s="31"/>
      <c r="CR72" s="67"/>
      <c r="CS72" s="67"/>
      <c r="CT72" s="67"/>
      <c r="CU72" s="67"/>
      <c r="CV72" s="67"/>
      <c r="CW72" s="67"/>
      <c r="CX72" s="31"/>
    </row>
    <row r="73" spans="1:102">
      <c r="B73" s="7"/>
      <c r="C73" s="27"/>
      <c r="D73" s="26"/>
      <c r="E73" s="2"/>
      <c r="F73" s="2"/>
      <c r="G73" s="2"/>
      <c r="H73" s="2"/>
      <c r="L73" s="86"/>
      <c r="CA73" s="7"/>
      <c r="CB73" s="27"/>
      <c r="CC73" s="7"/>
      <c r="CD73" s="46"/>
      <c r="CL73" s="37"/>
      <c r="CM73" s="31"/>
      <c r="CN73" s="31"/>
      <c r="CO73" s="31"/>
      <c r="CP73" s="31"/>
      <c r="CQ73" s="31"/>
      <c r="CR73" s="67"/>
      <c r="CS73" s="67"/>
      <c r="CT73" s="67"/>
      <c r="CU73" s="67"/>
      <c r="CV73" s="67"/>
      <c r="CW73" s="67"/>
      <c r="CX73" s="31"/>
    </row>
    <row r="74" spans="1:102">
      <c r="A74" s="94" t="s">
        <v>83</v>
      </c>
      <c r="B74" s="7"/>
      <c r="C74" s="27"/>
      <c r="D74" s="26"/>
      <c r="E74" s="2"/>
      <c r="F74" s="2"/>
      <c r="G74" s="2"/>
      <c r="H74" s="2"/>
      <c r="L74" s="88"/>
      <c r="CA74" s="7"/>
      <c r="CB74" s="27"/>
      <c r="CC74" s="7"/>
      <c r="CD74" s="47"/>
      <c r="CL74" s="38"/>
      <c r="CM74" s="31"/>
      <c r="CN74" s="31"/>
      <c r="CO74" s="31"/>
      <c r="CP74" s="31"/>
      <c r="CQ74" s="31"/>
      <c r="CR74" s="67"/>
      <c r="CS74" s="67"/>
      <c r="CT74" s="67"/>
      <c r="CU74" s="67"/>
      <c r="CV74" s="67"/>
      <c r="CW74" s="67"/>
      <c r="CX74" s="31"/>
    </row>
    <row r="75" spans="1:102">
      <c r="A75" s="104" t="s">
        <v>80</v>
      </c>
      <c r="D75" s="23">
        <v>1</v>
      </c>
      <c r="E75" s="23">
        <f>IF(ABS('Scratch Sheet'!D30-'MODEL Template'!D15)&gt;0.1,0,1)</f>
        <v>1</v>
      </c>
      <c r="F75" s="23">
        <f>IF(ABS('Scratch Sheet'!E30-'MODEL Template'!E15)&gt;0.1,0,1)</f>
        <v>1</v>
      </c>
      <c r="CB75" s="27"/>
    </row>
    <row r="76" spans="1:102">
      <c r="A76" s="104" t="s">
        <v>219</v>
      </c>
      <c r="D76" s="23">
        <f>IF(ABS('Scratch Sheet'!C31-'MODEL Template'!C16)&gt;0.1,0,1)</f>
        <v>1</v>
      </c>
      <c r="E76" s="23">
        <f>IF(ABS('Scratch Sheet'!D31-'MODEL Template'!D16)&gt;0.1,0,1)</f>
        <v>1</v>
      </c>
      <c r="F76" s="23">
        <f>IF(ABS('Scratch Sheet'!E31-'MODEL Template'!E16)&gt;0.1,0,1)</f>
        <v>1</v>
      </c>
      <c r="CB76" s="27"/>
    </row>
    <row r="77" spans="1:102">
      <c r="A77" s="104" t="s">
        <v>207</v>
      </c>
      <c r="D77" s="23">
        <f>IF(ABS('Scratch Sheet'!C32-'MODEL Template'!C17)&gt;0.1,0,1)</f>
        <v>1</v>
      </c>
      <c r="E77" s="23">
        <f>IF(ABS('Scratch Sheet'!D32-'MODEL Template'!D17)&gt;0.1,0,1)</f>
        <v>1</v>
      </c>
      <c r="F77" s="23">
        <f>IF(ABS('Scratch Sheet'!E32-'MODEL Template'!E17)&gt;0.1,0,1)</f>
        <v>1</v>
      </c>
      <c r="CB77" s="27"/>
    </row>
    <row r="78" spans="1:102">
      <c r="A78" s="104" t="s">
        <v>188</v>
      </c>
      <c r="D78" s="23">
        <f>IF(ABS('Scratch Sheet'!C33-'MODEL Template'!C18)&gt;0.1,0,1)</f>
        <v>1</v>
      </c>
      <c r="E78" s="23">
        <f>IF(ABS('Scratch Sheet'!D33-'MODEL Template'!D18)&gt;0.1,0,1)</f>
        <v>1</v>
      </c>
      <c r="F78" s="23">
        <f>IF(ABS('Scratch Sheet'!E33-'MODEL Template'!E18)&gt;0.1,0,1)</f>
        <v>1</v>
      </c>
      <c r="CB78" s="27"/>
    </row>
    <row r="79" spans="1:102">
      <c r="A79" s="104" t="s">
        <v>189</v>
      </c>
      <c r="D79" s="23">
        <f>IF(ABS('Scratch Sheet'!C34-'MODEL Template'!C19)&gt;0.1,0,1)</f>
        <v>1</v>
      </c>
      <c r="E79" s="23">
        <f>IF(ABS('Scratch Sheet'!D34-'MODEL Template'!D19)&gt;0.1,0,1)</f>
        <v>1</v>
      </c>
      <c r="F79" s="23">
        <f>IF(ABS('Scratch Sheet'!E34-'MODEL Template'!E19)&gt;0.1,0,1)</f>
        <v>1</v>
      </c>
      <c r="CB79" s="27"/>
    </row>
    <row r="80" spans="1:102">
      <c r="A80" s="104" t="s">
        <v>99</v>
      </c>
      <c r="D80" s="23">
        <f>IF(ABS('Scratch Sheet'!C35-'MODEL Template'!C20)&gt;0.1,0,1)</f>
        <v>1</v>
      </c>
      <c r="E80" s="23">
        <f>IF(ABS('Scratch Sheet'!D35-'MODEL Template'!D20)&gt;0.1,0,1)</f>
        <v>1</v>
      </c>
      <c r="F80" s="23">
        <f>IF(ABS('Scratch Sheet'!E35-'MODEL Template'!E20)&gt;0.1,0,1)</f>
        <v>1</v>
      </c>
      <c r="CB80" s="27"/>
    </row>
    <row r="81" spans="1:80">
      <c r="A81" s="104" t="s">
        <v>112</v>
      </c>
      <c r="D81" s="23">
        <f>IF(ABS('Scratch Sheet'!C36-'MODEL Template'!C21)&gt;0.1,0,1)</f>
        <v>1</v>
      </c>
      <c r="E81" s="23">
        <f>IF(ABS('Scratch Sheet'!D36-'MODEL Template'!D21)&gt;0.1,0,1)</f>
        <v>1</v>
      </c>
      <c r="F81" s="23">
        <f>IF(ABS('Scratch Sheet'!E36-'MODEL Template'!E21)&gt;0.1,0,1)</f>
        <v>1</v>
      </c>
      <c r="CB81" s="27"/>
    </row>
    <row r="82" spans="1:80">
      <c r="A82" s="104" t="s">
        <v>162</v>
      </c>
      <c r="D82" s="23">
        <f>IF(ABS('Scratch Sheet'!C37-'MODEL Template'!C22)&gt;0.1,0,1)</f>
        <v>1</v>
      </c>
      <c r="E82" s="23">
        <f>IF(ABS('Scratch Sheet'!D37-'MODEL Template'!D22)&gt;0.1,0,1)</f>
        <v>1</v>
      </c>
      <c r="F82" s="23">
        <f>IF(ABS('Scratch Sheet'!E37-'MODEL Template'!E22)&gt;0.1,0,1)</f>
        <v>1</v>
      </c>
    </row>
    <row r="83" spans="1:80">
      <c r="A83" s="104" t="s">
        <v>100</v>
      </c>
      <c r="D83" s="23">
        <f>IF(ABS('Scratch Sheet'!C38-'MODEL Template'!C23)&gt;0.1,0,1)</f>
        <v>1</v>
      </c>
      <c r="E83" s="23">
        <f>IF(ABS('Scratch Sheet'!D38-'MODEL Template'!D23)&gt;0.1,0,1)</f>
        <v>1</v>
      </c>
      <c r="F83" s="23">
        <f>IF(ABS('Scratch Sheet'!E38-'MODEL Template'!E23)&gt;0.1,0,1)</f>
        <v>1</v>
      </c>
      <c r="I83" s="178"/>
    </row>
    <row r="84" spans="1:80">
      <c r="A84" s="104" t="s">
        <v>163</v>
      </c>
      <c r="D84" s="23">
        <f>IF(OR(ABS('Scratch Sheet'!C39-'MODEL Template'!C24)&gt;0.1,'MODEL Template'!C24=""),0,1)</f>
        <v>1</v>
      </c>
      <c r="E84" s="23">
        <f>IF(OR(ABS('Scratch Sheet'!D39-'MODEL Template'!D24)&gt;0.1,'MODEL Template'!D24=""),0,1)</f>
        <v>1</v>
      </c>
      <c r="F84" s="23">
        <f>IF(OR(ABS('Scratch Sheet'!E39-'MODEL Template'!E24)&gt;0.1,'MODEL Template'!E24=""),0,1)</f>
        <v>1</v>
      </c>
    </row>
    <row r="85" spans="1:80">
      <c r="A85" s="7"/>
      <c r="D85" s="85" t="s">
        <v>168</v>
      </c>
      <c r="E85" s="85" t="s">
        <v>168</v>
      </c>
      <c r="F85" s="85" t="s">
        <v>168</v>
      </c>
    </row>
    <row r="86" spans="1:80">
      <c r="A86" s="94" t="s">
        <v>4</v>
      </c>
      <c r="D86" s="85" t="s">
        <v>168</v>
      </c>
      <c r="E86" s="85" t="s">
        <v>168</v>
      </c>
      <c r="F86" s="85" t="s">
        <v>168</v>
      </c>
    </row>
    <row r="87" spans="1:80">
      <c r="A87" s="104" t="s">
        <v>9</v>
      </c>
      <c r="C87" s="23">
        <f>IF(ABS('Scratch Sheet'!B42-'MODEL Template'!B27)&gt;0.1,0,1)</f>
        <v>1</v>
      </c>
      <c r="D87" s="23">
        <f>IF(ABS('Scratch Sheet'!C42-'MODEL Template'!C27)&gt;0.1,0,1)</f>
        <v>1</v>
      </c>
      <c r="E87" s="23">
        <f>IF(ABS('Scratch Sheet'!D42-'MODEL Template'!D27)&gt;0.1,0,1)</f>
        <v>1</v>
      </c>
      <c r="F87" s="23">
        <f>IF(ABS('Scratch Sheet'!E42-'MODEL Template'!E27)&gt;0.1,0,1)</f>
        <v>1</v>
      </c>
    </row>
    <row r="88" spans="1:80">
      <c r="A88" s="104" t="s">
        <v>5</v>
      </c>
      <c r="C88" s="23">
        <f>IF(ABS('Scratch Sheet'!B43-'MODEL Template'!B28)&gt;0.1,0,1)</f>
        <v>1</v>
      </c>
      <c r="D88" s="23">
        <f>IF(ABS('Scratch Sheet'!C43-'MODEL Template'!C28)&gt;0.1,0,1)</f>
        <v>1</v>
      </c>
      <c r="E88" s="23">
        <f>IF(ABS('Scratch Sheet'!D43-'MODEL Template'!D28)&gt;0.1,0,1)</f>
        <v>1</v>
      </c>
      <c r="F88" s="23">
        <f>IF(ABS('Scratch Sheet'!E43-'MODEL Template'!E28)&gt;0.1,0,1)</f>
        <v>1</v>
      </c>
    </row>
    <row r="89" spans="1:80">
      <c r="A89" s="104" t="s">
        <v>79</v>
      </c>
      <c r="C89" s="23">
        <f>IF(ABS('Scratch Sheet'!B44-'MODEL Template'!B29)&gt;0.1,0,1)</f>
        <v>1</v>
      </c>
      <c r="D89" s="23">
        <f>IF(ABS('Scratch Sheet'!C44-'MODEL Template'!C29)&gt;0.1,0,1)</f>
        <v>1</v>
      </c>
      <c r="E89" s="23">
        <f>IF(ABS('Scratch Sheet'!D44-'MODEL Template'!D29)&gt;0.1,0,1)</f>
        <v>1</v>
      </c>
      <c r="F89" s="23">
        <f>IF(ABS('Scratch Sheet'!E44-'MODEL Template'!E29)&gt;0.1,0,1)</f>
        <v>1</v>
      </c>
    </row>
    <row r="90" spans="1:80">
      <c r="A90" s="104" t="s">
        <v>6</v>
      </c>
      <c r="C90" s="23">
        <f>IF(ABS('Scratch Sheet'!B45-'MODEL Template'!B30)&gt;0.1,0,1)</f>
        <v>1</v>
      </c>
      <c r="D90" s="23">
        <f>IF(ABS('Scratch Sheet'!C45-'MODEL Template'!C30)&gt;0.1,0,1)</f>
        <v>1</v>
      </c>
      <c r="E90" s="23">
        <f>IF(ABS('Scratch Sheet'!D45-'MODEL Template'!D30)&gt;0.1,0,1)</f>
        <v>1</v>
      </c>
      <c r="F90" s="23">
        <f>IF(ABS('Scratch Sheet'!E45-'MODEL Template'!E30)&gt;0.1,0,1)</f>
        <v>1</v>
      </c>
    </row>
    <row r="91" spans="1:80">
      <c r="A91" s="104" t="s">
        <v>7</v>
      </c>
      <c r="C91" s="23">
        <f>IF(AND('MODEL Template'!B31&lt;&gt;"",'Scratch Sheet'!B46='MODEL Template'!B31),1,0)</f>
        <v>1</v>
      </c>
      <c r="D91" s="23">
        <f>IF(AND('MODEL Template'!C31&lt;&gt;"",'Scratch Sheet'!C46='MODEL Template'!C31),1,0)</f>
        <v>1</v>
      </c>
      <c r="E91" s="23">
        <f>IF(AND('MODEL Template'!D31&lt;&gt;"",'Scratch Sheet'!D46='MODEL Template'!D31),1,0)</f>
        <v>1</v>
      </c>
      <c r="F91" s="23">
        <f>IF(AND('MODEL Template'!E31&lt;&gt;"",'Scratch Sheet'!E46='MODEL Template'!E31),1,0)</f>
        <v>1</v>
      </c>
    </row>
    <row r="92" spans="1:80">
      <c r="A92" s="104" t="s">
        <v>8</v>
      </c>
      <c r="C92" s="23">
        <f>IF(ABS('Scratch Sheet'!B47-'MODEL Template'!B32)&gt;0.1,0,1)</f>
        <v>1</v>
      </c>
      <c r="D92" s="23">
        <f>IF(ABS('Scratch Sheet'!C47-'MODEL Template'!C32)&gt;0.1,0,1)</f>
        <v>1</v>
      </c>
      <c r="E92" s="23">
        <f>IF(ABS('Scratch Sheet'!D47-'MODEL Template'!D32)&gt;0.1,0,1)</f>
        <v>1</v>
      </c>
      <c r="F92" s="23">
        <f>IF(ABS('Scratch Sheet'!E47-'MODEL Template'!E32)&gt;0.1,0,1)</f>
        <v>1</v>
      </c>
    </row>
    <row r="93" spans="1:80">
      <c r="A93" s="7"/>
      <c r="D93" s="85" t="s">
        <v>168</v>
      </c>
      <c r="E93" s="85" t="s">
        <v>168</v>
      </c>
      <c r="F93" s="85" t="s">
        <v>168</v>
      </c>
    </row>
    <row r="94" spans="1:80">
      <c r="A94" s="94" t="s">
        <v>10</v>
      </c>
      <c r="D94" s="85" t="s">
        <v>168</v>
      </c>
      <c r="E94" s="85" t="s">
        <v>168</v>
      </c>
      <c r="F94" s="85" t="s">
        <v>168</v>
      </c>
    </row>
    <row r="95" spans="1:80">
      <c r="A95" s="104" t="s">
        <v>163</v>
      </c>
      <c r="D95" s="23">
        <f>IF(ABS('Scratch Sheet'!C50-'MODEL Template'!C35)&gt;0.1,0,1)</f>
        <v>1</v>
      </c>
      <c r="E95" s="23">
        <f>IF(ABS('Scratch Sheet'!D50-'MODEL Template'!D35)&gt;0.1,0,1)</f>
        <v>1</v>
      </c>
      <c r="F95" s="23">
        <f>IF(ABS('Scratch Sheet'!E50-'MODEL Template'!E35)&gt;0.1,0,1)</f>
        <v>1</v>
      </c>
    </row>
    <row r="96" spans="1:80">
      <c r="A96" s="104" t="s">
        <v>3</v>
      </c>
      <c r="D96" s="23">
        <f>IF(ABS('Scratch Sheet'!C51-'MODEL Template'!C36)&gt;0.1,0,1)</f>
        <v>1</v>
      </c>
      <c r="E96" s="23">
        <f>IF(ABS('Scratch Sheet'!D51-'MODEL Template'!D36)&gt;0.1,0,1)</f>
        <v>1</v>
      </c>
      <c r="F96" s="23">
        <f>IF(ABS('Scratch Sheet'!E51-'MODEL Template'!E36)&gt;0.1,0,1)</f>
        <v>1</v>
      </c>
    </row>
    <row r="97" spans="1:6">
      <c r="A97" s="104" t="s">
        <v>164</v>
      </c>
      <c r="D97" s="85" t="s">
        <v>168</v>
      </c>
      <c r="E97" s="85" t="s">
        <v>168</v>
      </c>
      <c r="F97" s="85" t="s">
        <v>168</v>
      </c>
    </row>
    <row r="98" spans="1:6">
      <c r="A98" s="161" t="s">
        <v>174</v>
      </c>
      <c r="D98" s="23">
        <f>IF(ABS('Scratch Sheet'!C53-'MODEL Template'!C38)&gt;0.1,0,1)</f>
        <v>1</v>
      </c>
      <c r="E98" s="23">
        <f>IF(ABS('Scratch Sheet'!D53-'MODEL Template'!D38)&gt;0.1,0,1)</f>
        <v>1</v>
      </c>
      <c r="F98" s="23">
        <f>IF(ABS('Scratch Sheet'!E53-'MODEL Template'!E38)&gt;0.1,0,1)</f>
        <v>1</v>
      </c>
    </row>
    <row r="99" spans="1:6">
      <c r="A99" s="161" t="s">
        <v>175</v>
      </c>
      <c r="D99" s="23">
        <f>IF(ABS('Scratch Sheet'!C54-'MODEL Template'!C39)&gt;0.1,0,1)</f>
        <v>1</v>
      </c>
      <c r="E99" s="23">
        <f>IF(ABS('Scratch Sheet'!D54-'MODEL Template'!D39)&gt;0.1,0,1)</f>
        <v>1</v>
      </c>
      <c r="F99" s="23">
        <f>IF(ABS('Scratch Sheet'!E54-'MODEL Template'!E39)&gt;0.1,0,1)</f>
        <v>1</v>
      </c>
    </row>
    <row r="100" spans="1:6">
      <c r="A100" s="104" t="s">
        <v>82</v>
      </c>
      <c r="D100" s="23">
        <f>IF(ABS('Scratch Sheet'!C55-'MODEL Template'!C40)&gt;0.1,0,1)</f>
        <v>1</v>
      </c>
      <c r="E100" s="23">
        <f>IF(ABS('Scratch Sheet'!D55-'MODEL Template'!D40)&gt;0.1,0,1)</f>
        <v>1</v>
      </c>
      <c r="F100" s="23">
        <f>IF(ABS('Scratch Sheet'!E55-'MODEL Template'!E40)&gt;0.1,0,1)</f>
        <v>1</v>
      </c>
    </row>
    <row r="101" spans="1:6">
      <c r="A101" s="104" t="s">
        <v>123</v>
      </c>
      <c r="D101" s="23">
        <f>IF(AND('MODEL Template'!C41&lt;&gt;"",'Scratch Sheet'!C56='MODEL Template'!C41),1,0)</f>
        <v>1</v>
      </c>
      <c r="E101" s="23">
        <f>IF(AND('MODEL Template'!D41&lt;&gt;"",'Scratch Sheet'!D56='MODEL Template'!D41),1,0)</f>
        <v>1</v>
      </c>
      <c r="F101" s="23">
        <f>IF(AND('MODEL Template'!E41&lt;&gt;"",'Scratch Sheet'!E56='MODEL Template'!E41),1,0)</f>
        <v>1</v>
      </c>
    </row>
    <row r="102" spans="1:6">
      <c r="A102" s="104" t="s">
        <v>165</v>
      </c>
      <c r="D102" s="23">
        <f>IF(ABS('Scratch Sheet'!C57-'MODEL Template'!C42)&gt;0.1,0,1)</f>
        <v>1</v>
      </c>
      <c r="E102" s="23">
        <f>IF(ABS('Scratch Sheet'!D57-'MODEL Template'!D42)&gt;0.1,0,1)</f>
        <v>1</v>
      </c>
      <c r="F102" s="23">
        <f>IF(ABS('Scratch Sheet'!E57-'MODEL Template'!E42)&gt;0.1,0,1)</f>
        <v>1</v>
      </c>
    </row>
    <row r="103" spans="1:6">
      <c r="A103" s="7"/>
      <c r="D103" s="85" t="s">
        <v>168</v>
      </c>
      <c r="E103" s="85" t="s">
        <v>168</v>
      </c>
      <c r="F103" s="85" t="s">
        <v>168</v>
      </c>
    </row>
    <row r="104" spans="1:6">
      <c r="A104" s="94" t="s">
        <v>166</v>
      </c>
      <c r="D104" s="23">
        <f>IF(ABS('Scratch Sheet'!C59-'MODEL Template'!C44)&gt;0.1,0,1)</f>
        <v>1</v>
      </c>
      <c r="E104" s="23">
        <f>IF(ABS('Scratch Sheet'!D59-'MODEL Template'!D44)&gt;0.1,0,1)</f>
        <v>1</v>
      </c>
      <c r="F104" s="23">
        <f>IF(ABS('Scratch Sheet'!E59-'MODEL Template'!E44)&gt;0.1,0,1)</f>
        <v>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1FD7FBD-5A14-7248-91D9-82766EA2FCFC}">
            <xm:f>'Develop Model'!$B$17="No Template"</xm:f>
            <x14:dxf>
              <font>
                <color theme="0"/>
              </font>
              <numFmt numFmtId="173" formatCode="\:"/>
              <fill>
                <patternFill>
                  <bgColor theme="0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A77:A79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ENTER SFAM ID</vt:lpstr>
      <vt:lpstr>Develop Model</vt:lpstr>
      <vt:lpstr>MODEL Income Statement</vt:lpstr>
      <vt:lpstr>MODEL Balance Sheet</vt:lpstr>
      <vt:lpstr>MODEL Cash Flow Statement</vt:lpstr>
      <vt:lpstr>MODEL Template</vt:lpstr>
      <vt:lpstr>Analyze Using Model</vt:lpstr>
      <vt:lpstr>Scratch Sheet</vt:lpstr>
      <vt:lpstr>X</vt:lpstr>
      <vt:lpstr>Column</vt:lpstr>
      <vt:lpstr>'Analyze Using Model'!Print_Area</vt:lpstr>
      <vt:lpstr>'Develop Model'!Print_Area</vt:lpstr>
      <vt:lpstr>'MODEL Income Statement'!Print_Area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Horwitz</dc:creator>
  <cp:lastModifiedBy>CHRISTOPHER GUZMAN SILVA</cp:lastModifiedBy>
  <cp:lastPrinted>2020-02-03T18:27:08Z</cp:lastPrinted>
  <dcterms:created xsi:type="dcterms:W3CDTF">2019-04-12T12:27:47Z</dcterms:created>
  <dcterms:modified xsi:type="dcterms:W3CDTF">2023-03-31T19:59:36Z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2022-09-22T17:43:50Z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b34b5000-d044-455d-8cae-0f092fe65d59</vt:lpwstr>
  </property>
  <property fmtid="{D5CDD505-2E9C-101B-9397-08002B2CF9AE}" pid="8" name="MSIP_Label_fa1855b2-0a05-4494-a903-f3f23f3f98e0_ContentBits">
    <vt:lpwstr>0</vt:lpwstr>
  </property>
</Properties>
</file>